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defaultThemeVersion="166925"/>
  <mc:AlternateContent xmlns:mc="http://schemas.openxmlformats.org/markup-compatibility/2006">
    <mc:Choice Requires="x15">
      <x15ac:absPath xmlns:x15ac="http://schemas.microsoft.com/office/spreadsheetml/2010/11/ac" url="C:\Users\3309\Desktop\section32\"/>
    </mc:Choice>
  </mc:AlternateContent>
  <xr:revisionPtr revIDLastSave="0" documentId="13_ncr:1_{1EDA389B-7BE4-4E1D-9BE4-F6FDE1BF0F0C}" xr6:coauthVersionLast="46" xr6:coauthVersionMax="46" xr10:uidLastSave="{00000000-0000-0000-0000-000000000000}"/>
  <bookViews>
    <workbookView xWindow="-120" yWindow="-120" windowWidth="29040" windowHeight="15840" activeTab="10" xr2:uid="{8C892378-786A-417A-8490-74A6F9615F5C}"/>
  </bookViews>
  <sheets>
    <sheet name="Summary" sheetId="12" r:id="rId1"/>
    <sheet name="Table1" sheetId="1" r:id="rId2"/>
    <sheet name="Table2 Pg1" sheetId="2" r:id="rId3"/>
    <sheet name="Table2 Pg2" sheetId="3" r:id="rId4"/>
    <sheet name="Table3 Summary" sheetId="4" r:id="rId5"/>
    <sheet name="Table3,1" sheetId="6" r:id="rId6"/>
    <sheet name="Table3,2" sheetId="7" r:id="rId7"/>
    <sheet name="Table3,3" sheetId="8" r:id="rId8"/>
    <sheet name="Table3,4" sheetId="9" r:id="rId9"/>
    <sheet name="Table4" sheetId="10" r:id="rId10"/>
    <sheet name="Table5" sheetId="11"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_xlnm.Print_Area" localSheetId="0">Summary!$A$1:$AI$51</definedName>
    <definedName name="_xlnm.Print_Area" localSheetId="1">Table1!$A$1:$AP$146</definedName>
    <definedName name="_xlnm.Print_Area" localSheetId="2">'Table2 Pg1'!$A$1:$BW$80</definedName>
    <definedName name="_xlnm.Print_Area" localSheetId="5">'Table3,1'!$A$1:$EO$344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7" i="12" l="1"/>
  <c r="AF47" i="12"/>
  <c r="V47" i="12"/>
  <c r="S47" i="12"/>
  <c r="R47" i="12"/>
  <c r="O47" i="12"/>
  <c r="I47" i="12"/>
  <c r="AE45" i="12"/>
  <c r="AD45" i="12"/>
  <c r="AC45" i="12"/>
  <c r="AB45" i="12"/>
  <c r="AA45" i="12"/>
  <c r="Z45" i="12"/>
  <c r="Y45" i="12"/>
  <c r="X45" i="12"/>
  <c r="W45" i="12"/>
  <c r="AH45" i="12" s="1"/>
  <c r="U45" i="12"/>
  <c r="Q45" i="12"/>
  <c r="P45" i="12"/>
  <c r="O45" i="12"/>
  <c r="N45" i="12"/>
  <c r="M45" i="12"/>
  <c r="L45" i="12"/>
  <c r="K45" i="12"/>
  <c r="J45" i="12"/>
  <c r="I45" i="12"/>
  <c r="H45" i="12"/>
  <c r="T45" i="12" s="1"/>
  <c r="G45" i="12"/>
  <c r="AE43" i="12"/>
  <c r="AD43" i="12"/>
  <c r="AC43" i="12"/>
  <c r="AB43" i="12"/>
  <c r="AA43" i="12"/>
  <c r="Z43" i="12"/>
  <c r="Y43" i="12"/>
  <c r="X43" i="12"/>
  <c r="W43" i="12"/>
  <c r="AH43" i="12" s="1"/>
  <c r="U43" i="12"/>
  <c r="U47" i="12" s="1"/>
  <c r="Q43" i="12"/>
  <c r="P43" i="12"/>
  <c r="P47" i="12" s="1"/>
  <c r="O43" i="12"/>
  <c r="N43" i="12"/>
  <c r="M43" i="12"/>
  <c r="L43" i="12"/>
  <c r="K43" i="12"/>
  <c r="J43" i="12"/>
  <c r="J47" i="12" s="1"/>
  <c r="I43" i="12"/>
  <c r="H43" i="12"/>
  <c r="T43" i="12" s="1"/>
  <c r="G43" i="12"/>
  <c r="AE41" i="12"/>
  <c r="AE47" i="12" s="1"/>
  <c r="AD41" i="12"/>
  <c r="AD47" i="12" s="1"/>
  <c r="AC41" i="12"/>
  <c r="AB41" i="12"/>
  <c r="AB47" i="12" s="1"/>
  <c r="AA41" i="12"/>
  <c r="AA47" i="12" s="1"/>
  <c r="Z41" i="12"/>
  <c r="Y41" i="12"/>
  <c r="Y47" i="12" s="1"/>
  <c r="X41" i="12"/>
  <c r="AH41" i="12" s="1"/>
  <c r="W41" i="12"/>
  <c r="U41" i="12"/>
  <c r="Q41" i="12"/>
  <c r="P41" i="12"/>
  <c r="O41" i="12"/>
  <c r="N41" i="12"/>
  <c r="M41" i="12"/>
  <c r="M47" i="12" s="1"/>
  <c r="L41" i="12"/>
  <c r="T41" i="12" s="1"/>
  <c r="K41" i="12"/>
  <c r="J41" i="12"/>
  <c r="I41" i="12"/>
  <c r="H41" i="12"/>
  <c r="G41" i="12"/>
  <c r="G47" i="12" s="1"/>
  <c r="AE39" i="12"/>
  <c r="AD39" i="12"/>
  <c r="AC39" i="12"/>
  <c r="AC47" i="12" s="1"/>
  <c r="AB39" i="12"/>
  <c r="AA39" i="12"/>
  <c r="Z39" i="12"/>
  <c r="Z47" i="12" s="1"/>
  <c r="Y39" i="12"/>
  <c r="X39" i="12"/>
  <c r="W39" i="12"/>
  <c r="W47" i="12" s="1"/>
  <c r="U39" i="12"/>
  <c r="Q39" i="12"/>
  <c r="Q47" i="12" s="1"/>
  <c r="P39" i="12"/>
  <c r="O39" i="12"/>
  <c r="N39" i="12"/>
  <c r="N47" i="12" s="1"/>
  <c r="M39" i="12"/>
  <c r="L39" i="12"/>
  <c r="L47" i="12" s="1"/>
  <c r="K39" i="12"/>
  <c r="K47" i="12" s="1"/>
  <c r="J39" i="12"/>
  <c r="I39" i="12"/>
  <c r="H39" i="12"/>
  <c r="H47" i="12" s="1"/>
  <c r="G39" i="12"/>
  <c r="R34" i="12"/>
  <c r="R53" i="12" s="1"/>
  <c r="G32" i="12"/>
  <c r="AE30" i="12"/>
  <c r="AD30" i="12"/>
  <c r="AC30" i="12"/>
  <c r="AB30" i="12"/>
  <c r="AA30" i="12"/>
  <c r="Z30" i="12"/>
  <c r="Y30" i="12"/>
  <c r="X30" i="12"/>
  <c r="W30" i="12"/>
  <c r="V30" i="12"/>
  <c r="AH30" i="12" s="1"/>
  <c r="U30" i="12"/>
  <c r="Q30" i="12"/>
  <c r="P30" i="12"/>
  <c r="O30" i="12"/>
  <c r="N30" i="12"/>
  <c r="M30" i="12"/>
  <c r="L30" i="12"/>
  <c r="K30" i="12"/>
  <c r="J30" i="12"/>
  <c r="I30" i="12"/>
  <c r="H30" i="12"/>
  <c r="T30" i="12" s="1"/>
  <c r="G30" i="12"/>
  <c r="AE29" i="12"/>
  <c r="AD29" i="12"/>
  <c r="AC29" i="12"/>
  <c r="AB29" i="12"/>
  <c r="AA29" i="12"/>
  <c r="Z29" i="12"/>
  <c r="Y29" i="12"/>
  <c r="X29" i="12"/>
  <c r="W29" i="12"/>
  <c r="V29" i="12"/>
  <c r="AH29" i="12" s="1"/>
  <c r="U29" i="12"/>
  <c r="Q29" i="12"/>
  <c r="P29" i="12"/>
  <c r="O29" i="12"/>
  <c r="N29" i="12"/>
  <c r="M29" i="12"/>
  <c r="L29" i="12"/>
  <c r="K29" i="12"/>
  <c r="J29" i="12"/>
  <c r="I29" i="12"/>
  <c r="H29" i="12"/>
  <c r="T29" i="12" s="1"/>
  <c r="G29" i="12"/>
  <c r="AE28" i="12"/>
  <c r="AB28" i="12"/>
  <c r="AB24" i="12" s="1"/>
  <c r="AE27" i="12"/>
  <c r="Z27" i="12"/>
  <c r="AH27" i="12" s="1"/>
  <c r="T27" i="12"/>
  <c r="D27" i="12"/>
  <c r="AH26" i="12"/>
  <c r="AE26" i="12"/>
  <c r="AA26" i="12"/>
  <c r="T26" i="12"/>
  <c r="D26" i="12"/>
  <c r="AE25" i="12"/>
  <c r="AE24" i="12" s="1"/>
  <c r="AA25" i="12"/>
  <c r="Z25" i="12"/>
  <c r="P25" i="12"/>
  <c r="M25" i="12"/>
  <c r="T25" i="12" s="1"/>
  <c r="AA24" i="12"/>
  <c r="AA15" i="12" s="1"/>
  <c r="Z24" i="12"/>
  <c r="S24" i="12"/>
  <c r="R24" i="12"/>
  <c r="Q24" i="12"/>
  <c r="P24" i="12"/>
  <c r="O24" i="12"/>
  <c r="N24" i="12"/>
  <c r="M24" i="12"/>
  <c r="M23" i="12"/>
  <c r="T23" i="12" s="1"/>
  <c r="G23" i="12"/>
  <c r="D23" i="12"/>
  <c r="M22" i="12"/>
  <c r="T22" i="12" s="1"/>
  <c r="G22" i="12"/>
  <c r="D22" i="12"/>
  <c r="AH21" i="12"/>
  <c r="AG21" i="12"/>
  <c r="AG15" i="12" s="1"/>
  <c r="AG11" i="12" s="1"/>
  <c r="AG34" i="12" s="1"/>
  <c r="AG53" i="12" s="1"/>
  <c r="AF21" i="12"/>
  <c r="AF15" i="12" s="1"/>
  <c r="AF11" i="12" s="1"/>
  <c r="AF34" i="12" s="1"/>
  <c r="AF53" i="12" s="1"/>
  <c r="AE21" i="12"/>
  <c r="AD21" i="12"/>
  <c r="AC21" i="12"/>
  <c r="AB21" i="12"/>
  <c r="AA21" i="12"/>
  <c r="Z21" i="12"/>
  <c r="Y21" i="12"/>
  <c r="X21" i="12"/>
  <c r="W21" i="12"/>
  <c r="V21" i="12"/>
  <c r="U21" i="12"/>
  <c r="U15" i="12" s="1"/>
  <c r="S21" i="12"/>
  <c r="R21" i="12"/>
  <c r="Q21" i="12"/>
  <c r="P21" i="12"/>
  <c r="O21" i="12"/>
  <c r="N21" i="12"/>
  <c r="N15" i="12" s="1"/>
  <c r="N11" i="12" s="1"/>
  <c r="M21" i="12"/>
  <c r="M15" i="12" s="1"/>
  <c r="L21" i="12"/>
  <c r="L15" i="12" s="1"/>
  <c r="K21" i="12"/>
  <c r="K15" i="12" s="1"/>
  <c r="K11" i="12" s="1"/>
  <c r="J21" i="12"/>
  <c r="I21" i="12"/>
  <c r="H21" i="12"/>
  <c r="H15" i="12" s="1"/>
  <c r="H11" i="12" s="1"/>
  <c r="G21" i="12"/>
  <c r="G15" i="12" s="1"/>
  <c r="AC20" i="12"/>
  <c r="AA20" i="12"/>
  <c r="V20" i="12"/>
  <c r="D20" i="12"/>
  <c r="D19" i="12"/>
  <c r="AD18" i="12"/>
  <c r="AC18" i="12"/>
  <c r="AB18" i="12"/>
  <c r="AA18" i="12"/>
  <c r="Z18" i="12"/>
  <c r="Y18" i="12"/>
  <c r="X18" i="12"/>
  <c r="W18" i="12"/>
  <c r="U18" i="12"/>
  <c r="P18" i="12"/>
  <c r="O18" i="12"/>
  <c r="N18" i="12"/>
  <c r="M18" i="12"/>
  <c r="L18" i="12"/>
  <c r="K18" i="12"/>
  <c r="J18" i="12"/>
  <c r="I18" i="12"/>
  <c r="H18" i="12"/>
  <c r="T18" i="12" s="1"/>
  <c r="G18" i="12"/>
  <c r="AE17" i="12"/>
  <c r="AD17" i="12"/>
  <c r="AC17" i="12"/>
  <c r="AB17" i="12"/>
  <c r="AA17" i="12"/>
  <c r="Z17" i="12"/>
  <c r="Y17" i="12"/>
  <c r="X17" i="12"/>
  <c r="W17" i="12"/>
  <c r="AH17" i="12" s="1"/>
  <c r="V17" i="12"/>
  <c r="U17" i="12"/>
  <c r="Q17" i="12"/>
  <c r="P17" i="12"/>
  <c r="O17" i="12"/>
  <c r="N17" i="12"/>
  <c r="M17" i="12"/>
  <c r="L17" i="12"/>
  <c r="K17" i="12"/>
  <c r="J17" i="12"/>
  <c r="I17" i="12"/>
  <c r="T17" i="12" s="1"/>
  <c r="H17" i="12"/>
  <c r="G17" i="12"/>
  <c r="AE16" i="12"/>
  <c r="AD16" i="12"/>
  <c r="AD15" i="12" s="1"/>
  <c r="AC16" i="12"/>
  <c r="AC15" i="12" s="1"/>
  <c r="AC11" i="12" s="1"/>
  <c r="AB16" i="12"/>
  <c r="AA16" i="12"/>
  <c r="Z16" i="12"/>
  <c r="Y16" i="12"/>
  <c r="X16" i="12"/>
  <c r="X15" i="12" s="1"/>
  <c r="W16" i="12"/>
  <c r="AH16" i="12" s="1"/>
  <c r="V16" i="12"/>
  <c r="U16" i="12"/>
  <c r="Q16" i="12"/>
  <c r="P16" i="12"/>
  <c r="O16" i="12"/>
  <c r="N16" i="12"/>
  <c r="M16" i="12"/>
  <c r="L16" i="12"/>
  <c r="K16" i="12"/>
  <c r="J16" i="12"/>
  <c r="J15" i="12" s="1"/>
  <c r="J11" i="12" s="1"/>
  <c r="I16" i="12"/>
  <c r="T16" i="12" s="1"/>
  <c r="H16" i="12"/>
  <c r="G16" i="12"/>
  <c r="AI15" i="12"/>
  <c r="Z15" i="12"/>
  <c r="AE13" i="12"/>
  <c r="AD13" i="12"/>
  <c r="AC13" i="12"/>
  <c r="AB13" i="12"/>
  <c r="AA13" i="12"/>
  <c r="Z13" i="12"/>
  <c r="Y13" i="12"/>
  <c r="X13" i="12"/>
  <c r="W13" i="12"/>
  <c r="V13" i="12"/>
  <c r="U13" i="12"/>
  <c r="Q13" i="12"/>
  <c r="P13" i="12"/>
  <c r="O13" i="12"/>
  <c r="N13" i="12"/>
  <c r="M13" i="12"/>
  <c r="M11" i="12" s="1"/>
  <c r="L13" i="12"/>
  <c r="T13" i="12" s="1"/>
  <c r="K13" i="12"/>
  <c r="J13" i="12"/>
  <c r="I13" i="12"/>
  <c r="H13" i="12"/>
  <c r="G13" i="12"/>
  <c r="G11" i="12" s="1"/>
  <c r="S11" i="12"/>
  <c r="S34" i="12" s="1"/>
  <c r="R11" i="12"/>
  <c r="AE9" i="12"/>
  <c r="AD9" i="12"/>
  <c r="AC9" i="12"/>
  <c r="AB9" i="12"/>
  <c r="AA9" i="12"/>
  <c r="Z9" i="12"/>
  <c r="Y9" i="12"/>
  <c r="X9" i="12"/>
  <c r="W9" i="12"/>
  <c r="V9" i="12"/>
  <c r="AH9" i="12" s="1"/>
  <c r="U9" i="12"/>
  <c r="Q9" i="12"/>
  <c r="P9" i="12"/>
  <c r="O9" i="12"/>
  <c r="N9" i="12"/>
  <c r="M9" i="12"/>
  <c r="M34" i="12" s="1"/>
  <c r="M53" i="12" s="1"/>
  <c r="L9" i="12"/>
  <c r="K9" i="12"/>
  <c r="K34" i="12" s="1"/>
  <c r="J9" i="12"/>
  <c r="I9" i="12"/>
  <c r="H9" i="12"/>
  <c r="G9" i="12"/>
  <c r="G34" i="12" s="1"/>
  <c r="G53" i="12" s="1"/>
  <c r="O15" i="12" l="1"/>
  <c r="O11" i="12" s="1"/>
  <c r="O34" i="12" s="1"/>
  <c r="O53" i="12" s="1"/>
  <c r="T24" i="12"/>
  <c r="X34" i="12"/>
  <c r="X11" i="12"/>
  <c r="AD11" i="12"/>
  <c r="AD34" i="12" s="1"/>
  <c r="AD53" i="12" s="1"/>
  <c r="Y15" i="12"/>
  <c r="Y11" i="12" s="1"/>
  <c r="Y34" i="12" s="1"/>
  <c r="Y53" i="12" s="1"/>
  <c r="P34" i="12"/>
  <c r="P53" i="12" s="1"/>
  <c r="K53" i="12"/>
  <c r="Z11" i="12"/>
  <c r="Z34" i="12" s="1"/>
  <c r="Z53" i="12" s="1"/>
  <c r="V15" i="12"/>
  <c r="V11" i="12" s="1"/>
  <c r="V34" i="12" s="1"/>
  <c r="V53" i="12" s="1"/>
  <c r="P15" i="12"/>
  <c r="P11" i="12" s="1"/>
  <c r="S53" i="12"/>
  <c r="U11" i="12"/>
  <c r="U34" i="12" s="1"/>
  <c r="U53" i="12" s="1"/>
  <c r="AA11" i="12"/>
  <c r="AA34" i="12" s="1"/>
  <c r="AA53" i="12" s="1"/>
  <c r="Q15" i="12"/>
  <c r="Q11" i="12" s="1"/>
  <c r="Q34" i="12" s="1"/>
  <c r="Q53" i="12" s="1"/>
  <c r="AE15" i="12"/>
  <c r="AE11" i="12" s="1"/>
  <c r="AE34" i="12" s="1"/>
  <c r="AE53" i="12" s="1"/>
  <c r="T21" i="12"/>
  <c r="H34" i="12"/>
  <c r="H53" i="12" s="1"/>
  <c r="N34" i="12"/>
  <c r="N53" i="12" s="1"/>
  <c r="AC34" i="12"/>
  <c r="AC53" i="12" s="1"/>
  <c r="J34" i="12"/>
  <c r="J53" i="12" s="1"/>
  <c r="AH24" i="12"/>
  <c r="AB15" i="12"/>
  <c r="AB11" i="12" s="1"/>
  <c r="AB34" i="12" s="1"/>
  <c r="AB53" i="12" s="1"/>
  <c r="AH25" i="12"/>
  <c r="T39" i="12"/>
  <c r="T47" i="12" s="1"/>
  <c r="T9" i="12"/>
  <c r="L11" i="12"/>
  <c r="L34" i="12" s="1"/>
  <c r="L53" i="12" s="1"/>
  <c r="AH28" i="12"/>
  <c r="AH39" i="12"/>
  <c r="AH47" i="12" s="1"/>
  <c r="I15" i="12"/>
  <c r="I11" i="12" s="1"/>
  <c r="I34" i="12" s="1"/>
  <c r="I53" i="12" s="1"/>
  <c r="W15" i="12"/>
  <c r="W11" i="12" s="1"/>
  <c r="W34" i="12" s="1"/>
  <c r="W53" i="12" s="1"/>
  <c r="X47" i="12"/>
  <c r="AH13" i="12"/>
  <c r="AH18" i="12"/>
  <c r="T15" i="12" l="1"/>
  <c r="T11" i="12" s="1"/>
  <c r="T34" i="12" s="1"/>
  <c r="T53" i="12" s="1"/>
  <c r="X53" i="12"/>
  <c r="AH15" i="12"/>
  <c r="AH11" i="12" s="1"/>
  <c r="AH34" i="12" s="1"/>
  <c r="AH53" i="12" s="1"/>
  <c r="T85" i="11" l="1"/>
  <c r="AG65" i="11"/>
  <c r="S65" i="11"/>
  <c r="AG49" i="11"/>
  <c r="S49" i="11"/>
  <c r="AG48" i="11"/>
  <c r="S48" i="11"/>
  <c r="AG47" i="11"/>
  <c r="S47" i="11"/>
  <c r="AG46" i="11"/>
  <c r="S46" i="11"/>
  <c r="AG45" i="11"/>
  <c r="S45" i="11"/>
  <c r="AG44" i="11"/>
  <c r="S44" i="11"/>
  <c r="AG43" i="11"/>
  <c r="S43" i="11"/>
  <c r="AG42" i="11"/>
  <c r="S42" i="11"/>
  <c r="AG41" i="11"/>
  <c r="S41" i="11"/>
  <c r="AF40" i="11"/>
  <c r="AE40" i="11"/>
  <c r="AD40" i="11"/>
  <c r="AC40" i="11"/>
  <c r="AB40" i="11"/>
  <c r="AA40" i="11"/>
  <c r="Z40" i="11"/>
  <c r="Y40" i="11"/>
  <c r="X40" i="11"/>
  <c r="W40" i="11"/>
  <c r="V40" i="11"/>
  <c r="U40" i="11"/>
  <c r="T40" i="11"/>
  <c r="R40" i="11"/>
  <c r="Q40" i="11"/>
  <c r="P40" i="11"/>
  <c r="O40" i="11"/>
  <c r="N40" i="11"/>
  <c r="M40" i="11"/>
  <c r="L40" i="11"/>
  <c r="K40" i="11"/>
  <c r="J40" i="11"/>
  <c r="I40" i="11"/>
  <c r="H40" i="11"/>
  <c r="G40" i="11"/>
  <c r="F40" i="11"/>
  <c r="AG38" i="11"/>
  <c r="S38" i="11"/>
  <c r="AG37" i="11"/>
  <c r="S37" i="11"/>
  <c r="AG36" i="11"/>
  <c r="S36" i="11"/>
  <c r="AG35" i="11"/>
  <c r="S35" i="11"/>
  <c r="AG34" i="11"/>
  <c r="S34" i="11"/>
  <c r="AG33" i="11"/>
  <c r="S33" i="11"/>
  <c r="AG32" i="11"/>
  <c r="S32" i="11"/>
  <c r="AG31" i="11"/>
  <c r="S31" i="11"/>
  <c r="AG30" i="11"/>
  <c r="S30" i="11"/>
  <c r="AG29" i="11"/>
  <c r="S29" i="11"/>
  <c r="AG28" i="11"/>
  <c r="S28" i="11"/>
  <c r="AG27" i="11"/>
  <c r="S27" i="11"/>
  <c r="AG26" i="11"/>
  <c r="S26" i="11"/>
  <c r="AG25" i="11"/>
  <c r="S25" i="11"/>
  <c r="AG24" i="11"/>
  <c r="S24" i="11"/>
  <c r="AG23" i="11"/>
  <c r="S23" i="11"/>
  <c r="AG22" i="11"/>
  <c r="S22" i="11"/>
  <c r="AG21" i="11"/>
  <c r="S21" i="11"/>
  <c r="AG20" i="11"/>
  <c r="S20" i="11"/>
  <c r="AG19" i="11"/>
  <c r="S19" i="11"/>
  <c r="AG18" i="11"/>
  <c r="S18" i="11"/>
  <c r="AG17" i="11"/>
  <c r="S17" i="11"/>
  <c r="AG16" i="11"/>
  <c r="S16" i="11"/>
  <c r="AG15" i="11"/>
  <c r="S15" i="11"/>
  <c r="AG14" i="11"/>
  <c r="S14" i="11"/>
  <c r="AG13" i="11"/>
  <c r="S13" i="11"/>
  <c r="AG12" i="11"/>
  <c r="S12" i="11"/>
  <c r="AG11" i="11"/>
  <c r="S11" i="11"/>
  <c r="AG10" i="11"/>
  <c r="S10" i="11"/>
  <c r="AG9" i="11"/>
  <c r="S9" i="11"/>
  <c r="AG8" i="11"/>
  <c r="AG6" i="11" s="1"/>
  <c r="S8" i="11"/>
  <c r="AG7" i="11"/>
  <c r="S7" i="11"/>
  <c r="AF6" i="11"/>
  <c r="AE6" i="11"/>
  <c r="AD6" i="11"/>
  <c r="AC6" i="11"/>
  <c r="AB6" i="11"/>
  <c r="AA6" i="11"/>
  <c r="Z6" i="11"/>
  <c r="Y6" i="11"/>
  <c r="X6" i="11"/>
  <c r="W6" i="11"/>
  <c r="V6" i="11"/>
  <c r="U6" i="11"/>
  <c r="T6" i="11"/>
  <c r="S6" i="11"/>
  <c r="T82" i="11" s="1"/>
  <c r="R6" i="11"/>
  <c r="Q6" i="11"/>
  <c r="P6" i="11"/>
  <c r="O6" i="11"/>
  <c r="N6" i="11"/>
  <c r="M6" i="11"/>
  <c r="L6" i="11"/>
  <c r="K6" i="11"/>
  <c r="J6" i="11"/>
  <c r="I6" i="11"/>
  <c r="H6" i="11"/>
  <c r="G6" i="11"/>
  <c r="F6" i="11"/>
  <c r="BT81" i="9"/>
  <c r="BS81" i="9"/>
  <c r="BR81" i="9"/>
  <c r="BQ81" i="9"/>
  <c r="BO81" i="9"/>
  <c r="BN81" i="9"/>
  <c r="BM81" i="9"/>
  <c r="BL81" i="9"/>
  <c r="BJ81" i="9"/>
  <c r="BI81" i="9"/>
  <c r="BH81" i="9"/>
  <c r="BG81" i="9"/>
  <c r="BE81" i="9"/>
  <c r="BD81" i="9"/>
  <c r="BC81" i="9"/>
  <c r="BB81" i="9"/>
  <c r="AZ81" i="9"/>
  <c r="AY81" i="9"/>
  <c r="AX81" i="9"/>
  <c r="AW81" i="9"/>
  <c r="AU81" i="9"/>
  <c r="AT81" i="9"/>
  <c r="AS81" i="9"/>
  <c r="AR81" i="9"/>
  <c r="AP81" i="9"/>
  <c r="AO81" i="9"/>
  <c r="AN81" i="9"/>
  <c r="AM81" i="9"/>
  <c r="AK81" i="9"/>
  <c r="AJ81" i="9"/>
  <c r="AI81" i="9"/>
  <c r="AH81" i="9"/>
  <c r="AF81" i="9"/>
  <c r="AE81" i="9"/>
  <c r="AD81" i="9"/>
  <c r="AC81" i="9"/>
  <c r="AA81" i="9"/>
  <c r="Z81" i="9"/>
  <c r="Y81" i="9"/>
  <c r="X81" i="9"/>
  <c r="V81" i="9"/>
  <c r="U81" i="9"/>
  <c r="T81" i="9"/>
  <c r="S81" i="9"/>
  <c r="Q81" i="9"/>
  <c r="P81" i="9"/>
  <c r="O81" i="9"/>
  <c r="N81" i="9"/>
  <c r="BU80" i="9"/>
  <c r="BT80" i="9"/>
  <c r="BS80" i="9"/>
  <c r="BR80" i="9"/>
  <c r="BQ80" i="9"/>
  <c r="BP80" i="9"/>
  <c r="BO80" i="9"/>
  <c r="BN80" i="9"/>
  <c r="BM80" i="9"/>
  <c r="BL80" i="9"/>
  <c r="BK80" i="9"/>
  <c r="BJ80" i="9"/>
  <c r="BI80" i="9"/>
  <c r="BH80" i="9"/>
  <c r="BG80" i="9"/>
  <c r="BF80" i="9"/>
  <c r="BE80" i="9"/>
  <c r="BD80" i="9"/>
  <c r="BC80" i="9"/>
  <c r="BB80" i="9"/>
  <c r="BA80" i="9"/>
  <c r="AZ80" i="9"/>
  <c r="AY80" i="9"/>
  <c r="AX80" i="9"/>
  <c r="AW80" i="9"/>
  <c r="AV80" i="9"/>
  <c r="AU80" i="9"/>
  <c r="AT80" i="9"/>
  <c r="AS80" i="9"/>
  <c r="AR80" i="9"/>
  <c r="AQ80" i="9"/>
  <c r="AP80" i="9"/>
  <c r="AO80" i="9"/>
  <c r="AN80" i="9"/>
  <c r="AM80" i="9"/>
  <c r="AL80" i="9"/>
  <c r="AK80" i="9"/>
  <c r="AJ80" i="9"/>
  <c r="AI80" i="9"/>
  <c r="AH80" i="9"/>
  <c r="AG80" i="9"/>
  <c r="AF80" i="9"/>
  <c r="AE80" i="9"/>
  <c r="AD80" i="9"/>
  <c r="AC80" i="9"/>
  <c r="AB80" i="9"/>
  <c r="AA80" i="9"/>
  <c r="Z80" i="9"/>
  <c r="Y80" i="9"/>
  <c r="X80" i="9"/>
  <c r="W80" i="9"/>
  <c r="V80" i="9"/>
  <c r="U80" i="9"/>
  <c r="T80" i="9"/>
  <c r="S80" i="9"/>
  <c r="R80" i="9"/>
  <c r="Q80" i="9"/>
  <c r="P80" i="9"/>
  <c r="O80" i="9"/>
  <c r="N80" i="9"/>
  <c r="M80" i="9"/>
  <c r="BT79" i="9"/>
  <c r="BS79" i="9"/>
  <c r="BR79" i="9"/>
  <c r="BQ79" i="9"/>
  <c r="BO79" i="9"/>
  <c r="BN79" i="9"/>
  <c r="BM79" i="9"/>
  <c r="BL79" i="9"/>
  <c r="BK79" i="9"/>
  <c r="BJ79" i="9"/>
  <c r="BI79" i="9"/>
  <c r="BH79" i="9"/>
  <c r="BG79" i="9"/>
  <c r="BE79" i="9"/>
  <c r="BD79" i="9"/>
  <c r="BC79" i="9"/>
  <c r="BB79" i="9"/>
  <c r="AZ79" i="9"/>
  <c r="AY79" i="9"/>
  <c r="AX79" i="9"/>
  <c r="AW79" i="9"/>
  <c r="AU79" i="9"/>
  <c r="AT79" i="9"/>
  <c r="AS79" i="9"/>
  <c r="AR79" i="9"/>
  <c r="AP79" i="9"/>
  <c r="AO79" i="9"/>
  <c r="AN79" i="9"/>
  <c r="AM79" i="9"/>
  <c r="AK79" i="9"/>
  <c r="AJ79" i="9"/>
  <c r="AI79" i="9"/>
  <c r="AH79" i="9"/>
  <c r="AG79" i="9"/>
  <c r="AF79" i="9"/>
  <c r="AE79" i="9"/>
  <c r="AD79" i="9"/>
  <c r="AC79" i="9"/>
  <c r="AA79" i="9"/>
  <c r="Z79" i="9"/>
  <c r="Y79" i="9"/>
  <c r="X79" i="9"/>
  <c r="V79" i="9"/>
  <c r="U79" i="9"/>
  <c r="T79" i="9"/>
  <c r="S79" i="9"/>
  <c r="Q79" i="9"/>
  <c r="P79" i="9"/>
  <c r="O79" i="9"/>
  <c r="N79" i="9"/>
  <c r="BU78" i="9"/>
  <c r="BT78" i="9"/>
  <c r="BS78" i="9"/>
  <c r="BR78" i="9"/>
  <c r="BQ78" i="9"/>
  <c r="BP78" i="9"/>
  <c r="BO78" i="9"/>
  <c r="BN78" i="9"/>
  <c r="BM78" i="9"/>
  <c r="BL78" i="9"/>
  <c r="BK78" i="9"/>
  <c r="BJ78" i="9"/>
  <c r="BI78" i="9"/>
  <c r="BH78" i="9"/>
  <c r="BG78" i="9"/>
  <c r="BF78" i="9"/>
  <c r="BE78" i="9"/>
  <c r="BD78" i="9"/>
  <c r="BC78" i="9"/>
  <c r="BB78" i="9"/>
  <c r="BA78" i="9"/>
  <c r="AZ78" i="9"/>
  <c r="AY78" i="9"/>
  <c r="AX78" i="9"/>
  <c r="AW78" i="9"/>
  <c r="AV78" i="9"/>
  <c r="AU78" i="9"/>
  <c r="AT78" i="9"/>
  <c r="AS78" i="9"/>
  <c r="AR78" i="9"/>
  <c r="AQ78" i="9"/>
  <c r="AP78" i="9"/>
  <c r="AO78" i="9"/>
  <c r="AN78" i="9"/>
  <c r="AM78" i="9"/>
  <c r="AL78" i="9"/>
  <c r="AK78" i="9"/>
  <c r="AJ78" i="9"/>
  <c r="AI78" i="9"/>
  <c r="AH78" i="9"/>
  <c r="AG78" i="9"/>
  <c r="AF78" i="9"/>
  <c r="AE78" i="9"/>
  <c r="AD78" i="9"/>
  <c r="AC78" i="9"/>
  <c r="AB78" i="9"/>
  <c r="AA78" i="9"/>
  <c r="Z78" i="9"/>
  <c r="Y78" i="9"/>
  <c r="X78" i="9"/>
  <c r="W78" i="9"/>
  <c r="V78" i="9"/>
  <c r="U78" i="9"/>
  <c r="T78" i="9"/>
  <c r="S78" i="9"/>
  <c r="R78" i="9"/>
  <c r="Q78" i="9"/>
  <c r="P78" i="9"/>
  <c r="O78" i="9"/>
  <c r="N78" i="9"/>
  <c r="M78" i="9"/>
  <c r="BU77" i="9"/>
  <c r="BT77" i="9"/>
  <c r="BS77" i="9"/>
  <c r="BR77" i="9"/>
  <c r="BQ77" i="9"/>
  <c r="BP77" i="9"/>
  <c r="BO77" i="9"/>
  <c r="BN77" i="9"/>
  <c r="BM77" i="9"/>
  <c r="BL77" i="9"/>
  <c r="BK77" i="9"/>
  <c r="BJ77" i="9"/>
  <c r="BI77" i="9"/>
  <c r="BH77" i="9"/>
  <c r="BG77" i="9"/>
  <c r="BF77" i="9"/>
  <c r="BE77" i="9"/>
  <c r="BD77" i="9"/>
  <c r="BC77" i="9"/>
  <c r="BB77" i="9"/>
  <c r="BA77" i="9"/>
  <c r="AZ77" i="9"/>
  <c r="AY77" i="9"/>
  <c r="AX77" i="9"/>
  <c r="AW77" i="9"/>
  <c r="AV77" i="9"/>
  <c r="AU77" i="9"/>
  <c r="AT77" i="9"/>
  <c r="AS77" i="9"/>
  <c r="AR77" i="9"/>
  <c r="AQ77" i="9"/>
  <c r="AP77" i="9"/>
  <c r="AO77" i="9"/>
  <c r="AN77" i="9"/>
  <c r="AM77" i="9"/>
  <c r="AL77" i="9"/>
  <c r="AK77" i="9"/>
  <c r="AJ77" i="9"/>
  <c r="AI77" i="9"/>
  <c r="AH77" i="9"/>
  <c r="AG77" i="9"/>
  <c r="AF77" i="9"/>
  <c r="AE77" i="9"/>
  <c r="AD77" i="9"/>
  <c r="AC77" i="9"/>
  <c r="AB77" i="9"/>
  <c r="AA77" i="9"/>
  <c r="Z77" i="9"/>
  <c r="Y77" i="9"/>
  <c r="X77" i="9"/>
  <c r="W77" i="9"/>
  <c r="V77" i="9"/>
  <c r="U77" i="9"/>
  <c r="T77" i="9"/>
  <c r="S77" i="9"/>
  <c r="R77" i="9"/>
  <c r="Q77" i="9"/>
  <c r="P77" i="9"/>
  <c r="O77" i="9"/>
  <c r="N77" i="9"/>
  <c r="M77" i="9"/>
  <c r="BU76" i="9"/>
  <c r="BT76" i="9"/>
  <c r="BS76" i="9"/>
  <c r="BR76" i="9"/>
  <c r="BQ76" i="9"/>
  <c r="BP76" i="9"/>
  <c r="BO76" i="9"/>
  <c r="BN76" i="9"/>
  <c r="BM76" i="9"/>
  <c r="BL76" i="9"/>
  <c r="BK76" i="9"/>
  <c r="BJ76" i="9"/>
  <c r="BI76" i="9"/>
  <c r="BH76" i="9"/>
  <c r="BG76" i="9"/>
  <c r="BF76" i="9"/>
  <c r="BE76" i="9"/>
  <c r="BD76" i="9"/>
  <c r="BC76" i="9"/>
  <c r="BB76" i="9"/>
  <c r="BA76" i="9"/>
  <c r="AZ76" i="9"/>
  <c r="AY76" i="9"/>
  <c r="AX76" i="9"/>
  <c r="AW76" i="9"/>
  <c r="AV76" i="9"/>
  <c r="AU76" i="9"/>
  <c r="AT76" i="9"/>
  <c r="AS76" i="9"/>
  <c r="AR76" i="9"/>
  <c r="AQ76" i="9"/>
  <c r="AP76" i="9"/>
  <c r="AO76" i="9"/>
  <c r="AN76" i="9"/>
  <c r="AM76" i="9"/>
  <c r="AL76" i="9"/>
  <c r="AK76" i="9"/>
  <c r="AJ76" i="9"/>
  <c r="AI76" i="9"/>
  <c r="AH76" i="9"/>
  <c r="AG76" i="9"/>
  <c r="AF76" i="9"/>
  <c r="AE76" i="9"/>
  <c r="AD76" i="9"/>
  <c r="AC76" i="9"/>
  <c r="AB76" i="9"/>
  <c r="AA76" i="9"/>
  <c r="Z76" i="9"/>
  <c r="Y76" i="9"/>
  <c r="X76" i="9"/>
  <c r="W76" i="9"/>
  <c r="V76" i="9"/>
  <c r="U76" i="9"/>
  <c r="T76" i="9"/>
  <c r="S76" i="9"/>
  <c r="R76" i="9"/>
  <c r="Q76" i="9"/>
  <c r="P76" i="9"/>
  <c r="O76" i="9"/>
  <c r="N76" i="9"/>
  <c r="M76" i="9"/>
  <c r="BT75" i="9"/>
  <c r="BS75" i="9"/>
  <c r="BR75" i="9"/>
  <c r="BQ75" i="9"/>
  <c r="BP75" i="9"/>
  <c r="BO75" i="9"/>
  <c r="BN75" i="9"/>
  <c r="BM75" i="9"/>
  <c r="BL75" i="9"/>
  <c r="BK75" i="9"/>
  <c r="BJ75" i="9"/>
  <c r="BI75" i="9"/>
  <c r="BH75" i="9"/>
  <c r="BG75" i="9"/>
  <c r="BF75" i="9"/>
  <c r="BE75" i="9"/>
  <c r="BD75" i="9"/>
  <c r="BC75" i="9"/>
  <c r="BB75" i="9"/>
  <c r="BA75" i="9"/>
  <c r="AZ75" i="9"/>
  <c r="AY75" i="9"/>
  <c r="AX75" i="9"/>
  <c r="AW75" i="9"/>
  <c r="AV75" i="9"/>
  <c r="AU75" i="9"/>
  <c r="AT75" i="9"/>
  <c r="AS75" i="9"/>
  <c r="AR75" i="9"/>
  <c r="AQ75" i="9"/>
  <c r="AP75" i="9"/>
  <c r="AO75" i="9"/>
  <c r="AN75" i="9"/>
  <c r="AM75" i="9"/>
  <c r="AL75" i="9"/>
  <c r="AK75" i="9"/>
  <c r="AJ75" i="9"/>
  <c r="AI75" i="9"/>
  <c r="AH75" i="9"/>
  <c r="AG75" i="9"/>
  <c r="AF75" i="9"/>
  <c r="AE75" i="9"/>
  <c r="AD75" i="9"/>
  <c r="AC75" i="9"/>
  <c r="AB75" i="9"/>
  <c r="AA75" i="9"/>
  <c r="Z75" i="9"/>
  <c r="Y75" i="9"/>
  <c r="X75" i="9"/>
  <c r="W75" i="9"/>
  <c r="V75" i="9"/>
  <c r="U75" i="9"/>
  <c r="T75" i="9"/>
  <c r="S75" i="9"/>
  <c r="R75" i="9"/>
  <c r="Q75" i="9"/>
  <c r="P75" i="9"/>
  <c r="O75" i="9"/>
  <c r="N75" i="9"/>
  <c r="M75" i="9"/>
  <c r="BT74" i="9"/>
  <c r="BS74" i="9"/>
  <c r="BR74" i="9"/>
  <c r="BQ74" i="9"/>
  <c r="BP74" i="9"/>
  <c r="BO74" i="9"/>
  <c r="BN74" i="9"/>
  <c r="BM74" i="9"/>
  <c r="BL74" i="9"/>
  <c r="BK74" i="9"/>
  <c r="BJ74" i="9"/>
  <c r="BI74" i="9"/>
  <c r="BH74" i="9"/>
  <c r="BG74" i="9"/>
  <c r="BF74" i="9"/>
  <c r="BE74" i="9"/>
  <c r="BD74" i="9"/>
  <c r="BC74" i="9"/>
  <c r="BB74" i="9"/>
  <c r="BA74" i="9"/>
  <c r="AZ74" i="9"/>
  <c r="AY74" i="9"/>
  <c r="AX74" i="9"/>
  <c r="AW74" i="9"/>
  <c r="AV74" i="9"/>
  <c r="AU74" i="9"/>
  <c r="AT74" i="9"/>
  <c r="AS74" i="9"/>
  <c r="AR74" i="9"/>
  <c r="AQ74" i="9"/>
  <c r="AP74" i="9"/>
  <c r="AO74" i="9"/>
  <c r="AN74" i="9"/>
  <c r="AM74" i="9"/>
  <c r="AL74" i="9"/>
  <c r="AK74" i="9"/>
  <c r="AJ74" i="9"/>
  <c r="AI74" i="9"/>
  <c r="AH74" i="9"/>
  <c r="AG74" i="9"/>
  <c r="AF74" i="9"/>
  <c r="AE74" i="9"/>
  <c r="AD74" i="9"/>
  <c r="AC74" i="9"/>
  <c r="AB74" i="9"/>
  <c r="AA74" i="9"/>
  <c r="Z74" i="9"/>
  <c r="Y74" i="9"/>
  <c r="X74" i="9"/>
  <c r="W74" i="9"/>
  <c r="V74" i="9"/>
  <c r="U74" i="9"/>
  <c r="T74" i="9"/>
  <c r="S74" i="9"/>
  <c r="R74" i="9"/>
  <c r="Q74" i="9"/>
  <c r="P74" i="9"/>
  <c r="O74" i="9"/>
  <c r="N74" i="9"/>
  <c r="M74" i="9"/>
  <c r="BT73" i="9"/>
  <c r="BS73" i="9"/>
  <c r="BR73" i="9"/>
  <c r="BQ73" i="9"/>
  <c r="BO73" i="9"/>
  <c r="BN73" i="9"/>
  <c r="BM73" i="9"/>
  <c r="BL73" i="9"/>
  <c r="BJ73" i="9"/>
  <c r="BI73" i="9"/>
  <c r="BH73" i="9"/>
  <c r="BG73" i="9"/>
  <c r="BE73" i="9"/>
  <c r="BD73" i="9"/>
  <c r="BC73" i="9"/>
  <c r="BB73" i="9"/>
  <c r="AZ73" i="9"/>
  <c r="AY73" i="9"/>
  <c r="AX73" i="9"/>
  <c r="AW73" i="9"/>
  <c r="AU73" i="9"/>
  <c r="AT73" i="9"/>
  <c r="AS73" i="9"/>
  <c r="AR73" i="9"/>
  <c r="AP73" i="9"/>
  <c r="AO73" i="9"/>
  <c r="AN73" i="9"/>
  <c r="AM73" i="9"/>
  <c r="AK73" i="9"/>
  <c r="AJ73" i="9"/>
  <c r="AI73" i="9"/>
  <c r="AH73" i="9"/>
  <c r="AF73" i="9"/>
  <c r="AE73" i="9"/>
  <c r="AD73" i="9"/>
  <c r="AC73" i="9"/>
  <c r="AA73" i="9"/>
  <c r="Z73" i="9"/>
  <c r="Y73" i="9"/>
  <c r="X73" i="9"/>
  <c r="V73" i="9"/>
  <c r="U73" i="9"/>
  <c r="T73" i="9"/>
  <c r="S73" i="9"/>
  <c r="Q73" i="9"/>
  <c r="P73" i="9"/>
  <c r="O73" i="9"/>
  <c r="N73" i="9"/>
  <c r="BU72" i="9"/>
  <c r="BT72" i="9"/>
  <c r="BS72" i="9"/>
  <c r="BR72" i="9"/>
  <c r="BQ72" i="9"/>
  <c r="BP72" i="9"/>
  <c r="BO72" i="9"/>
  <c r="BN72" i="9"/>
  <c r="BM72" i="9"/>
  <c r="BL72" i="9"/>
  <c r="BK72" i="9"/>
  <c r="BJ72" i="9"/>
  <c r="BI72" i="9"/>
  <c r="BH72" i="9"/>
  <c r="BG72" i="9"/>
  <c r="BF72" i="9"/>
  <c r="BE72" i="9"/>
  <c r="BD72" i="9"/>
  <c r="BC72" i="9"/>
  <c r="BB72" i="9"/>
  <c r="BA72" i="9"/>
  <c r="AZ72" i="9"/>
  <c r="AY72" i="9"/>
  <c r="AX72" i="9"/>
  <c r="AW72" i="9"/>
  <c r="AV72" i="9"/>
  <c r="AU72" i="9"/>
  <c r="AT72" i="9"/>
  <c r="AS72" i="9"/>
  <c r="AR72" i="9"/>
  <c r="AQ72" i="9"/>
  <c r="AP72" i="9"/>
  <c r="AO72" i="9"/>
  <c r="AN72" i="9"/>
  <c r="AM72" i="9"/>
  <c r="AL72" i="9"/>
  <c r="AK72" i="9"/>
  <c r="AJ72" i="9"/>
  <c r="AI72" i="9"/>
  <c r="AH72" i="9"/>
  <c r="AG72" i="9"/>
  <c r="AF72" i="9"/>
  <c r="AE72" i="9"/>
  <c r="AD72" i="9"/>
  <c r="AC72" i="9"/>
  <c r="AB72" i="9"/>
  <c r="AA72" i="9"/>
  <c r="Z72" i="9"/>
  <c r="Y72" i="9"/>
  <c r="X72" i="9"/>
  <c r="W72" i="9"/>
  <c r="V72" i="9"/>
  <c r="U72" i="9"/>
  <c r="T72" i="9"/>
  <c r="S72" i="9"/>
  <c r="R72" i="9"/>
  <c r="Q72" i="9"/>
  <c r="P72" i="9"/>
  <c r="O72" i="9"/>
  <c r="N72" i="9"/>
  <c r="M72" i="9"/>
  <c r="BU71" i="9"/>
  <c r="BT71" i="9"/>
  <c r="BS71" i="9"/>
  <c r="BR71" i="9"/>
  <c r="BQ71" i="9"/>
  <c r="BP71" i="9"/>
  <c r="BO71" i="9"/>
  <c r="BN71" i="9"/>
  <c r="BM71" i="9"/>
  <c r="BL71" i="9"/>
  <c r="BK71" i="9"/>
  <c r="BJ71" i="9"/>
  <c r="BI71" i="9"/>
  <c r="BH71" i="9"/>
  <c r="BG71" i="9"/>
  <c r="BF71" i="9"/>
  <c r="BE71" i="9"/>
  <c r="BD71" i="9"/>
  <c r="BC71" i="9"/>
  <c r="BB71" i="9"/>
  <c r="BA71" i="9"/>
  <c r="AZ71" i="9"/>
  <c r="AY71" i="9"/>
  <c r="AX71" i="9"/>
  <c r="AW71" i="9"/>
  <c r="AV71" i="9"/>
  <c r="AU71" i="9"/>
  <c r="AT71" i="9"/>
  <c r="AS71" i="9"/>
  <c r="AR71" i="9"/>
  <c r="AQ71" i="9"/>
  <c r="AP71" i="9"/>
  <c r="AO71" i="9"/>
  <c r="AN71" i="9"/>
  <c r="AM71" i="9"/>
  <c r="AL71" i="9"/>
  <c r="AK71" i="9"/>
  <c r="AJ71" i="9"/>
  <c r="AI71" i="9"/>
  <c r="AH71" i="9"/>
  <c r="AG71" i="9"/>
  <c r="AF71" i="9"/>
  <c r="AE71" i="9"/>
  <c r="AD71" i="9"/>
  <c r="AC71" i="9"/>
  <c r="AB71" i="9"/>
  <c r="AA71" i="9"/>
  <c r="Z71" i="9"/>
  <c r="Y71" i="9"/>
  <c r="X71" i="9"/>
  <c r="W71" i="9"/>
  <c r="V71" i="9"/>
  <c r="U71" i="9"/>
  <c r="T71" i="9"/>
  <c r="S71" i="9"/>
  <c r="R71" i="9"/>
  <c r="Q71" i="9"/>
  <c r="P71" i="9"/>
  <c r="O71" i="9"/>
  <c r="N71" i="9"/>
  <c r="M71" i="9"/>
  <c r="BT70" i="9"/>
  <c r="BS70" i="9"/>
  <c r="BR70" i="9"/>
  <c r="BQ70" i="9"/>
  <c r="BP70" i="9"/>
  <c r="BO70" i="9"/>
  <c r="BN70" i="9"/>
  <c r="BM70" i="9"/>
  <c r="BL70" i="9"/>
  <c r="BK70" i="9"/>
  <c r="BJ70" i="9"/>
  <c r="BI70" i="9"/>
  <c r="BH70" i="9"/>
  <c r="BG70" i="9"/>
  <c r="BF70" i="9"/>
  <c r="BE70" i="9"/>
  <c r="BD70" i="9"/>
  <c r="BC70" i="9"/>
  <c r="BB70" i="9"/>
  <c r="BA70" i="9"/>
  <c r="AZ70" i="9"/>
  <c r="AY70" i="9"/>
  <c r="AX70" i="9"/>
  <c r="AW70" i="9"/>
  <c r="AV70" i="9"/>
  <c r="AU70" i="9"/>
  <c r="AT70" i="9"/>
  <c r="AS70" i="9"/>
  <c r="AR70" i="9"/>
  <c r="AQ70" i="9"/>
  <c r="AP70" i="9"/>
  <c r="AO70" i="9"/>
  <c r="AN70" i="9"/>
  <c r="AM70" i="9"/>
  <c r="AL70" i="9"/>
  <c r="AK70" i="9"/>
  <c r="AJ70" i="9"/>
  <c r="AI70" i="9"/>
  <c r="AH70" i="9"/>
  <c r="AG70" i="9"/>
  <c r="AF70" i="9"/>
  <c r="AE70" i="9"/>
  <c r="AD70" i="9"/>
  <c r="AC70" i="9"/>
  <c r="AB70" i="9"/>
  <c r="AA70" i="9"/>
  <c r="Z70" i="9"/>
  <c r="Y70" i="9"/>
  <c r="X70" i="9"/>
  <c r="W70" i="9"/>
  <c r="V70" i="9"/>
  <c r="U70" i="9"/>
  <c r="T70" i="9"/>
  <c r="S70" i="9"/>
  <c r="R70" i="9"/>
  <c r="Q70" i="9"/>
  <c r="P70" i="9"/>
  <c r="O70" i="9"/>
  <c r="N70" i="9"/>
  <c r="M70" i="9"/>
  <c r="BT69" i="9"/>
  <c r="BS69" i="9"/>
  <c r="BR69" i="9"/>
  <c r="BQ69" i="9"/>
  <c r="BP69" i="9"/>
  <c r="BO69" i="9"/>
  <c r="BN69" i="9"/>
  <c r="BM69" i="9"/>
  <c r="BL69" i="9"/>
  <c r="BK69" i="9"/>
  <c r="BJ69" i="9"/>
  <c r="BI69" i="9"/>
  <c r="BH69" i="9"/>
  <c r="BG69" i="9"/>
  <c r="BF69" i="9"/>
  <c r="BE69" i="9"/>
  <c r="BD69" i="9"/>
  <c r="BC69" i="9"/>
  <c r="BB69" i="9"/>
  <c r="BA69" i="9"/>
  <c r="AZ69" i="9"/>
  <c r="AY69" i="9"/>
  <c r="AX69" i="9"/>
  <c r="AW69" i="9"/>
  <c r="AV69" i="9"/>
  <c r="AU69" i="9"/>
  <c r="AT69" i="9"/>
  <c r="AS69" i="9"/>
  <c r="AR69" i="9"/>
  <c r="AQ69" i="9"/>
  <c r="AP69" i="9"/>
  <c r="AO69" i="9"/>
  <c r="AN69" i="9"/>
  <c r="AM69" i="9"/>
  <c r="AL69" i="9"/>
  <c r="AK69" i="9"/>
  <c r="AJ69" i="9"/>
  <c r="AI69" i="9"/>
  <c r="AH69" i="9"/>
  <c r="AG69" i="9"/>
  <c r="AF69" i="9"/>
  <c r="AE69" i="9"/>
  <c r="AD69" i="9"/>
  <c r="AC69" i="9"/>
  <c r="AB69" i="9"/>
  <c r="AA69" i="9"/>
  <c r="Z69" i="9"/>
  <c r="Y69" i="9"/>
  <c r="X69" i="9"/>
  <c r="W69" i="9"/>
  <c r="V69" i="9"/>
  <c r="U69" i="9"/>
  <c r="T69" i="9"/>
  <c r="S69" i="9"/>
  <c r="R69" i="9"/>
  <c r="Q69" i="9"/>
  <c r="P69" i="9"/>
  <c r="O69" i="9"/>
  <c r="N69" i="9"/>
  <c r="M69" i="9"/>
  <c r="BT68" i="9"/>
  <c r="BS68" i="9"/>
  <c r="BR68" i="9"/>
  <c r="BQ68" i="9"/>
  <c r="BO68" i="9"/>
  <c r="BN68" i="9"/>
  <c r="BM68" i="9"/>
  <c r="BL68" i="9"/>
  <c r="BJ68" i="9"/>
  <c r="BI68" i="9"/>
  <c r="BH68" i="9"/>
  <c r="BG68" i="9"/>
  <c r="BE68" i="9"/>
  <c r="BD68" i="9"/>
  <c r="BC68" i="9"/>
  <c r="BB68" i="9"/>
  <c r="AZ68" i="9"/>
  <c r="AY68" i="9"/>
  <c r="AX68" i="9"/>
  <c r="AW68" i="9"/>
  <c r="AU68" i="9"/>
  <c r="AT68" i="9"/>
  <c r="AS68" i="9"/>
  <c r="AR68" i="9"/>
  <c r="AP68" i="9"/>
  <c r="AO68" i="9"/>
  <c r="AN68" i="9"/>
  <c r="AM68" i="9"/>
  <c r="AK68" i="9"/>
  <c r="AJ68" i="9"/>
  <c r="AI68" i="9"/>
  <c r="AH68" i="9"/>
  <c r="AF68" i="9"/>
  <c r="AE68" i="9"/>
  <c r="AD68" i="9"/>
  <c r="AC68" i="9"/>
  <c r="AA68" i="9"/>
  <c r="Z68" i="9"/>
  <c r="Y68" i="9"/>
  <c r="X68" i="9"/>
  <c r="V68" i="9"/>
  <c r="U68" i="9"/>
  <c r="T68" i="9"/>
  <c r="S68" i="9"/>
  <c r="Q68" i="9"/>
  <c r="P68" i="9"/>
  <c r="O68" i="9"/>
  <c r="N68" i="9"/>
  <c r="BU67" i="9"/>
  <c r="BT67" i="9"/>
  <c r="BS67" i="9"/>
  <c r="BR67" i="9"/>
  <c r="BQ67" i="9"/>
  <c r="BP67" i="9"/>
  <c r="BO67" i="9"/>
  <c r="BN67" i="9"/>
  <c r="BM67" i="9"/>
  <c r="BL67" i="9"/>
  <c r="BK67" i="9"/>
  <c r="BJ67" i="9"/>
  <c r="BI67" i="9"/>
  <c r="BH67" i="9"/>
  <c r="BG67" i="9"/>
  <c r="BF67" i="9"/>
  <c r="BE67" i="9"/>
  <c r="BD67" i="9"/>
  <c r="BC67" i="9"/>
  <c r="BB67" i="9"/>
  <c r="BA67" i="9"/>
  <c r="AZ67" i="9"/>
  <c r="AY67" i="9"/>
  <c r="AX67" i="9"/>
  <c r="AW67" i="9"/>
  <c r="AV67" i="9"/>
  <c r="AU67" i="9"/>
  <c r="AT67" i="9"/>
  <c r="AS67" i="9"/>
  <c r="AR67" i="9"/>
  <c r="AQ67" i="9"/>
  <c r="AP67" i="9"/>
  <c r="AO67" i="9"/>
  <c r="AN67" i="9"/>
  <c r="AM67" i="9"/>
  <c r="AL67" i="9"/>
  <c r="AK67" i="9"/>
  <c r="AJ67" i="9"/>
  <c r="AI67" i="9"/>
  <c r="AH67" i="9"/>
  <c r="AG67" i="9"/>
  <c r="AF67" i="9"/>
  <c r="AE67" i="9"/>
  <c r="AD67" i="9"/>
  <c r="AC67" i="9"/>
  <c r="AB67" i="9"/>
  <c r="AA67" i="9"/>
  <c r="Z67" i="9"/>
  <c r="Y67" i="9"/>
  <c r="X67" i="9"/>
  <c r="W67" i="9"/>
  <c r="V67" i="9"/>
  <c r="U67" i="9"/>
  <c r="T67" i="9"/>
  <c r="S67" i="9"/>
  <c r="R67" i="9"/>
  <c r="Q67" i="9"/>
  <c r="P67" i="9"/>
  <c r="O67" i="9"/>
  <c r="N67" i="9"/>
  <c r="M67" i="9"/>
  <c r="BT66" i="9"/>
  <c r="BS66" i="9"/>
  <c r="BR66" i="9"/>
  <c r="BQ66" i="9"/>
  <c r="BP66" i="9"/>
  <c r="BO66" i="9"/>
  <c r="BN66" i="9"/>
  <c r="BM66" i="9"/>
  <c r="BL66" i="9"/>
  <c r="BK66" i="9"/>
  <c r="BJ66" i="9"/>
  <c r="BI66" i="9"/>
  <c r="BH66" i="9"/>
  <c r="BG66" i="9"/>
  <c r="BF66" i="9"/>
  <c r="BE66" i="9"/>
  <c r="BD66" i="9"/>
  <c r="BC66" i="9"/>
  <c r="BB66" i="9"/>
  <c r="BA66" i="9"/>
  <c r="AZ66" i="9"/>
  <c r="AY66" i="9"/>
  <c r="AX66" i="9"/>
  <c r="AW66" i="9"/>
  <c r="AV66" i="9"/>
  <c r="AU66" i="9"/>
  <c r="AT66" i="9"/>
  <c r="AS66" i="9"/>
  <c r="AR66" i="9"/>
  <c r="AQ66" i="9"/>
  <c r="AP66" i="9"/>
  <c r="AO66" i="9"/>
  <c r="AN66" i="9"/>
  <c r="AM66" i="9"/>
  <c r="AL66" i="9"/>
  <c r="AK66" i="9"/>
  <c r="AJ66" i="9"/>
  <c r="AI66" i="9"/>
  <c r="AH66" i="9"/>
  <c r="AG66" i="9"/>
  <c r="AF66" i="9"/>
  <c r="AE66" i="9"/>
  <c r="AD66" i="9"/>
  <c r="AC66" i="9"/>
  <c r="AB66" i="9"/>
  <c r="AA66" i="9"/>
  <c r="Z66" i="9"/>
  <c r="Y66" i="9"/>
  <c r="X66" i="9"/>
  <c r="W66" i="9"/>
  <c r="V66" i="9"/>
  <c r="U66" i="9"/>
  <c r="T66" i="9"/>
  <c r="S66" i="9"/>
  <c r="R66" i="9"/>
  <c r="Q66" i="9"/>
  <c r="P66" i="9"/>
  <c r="O66" i="9"/>
  <c r="N66" i="9"/>
  <c r="M66" i="9"/>
  <c r="BU65" i="9"/>
  <c r="BT65" i="9"/>
  <c r="BS65" i="9"/>
  <c r="BR65" i="9"/>
  <c r="BQ65" i="9"/>
  <c r="BP65" i="9"/>
  <c r="BO65" i="9"/>
  <c r="BN65" i="9"/>
  <c r="BM65" i="9"/>
  <c r="BL65" i="9"/>
  <c r="BK65" i="9"/>
  <c r="BJ65" i="9"/>
  <c r="BI65" i="9"/>
  <c r="BH65" i="9"/>
  <c r="BG65" i="9"/>
  <c r="BF65" i="9"/>
  <c r="BE65" i="9"/>
  <c r="BD65" i="9"/>
  <c r="BC65" i="9"/>
  <c r="BB65" i="9"/>
  <c r="BA65" i="9"/>
  <c r="AZ65" i="9"/>
  <c r="AY65" i="9"/>
  <c r="AX65" i="9"/>
  <c r="AW65" i="9"/>
  <c r="AV65" i="9"/>
  <c r="AU65" i="9"/>
  <c r="AT65" i="9"/>
  <c r="AS65" i="9"/>
  <c r="AR65" i="9"/>
  <c r="AQ65" i="9"/>
  <c r="AP65" i="9"/>
  <c r="AO65" i="9"/>
  <c r="AN65" i="9"/>
  <c r="AM65" i="9"/>
  <c r="AL65" i="9"/>
  <c r="AK65" i="9"/>
  <c r="AJ65" i="9"/>
  <c r="AI65" i="9"/>
  <c r="AH65" i="9"/>
  <c r="AG65" i="9"/>
  <c r="AF65" i="9"/>
  <c r="AE65" i="9"/>
  <c r="AD65" i="9"/>
  <c r="AC65" i="9"/>
  <c r="AB65" i="9"/>
  <c r="AA65" i="9"/>
  <c r="Z65" i="9"/>
  <c r="Y65" i="9"/>
  <c r="X65" i="9"/>
  <c r="W65" i="9"/>
  <c r="V65" i="9"/>
  <c r="U65" i="9"/>
  <c r="T65" i="9"/>
  <c r="S65" i="9"/>
  <c r="R65" i="9"/>
  <c r="Q65" i="9"/>
  <c r="P65" i="9"/>
  <c r="O65" i="9"/>
  <c r="N65" i="9"/>
  <c r="M65" i="9"/>
  <c r="BT64" i="9"/>
  <c r="BS64" i="9"/>
  <c r="BR64" i="9"/>
  <c r="BQ64" i="9"/>
  <c r="BP64" i="9"/>
  <c r="BO64" i="9"/>
  <c r="BN64" i="9"/>
  <c r="BM64" i="9"/>
  <c r="BL64" i="9"/>
  <c r="BK64" i="9"/>
  <c r="BJ64" i="9"/>
  <c r="BI64" i="9"/>
  <c r="BH64" i="9"/>
  <c r="BG64" i="9"/>
  <c r="BE64" i="9"/>
  <c r="BD64" i="9"/>
  <c r="BC64" i="9"/>
  <c r="BB64" i="9"/>
  <c r="BA64" i="9"/>
  <c r="AZ64" i="9"/>
  <c r="AY64" i="9"/>
  <c r="AX64" i="9"/>
  <c r="AW64" i="9"/>
  <c r="AV64" i="9"/>
  <c r="AU64" i="9"/>
  <c r="AT64" i="9"/>
  <c r="AS64" i="9"/>
  <c r="AR64" i="9"/>
  <c r="AQ64" i="9"/>
  <c r="AP64" i="9"/>
  <c r="AO64" i="9"/>
  <c r="AN64" i="9"/>
  <c r="AM64" i="9"/>
  <c r="AL64" i="9"/>
  <c r="AK64" i="9"/>
  <c r="AJ64" i="9"/>
  <c r="AI64" i="9"/>
  <c r="AH64" i="9"/>
  <c r="AF64" i="9"/>
  <c r="AE64" i="9"/>
  <c r="AD64" i="9"/>
  <c r="AC64" i="9"/>
  <c r="AB64" i="9"/>
  <c r="AA64" i="9"/>
  <c r="Z64" i="9"/>
  <c r="Y64" i="9"/>
  <c r="X64" i="9"/>
  <c r="W64" i="9"/>
  <c r="V64" i="9"/>
  <c r="U64" i="9"/>
  <c r="T64" i="9"/>
  <c r="S64" i="9"/>
  <c r="R64" i="9"/>
  <c r="Q64" i="9"/>
  <c r="P64" i="9"/>
  <c r="O64" i="9"/>
  <c r="N64" i="9"/>
  <c r="M64" i="9"/>
  <c r="BU63" i="9"/>
  <c r="BT63" i="9"/>
  <c r="BS63" i="9"/>
  <c r="BR63" i="9"/>
  <c r="BQ63" i="9"/>
  <c r="BP63" i="9"/>
  <c r="BO63" i="9"/>
  <c r="BN63" i="9"/>
  <c r="BM63" i="9"/>
  <c r="BL63" i="9"/>
  <c r="BK63" i="9"/>
  <c r="BJ63" i="9"/>
  <c r="BI63" i="9"/>
  <c r="BH63" i="9"/>
  <c r="BG63" i="9"/>
  <c r="BF63" i="9"/>
  <c r="BE63" i="9"/>
  <c r="BD63" i="9"/>
  <c r="BC63" i="9"/>
  <c r="BB63" i="9"/>
  <c r="BA63" i="9"/>
  <c r="AZ63" i="9"/>
  <c r="AY63"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BU62" i="9"/>
  <c r="BT62" i="9"/>
  <c r="BS62" i="9"/>
  <c r="BR62" i="9"/>
  <c r="BQ62" i="9"/>
  <c r="BP62" i="9"/>
  <c r="BO62" i="9"/>
  <c r="BN62" i="9"/>
  <c r="BM62" i="9"/>
  <c r="BL62" i="9"/>
  <c r="BK62" i="9"/>
  <c r="BJ62" i="9"/>
  <c r="BI62" i="9"/>
  <c r="BH62" i="9"/>
  <c r="BG62" i="9"/>
  <c r="BF62" i="9"/>
  <c r="BE62" i="9"/>
  <c r="BD62" i="9"/>
  <c r="BC62" i="9"/>
  <c r="BB62" i="9"/>
  <c r="BA62" i="9"/>
  <c r="AZ62" i="9"/>
  <c r="AY62"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P62" i="9"/>
  <c r="O62" i="9"/>
  <c r="N62" i="9"/>
  <c r="M62" i="9"/>
  <c r="BU61" i="9"/>
  <c r="BT61" i="9"/>
  <c r="BS61" i="9"/>
  <c r="BR61" i="9"/>
  <c r="BQ61" i="9"/>
  <c r="BP61" i="9"/>
  <c r="BO61" i="9"/>
  <c r="BN61" i="9"/>
  <c r="BM61" i="9"/>
  <c r="BL61" i="9"/>
  <c r="BK61" i="9"/>
  <c r="BJ61" i="9"/>
  <c r="BI61" i="9"/>
  <c r="BH61" i="9"/>
  <c r="BG61" i="9"/>
  <c r="BF61" i="9"/>
  <c r="BE61" i="9"/>
  <c r="BD61" i="9"/>
  <c r="BC61" i="9"/>
  <c r="BB61" i="9"/>
  <c r="BA61" i="9"/>
  <c r="AZ61" i="9"/>
  <c r="AY61" i="9"/>
  <c r="AX61" i="9"/>
  <c r="AW61" i="9"/>
  <c r="AV61" i="9"/>
  <c r="AU61" i="9"/>
  <c r="AT61" i="9"/>
  <c r="AS61" i="9"/>
  <c r="AR61" i="9"/>
  <c r="AQ61" i="9"/>
  <c r="AP61" i="9"/>
  <c r="AO61" i="9"/>
  <c r="AN61" i="9"/>
  <c r="AM61" i="9"/>
  <c r="AL61" i="9"/>
  <c r="AK61" i="9"/>
  <c r="AJ61" i="9"/>
  <c r="AI61" i="9"/>
  <c r="AH61" i="9"/>
  <c r="AG61" i="9"/>
  <c r="AF61" i="9"/>
  <c r="AE61" i="9"/>
  <c r="AD61" i="9"/>
  <c r="AC61" i="9"/>
  <c r="AB61" i="9"/>
  <c r="AA61" i="9"/>
  <c r="Z61" i="9"/>
  <c r="Y61" i="9"/>
  <c r="X61" i="9"/>
  <c r="W61" i="9"/>
  <c r="V61" i="9"/>
  <c r="U61" i="9"/>
  <c r="T61" i="9"/>
  <c r="S61" i="9"/>
  <c r="R61" i="9"/>
  <c r="Q61" i="9"/>
  <c r="P61" i="9"/>
  <c r="O61" i="9"/>
  <c r="N61" i="9"/>
  <c r="M61" i="9"/>
  <c r="BT60" i="9"/>
  <c r="BS60" i="9"/>
  <c r="BR60" i="9"/>
  <c r="BQ60" i="9"/>
  <c r="BP60" i="9"/>
  <c r="BO60" i="9"/>
  <c r="BN60" i="9"/>
  <c r="BM60" i="9"/>
  <c r="BL60" i="9"/>
  <c r="BK60" i="9"/>
  <c r="BJ60" i="9"/>
  <c r="BI60" i="9"/>
  <c r="BH60" i="9"/>
  <c r="BG60" i="9"/>
  <c r="BF60" i="9"/>
  <c r="BE60" i="9"/>
  <c r="BD60" i="9"/>
  <c r="BC60" i="9"/>
  <c r="BB60" i="9"/>
  <c r="BA60" i="9"/>
  <c r="AZ60" i="9"/>
  <c r="AY60" i="9"/>
  <c r="AX60" i="9"/>
  <c r="AW60" i="9"/>
  <c r="AV60"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BT58" i="9"/>
  <c r="BS58" i="9"/>
  <c r="BR58" i="9"/>
  <c r="BQ58" i="9"/>
  <c r="BO58" i="9"/>
  <c r="BN58" i="9"/>
  <c r="BM58" i="9"/>
  <c r="BL58" i="9"/>
  <c r="BJ58" i="9"/>
  <c r="BI58" i="9"/>
  <c r="BH58" i="9"/>
  <c r="BG58" i="9"/>
  <c r="BE58" i="9"/>
  <c r="BD58" i="9"/>
  <c r="BC58" i="9"/>
  <c r="BB58" i="9"/>
  <c r="AZ58" i="9"/>
  <c r="AY58" i="9"/>
  <c r="AX58" i="9"/>
  <c r="AW58" i="9"/>
  <c r="AV58" i="9"/>
  <c r="AU58" i="9"/>
  <c r="AT58" i="9"/>
  <c r="AS58" i="9"/>
  <c r="AR58" i="9"/>
  <c r="AP58" i="9"/>
  <c r="AO58" i="9"/>
  <c r="AN58" i="9"/>
  <c r="AM58" i="9"/>
  <c r="AK58" i="9"/>
  <c r="AJ58" i="9"/>
  <c r="AI58" i="9"/>
  <c r="AH58" i="9"/>
  <c r="AF58" i="9"/>
  <c r="AE58" i="9"/>
  <c r="AD58" i="9"/>
  <c r="AC58" i="9"/>
  <c r="AA58" i="9"/>
  <c r="Z58" i="9"/>
  <c r="Y58" i="9"/>
  <c r="X58" i="9"/>
  <c r="V58" i="9"/>
  <c r="U58" i="9"/>
  <c r="T58" i="9"/>
  <c r="S58" i="9"/>
  <c r="Q58" i="9"/>
  <c r="P58" i="9"/>
  <c r="O58" i="9"/>
  <c r="N58"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BT56" i="9"/>
  <c r="BS56" i="9"/>
  <c r="BR56" i="9"/>
  <c r="BQ56" i="9"/>
  <c r="BP56" i="9"/>
  <c r="BO56" i="9"/>
  <c r="BN56" i="9"/>
  <c r="BM56" i="9"/>
  <c r="BL56" i="9"/>
  <c r="BJ56" i="9"/>
  <c r="BI56" i="9"/>
  <c r="BH56" i="9"/>
  <c r="BG56" i="9"/>
  <c r="BF56" i="9"/>
  <c r="BE56" i="9"/>
  <c r="BD56" i="9"/>
  <c r="BC56" i="9"/>
  <c r="BB56" i="9"/>
  <c r="AZ56" i="9"/>
  <c r="AY56" i="9"/>
  <c r="AX56" i="9"/>
  <c r="AW56" i="9"/>
  <c r="AU56" i="9"/>
  <c r="AT56" i="9"/>
  <c r="AS56" i="9"/>
  <c r="AR56" i="9"/>
  <c r="AQ56" i="9"/>
  <c r="AP56" i="9"/>
  <c r="AO56" i="9"/>
  <c r="AN56" i="9"/>
  <c r="AM56" i="9"/>
  <c r="AK56" i="9"/>
  <c r="AJ56" i="9"/>
  <c r="AI56" i="9"/>
  <c r="AH56" i="9"/>
  <c r="AF56" i="9"/>
  <c r="AE56" i="9"/>
  <c r="AD56" i="9"/>
  <c r="AC56" i="9"/>
  <c r="AB56" i="9"/>
  <c r="AA56" i="9"/>
  <c r="Z56" i="9"/>
  <c r="Y56" i="9"/>
  <c r="X56" i="9"/>
  <c r="V56" i="9"/>
  <c r="U56" i="9"/>
  <c r="T56" i="9"/>
  <c r="S56" i="9"/>
  <c r="Q56" i="9"/>
  <c r="P56" i="9"/>
  <c r="O56" i="9"/>
  <c r="N56" i="9"/>
  <c r="M56" i="9"/>
  <c r="BT55" i="9"/>
  <c r="BS55" i="9"/>
  <c r="BR55" i="9"/>
  <c r="BQ55" i="9"/>
  <c r="BO55" i="9"/>
  <c r="BN55" i="9"/>
  <c r="BM55" i="9"/>
  <c r="BL55" i="9"/>
  <c r="BK55" i="9"/>
  <c r="BJ55" i="9"/>
  <c r="BI55" i="9"/>
  <c r="BH55" i="9"/>
  <c r="BG55" i="9"/>
  <c r="BE55" i="9"/>
  <c r="BD55" i="9"/>
  <c r="BC55" i="9"/>
  <c r="BB55" i="9"/>
  <c r="AZ55" i="9"/>
  <c r="AY55" i="9"/>
  <c r="AX55" i="9"/>
  <c r="AW55" i="9"/>
  <c r="AU55" i="9"/>
  <c r="AT55" i="9"/>
  <c r="AS55" i="9"/>
  <c r="AR55" i="9"/>
  <c r="AP55" i="9"/>
  <c r="AO55" i="9"/>
  <c r="AN55" i="9"/>
  <c r="AM55" i="9"/>
  <c r="AK55" i="9"/>
  <c r="AJ55" i="9"/>
  <c r="AI55" i="9"/>
  <c r="AH55" i="9"/>
  <c r="AG55" i="9"/>
  <c r="AF55" i="9"/>
  <c r="AE55" i="9"/>
  <c r="AD55" i="9"/>
  <c r="AC55" i="9"/>
  <c r="AA55" i="9"/>
  <c r="Z55" i="9"/>
  <c r="Y55" i="9"/>
  <c r="X55" i="9"/>
  <c r="V55" i="9"/>
  <c r="U55" i="9"/>
  <c r="T55" i="9"/>
  <c r="S55" i="9"/>
  <c r="Q55" i="9"/>
  <c r="P55" i="9"/>
  <c r="O55" i="9"/>
  <c r="N55" i="9"/>
  <c r="M55" i="9"/>
  <c r="BT54" i="9"/>
  <c r="BS54" i="9"/>
  <c r="BR54" i="9"/>
  <c r="BQ54" i="9"/>
  <c r="BO54" i="9"/>
  <c r="BN54" i="9"/>
  <c r="BM54" i="9"/>
  <c r="BL54" i="9"/>
  <c r="BJ54" i="9"/>
  <c r="BI54" i="9"/>
  <c r="BH54" i="9"/>
  <c r="BG54" i="9"/>
  <c r="BE54" i="9"/>
  <c r="BD54" i="9"/>
  <c r="BC54" i="9"/>
  <c r="BB54" i="9"/>
  <c r="AZ54" i="9"/>
  <c r="AY54" i="9"/>
  <c r="AX54" i="9"/>
  <c r="AW54" i="9"/>
  <c r="AU54" i="9"/>
  <c r="AT54" i="9"/>
  <c r="AS54" i="9"/>
  <c r="AR54" i="9"/>
  <c r="AP54" i="9"/>
  <c r="AO54" i="9"/>
  <c r="AN54" i="9"/>
  <c r="AM54" i="9"/>
  <c r="AK54" i="9"/>
  <c r="AJ54" i="9"/>
  <c r="AI54" i="9"/>
  <c r="AH54" i="9"/>
  <c r="AF54" i="9"/>
  <c r="AE54" i="9"/>
  <c r="AD54" i="9"/>
  <c r="AC54" i="9"/>
  <c r="AA54" i="9"/>
  <c r="Z54" i="9"/>
  <c r="Y54" i="9"/>
  <c r="X54" i="9"/>
  <c r="V54" i="9"/>
  <c r="U54" i="9"/>
  <c r="T54" i="9"/>
  <c r="S54" i="9"/>
  <c r="Q54" i="9"/>
  <c r="P54" i="9"/>
  <c r="O54" i="9"/>
  <c r="N54" i="9"/>
  <c r="BT53" i="9"/>
  <c r="BS53" i="9"/>
  <c r="BR53" i="9"/>
  <c r="BQ53" i="9"/>
  <c r="BO53" i="9"/>
  <c r="BN53" i="9"/>
  <c r="BM53" i="9"/>
  <c r="BL53" i="9"/>
  <c r="BJ53" i="9"/>
  <c r="BI53" i="9"/>
  <c r="BH53" i="9"/>
  <c r="BG53" i="9"/>
  <c r="BE53" i="9"/>
  <c r="BD53" i="9"/>
  <c r="BC53" i="9"/>
  <c r="BB53" i="9"/>
  <c r="AZ53" i="9"/>
  <c r="AY53" i="9"/>
  <c r="AX53" i="9"/>
  <c r="AW53" i="9"/>
  <c r="AU53" i="9"/>
  <c r="AT53" i="9"/>
  <c r="AS53" i="9"/>
  <c r="AR53" i="9"/>
  <c r="AP53" i="9"/>
  <c r="AO53" i="9"/>
  <c r="AN53" i="9"/>
  <c r="AM53" i="9"/>
  <c r="AK53" i="9"/>
  <c r="AJ53" i="9"/>
  <c r="AI53" i="9"/>
  <c r="AH53" i="9"/>
  <c r="AF53" i="9"/>
  <c r="AE53" i="9"/>
  <c r="AD53" i="9"/>
  <c r="AC53" i="9"/>
  <c r="AA53" i="9"/>
  <c r="Z53" i="9"/>
  <c r="Y53" i="9"/>
  <c r="X53" i="9"/>
  <c r="V53" i="9"/>
  <c r="U53" i="9"/>
  <c r="T53" i="9"/>
  <c r="S53" i="9"/>
  <c r="Q53" i="9"/>
  <c r="P53" i="9"/>
  <c r="O53" i="9"/>
  <c r="N53" i="9"/>
  <c r="CO52" i="9"/>
  <c r="CJ52" i="9"/>
  <c r="CO54" i="9" s="1"/>
  <c r="CO51" i="9"/>
  <c r="EH38" i="9"/>
  <c r="BP79" i="9" s="1"/>
  <c r="EC38" i="9"/>
  <c r="DX38" i="9"/>
  <c r="DS38" i="9"/>
  <c r="DN38" i="9"/>
  <c r="DI38" i="9"/>
  <c r="DD38" i="9"/>
  <c r="CY38" i="9"/>
  <c r="CT38" i="9"/>
  <c r="CO38" i="9"/>
  <c r="CJ38" i="9"/>
  <c r="CE38" i="9"/>
  <c r="EM38" i="9" s="1"/>
  <c r="BZ38" i="9"/>
  <c r="BF38" i="9"/>
  <c r="BF79" i="9" s="1"/>
  <c r="BA38" i="9"/>
  <c r="BA79" i="9" s="1"/>
  <c r="AV38" i="9"/>
  <c r="AV79" i="9" s="1"/>
  <c r="AQ38" i="9"/>
  <c r="AQ79" i="9" s="1"/>
  <c r="AL38" i="9"/>
  <c r="AL79" i="9" s="1"/>
  <c r="AG38" i="9"/>
  <c r="BU38" i="9" s="1"/>
  <c r="AB38" i="9"/>
  <c r="AB79" i="9" s="1"/>
  <c r="W38" i="9"/>
  <c r="W79" i="9" s="1"/>
  <c r="R38" i="9"/>
  <c r="R79" i="9" s="1"/>
  <c r="M38" i="9"/>
  <c r="M79" i="9" s="1"/>
  <c r="EM34" i="9"/>
  <c r="BU34" i="9"/>
  <c r="BU75" i="9" s="1"/>
  <c r="EM33" i="9"/>
  <c r="BU74" i="9" s="1"/>
  <c r="BU33" i="9"/>
  <c r="EH32" i="9"/>
  <c r="EC32" i="9"/>
  <c r="BK73" i="9" s="1"/>
  <c r="DX32" i="9"/>
  <c r="DS32" i="9"/>
  <c r="DN32" i="9"/>
  <c r="DI32" i="9"/>
  <c r="DD32" i="9"/>
  <c r="CY32" i="9"/>
  <c r="AG73" i="9" s="1"/>
  <c r="CT32" i="9"/>
  <c r="CO32" i="9"/>
  <c r="CJ32" i="9"/>
  <c r="CE32" i="9"/>
  <c r="BZ32" i="9"/>
  <c r="BU32" i="9"/>
  <c r="BP32" i="9"/>
  <c r="BP73" i="9" s="1"/>
  <c r="BK32" i="9"/>
  <c r="BF32" i="9"/>
  <c r="BF73" i="9" s="1"/>
  <c r="BA32" i="9"/>
  <c r="BA73" i="9" s="1"/>
  <c r="AV32" i="9"/>
  <c r="AQ32" i="9"/>
  <c r="AQ73" i="9" s="1"/>
  <c r="AL32" i="9"/>
  <c r="AL73" i="9" s="1"/>
  <c r="AG32" i="9"/>
  <c r="AB32" i="9"/>
  <c r="AB73" i="9" s="1"/>
  <c r="W32" i="9"/>
  <c r="W73" i="9" s="1"/>
  <c r="R32" i="9"/>
  <c r="M32" i="9"/>
  <c r="M73" i="9" s="1"/>
  <c r="H32" i="9"/>
  <c r="EM29" i="9"/>
  <c r="BU29" i="9"/>
  <c r="EM28" i="9"/>
  <c r="BU28" i="9"/>
  <c r="BU69" i="9" s="1"/>
  <c r="H28" i="9"/>
  <c r="H27" i="9" s="1"/>
  <c r="EM27" i="9"/>
  <c r="EH27" i="9"/>
  <c r="EC27" i="9"/>
  <c r="DX27" i="9"/>
  <c r="DS27" i="9"/>
  <c r="DN27" i="9"/>
  <c r="DI27" i="9"/>
  <c r="DD27" i="9"/>
  <c r="CY27" i="9"/>
  <c r="CT27" i="9"/>
  <c r="CO27" i="9"/>
  <c r="CJ27" i="9"/>
  <c r="CE27" i="9"/>
  <c r="BZ27" i="9"/>
  <c r="BP27" i="9"/>
  <c r="BP68" i="9" s="1"/>
  <c r="BK27" i="9"/>
  <c r="BF27" i="9"/>
  <c r="BF68" i="9" s="1"/>
  <c r="BA27" i="9"/>
  <c r="AV27" i="9"/>
  <c r="AV68" i="9" s="1"/>
  <c r="AQ27" i="9"/>
  <c r="AL27" i="9"/>
  <c r="AL68" i="9" s="1"/>
  <c r="AG27" i="9"/>
  <c r="AB27" i="9"/>
  <c r="AB68" i="9" s="1"/>
  <c r="W27" i="9"/>
  <c r="R27" i="9"/>
  <c r="R68" i="9" s="1"/>
  <c r="M27" i="9"/>
  <c r="EM25" i="9"/>
  <c r="BU25" i="9"/>
  <c r="BU66" i="9" s="1"/>
  <c r="EH23" i="9"/>
  <c r="DX23" i="9"/>
  <c r="BF64" i="9" s="1"/>
  <c r="CY23" i="9"/>
  <c r="AG64" i="9" s="1"/>
  <c r="BU23" i="9"/>
  <c r="EM19" i="9"/>
  <c r="BU19" i="9"/>
  <c r="EM18" i="9"/>
  <c r="BU18" i="9"/>
  <c r="EH17" i="9"/>
  <c r="EC17" i="9"/>
  <c r="DX17" i="9"/>
  <c r="DS17" i="9"/>
  <c r="DN17" i="9"/>
  <c r="DI17" i="9"/>
  <c r="DD17" i="9"/>
  <c r="CY17" i="9"/>
  <c r="CT17" i="9"/>
  <c r="CO17" i="9"/>
  <c r="CJ17" i="9"/>
  <c r="CE17" i="9"/>
  <c r="BZ17" i="9"/>
  <c r="BP17" i="9"/>
  <c r="BP58" i="9" s="1"/>
  <c r="BK17" i="9"/>
  <c r="BF17" i="9"/>
  <c r="BF58" i="9" s="1"/>
  <c r="BA17" i="9"/>
  <c r="AV17" i="9"/>
  <c r="AQ17" i="9"/>
  <c r="AL17" i="9"/>
  <c r="AL58" i="9" s="1"/>
  <c r="AG17" i="9"/>
  <c r="AB17" i="9"/>
  <c r="AB58" i="9" s="1"/>
  <c r="W17" i="9"/>
  <c r="R17" i="9"/>
  <c r="R58" i="9" s="1"/>
  <c r="M17" i="9"/>
  <c r="H17" i="9"/>
  <c r="EM15" i="9"/>
  <c r="EH15" i="9"/>
  <c r="EC15" i="9"/>
  <c r="DX15" i="9"/>
  <c r="DS15" i="9"/>
  <c r="DN15" i="9"/>
  <c r="DI15" i="9"/>
  <c r="DD15" i="9"/>
  <c r="CY15" i="9"/>
  <c r="CT15" i="9"/>
  <c r="CO15" i="9"/>
  <c r="CJ15" i="9"/>
  <c r="BU15" i="9"/>
  <c r="BU56" i="9" s="1"/>
  <c r="BP15" i="9"/>
  <c r="BK15" i="9"/>
  <c r="BK56" i="9" s="1"/>
  <c r="BF15" i="9"/>
  <c r="BA15" i="9"/>
  <c r="BA56" i="9" s="1"/>
  <c r="AV15" i="9"/>
  <c r="AV56" i="9" s="1"/>
  <c r="AQ15" i="9"/>
  <c r="AL15" i="9"/>
  <c r="AL56" i="9" s="1"/>
  <c r="AG15" i="9"/>
  <c r="AG56" i="9" s="1"/>
  <c r="AB15" i="9"/>
  <c r="W15" i="9"/>
  <c r="W56" i="9" s="1"/>
  <c r="R15" i="9"/>
  <c r="R56" i="9" s="1"/>
  <c r="EM14" i="9"/>
  <c r="EH14" i="9"/>
  <c r="EC14" i="9"/>
  <c r="DX14" i="9"/>
  <c r="DX13" i="9" s="1"/>
  <c r="DX12" i="9" s="1"/>
  <c r="DX40" i="9" s="1"/>
  <c r="DS14" i="9"/>
  <c r="DN14" i="9"/>
  <c r="DN13" i="9" s="1"/>
  <c r="DI14" i="9"/>
  <c r="DD14" i="9"/>
  <c r="CY14" i="9"/>
  <c r="CT14" i="9"/>
  <c r="CT13" i="9" s="1"/>
  <c r="CT12" i="9" s="1"/>
  <c r="CT40" i="9" s="1"/>
  <c r="CO14" i="9"/>
  <c r="CJ14" i="9"/>
  <c r="CJ13" i="9" s="1"/>
  <c r="BU14" i="9"/>
  <c r="BU13" i="9" s="1"/>
  <c r="BP14" i="9"/>
  <c r="BP55" i="9" s="1"/>
  <c r="BK14" i="9"/>
  <c r="BF14" i="9"/>
  <c r="BF13" i="9" s="1"/>
  <c r="BA14" i="9"/>
  <c r="BA55" i="9" s="1"/>
  <c r="AV14" i="9"/>
  <c r="AV55" i="9" s="1"/>
  <c r="AQ14" i="9"/>
  <c r="AQ13" i="9" s="1"/>
  <c r="AL14" i="9"/>
  <c r="AL55" i="9" s="1"/>
  <c r="AG14" i="9"/>
  <c r="AB14" i="9"/>
  <c r="AB13" i="9" s="1"/>
  <c r="W14" i="9"/>
  <c r="W55" i="9" s="1"/>
  <c r="R14" i="9"/>
  <c r="R55" i="9" s="1"/>
  <c r="EC13" i="9"/>
  <c r="CY13" i="9"/>
  <c r="CE13" i="9"/>
  <c r="BZ13" i="9"/>
  <c r="BK13" i="9"/>
  <c r="BK54" i="9" s="1"/>
  <c r="AG13" i="9"/>
  <c r="AG54" i="9" s="1"/>
  <c r="M13" i="9"/>
  <c r="M54" i="9" s="1"/>
  <c r="H13" i="9"/>
  <c r="CE12" i="9"/>
  <c r="CE40" i="9" s="1"/>
  <c r="BZ9" i="9"/>
  <c r="H9" i="9"/>
  <c r="BZ8" i="9"/>
  <c r="H8" i="9"/>
  <c r="EL185" i="8"/>
  <c r="BT185" i="8"/>
  <c r="BT183" i="8" s="1"/>
  <c r="EL184" i="8"/>
  <c r="BT184" i="8"/>
  <c r="EG183" i="8"/>
  <c r="EB183" i="8"/>
  <c r="DW183" i="8"/>
  <c r="DR183" i="8"/>
  <c r="DM183" i="8"/>
  <c r="DH183" i="8"/>
  <c r="DC183" i="8"/>
  <c r="CX183" i="8"/>
  <c r="CS183" i="8"/>
  <c r="CN183" i="8"/>
  <c r="CI183" i="8"/>
  <c r="CD183" i="8"/>
  <c r="BY183" i="8"/>
  <c r="BO183" i="8"/>
  <c r="BJ183" i="8"/>
  <c r="BE183" i="8"/>
  <c r="AZ183" i="8"/>
  <c r="AU183" i="8"/>
  <c r="AP183" i="8"/>
  <c r="AK183" i="8"/>
  <c r="AF183" i="8"/>
  <c r="AA183" i="8"/>
  <c r="V183" i="8"/>
  <c r="Q183" i="8"/>
  <c r="L183" i="8"/>
  <c r="G183" i="8"/>
  <c r="EL181" i="8"/>
  <c r="BT181" i="8"/>
  <c r="EL180" i="8"/>
  <c r="BT180" i="8"/>
  <c r="BT179" i="8" s="1"/>
  <c r="EG179" i="8"/>
  <c r="EB179" i="8"/>
  <c r="DW179" i="8"/>
  <c r="DR179" i="8"/>
  <c r="DM179" i="8"/>
  <c r="DH179" i="8"/>
  <c r="DC179" i="8"/>
  <c r="CX179" i="8"/>
  <c r="CS179" i="8"/>
  <c r="CN179" i="8"/>
  <c r="CI179" i="8"/>
  <c r="CD179" i="8"/>
  <c r="BY179" i="8"/>
  <c r="BO179" i="8"/>
  <c r="BJ179" i="8"/>
  <c r="BE179" i="8"/>
  <c r="AZ179" i="8"/>
  <c r="AU179" i="8"/>
  <c r="AP179" i="8"/>
  <c r="AK179" i="8"/>
  <c r="AF179" i="8"/>
  <c r="AA179" i="8"/>
  <c r="V179" i="8"/>
  <c r="Q179" i="8"/>
  <c r="L179" i="8"/>
  <c r="G179" i="8"/>
  <c r="EL177" i="8"/>
  <c r="BT177" i="8"/>
  <c r="BT175" i="8" s="1"/>
  <c r="EL176" i="8"/>
  <c r="BT176" i="8"/>
  <c r="EG175" i="8"/>
  <c r="EB175" i="8"/>
  <c r="DW175" i="8"/>
  <c r="DR175" i="8"/>
  <c r="DM175" i="8"/>
  <c r="DH175" i="8"/>
  <c r="DC175" i="8"/>
  <c r="CX175" i="8"/>
  <c r="CS175" i="8"/>
  <c r="CN175" i="8"/>
  <c r="CI175" i="8"/>
  <c r="CD175" i="8"/>
  <c r="BY175" i="8"/>
  <c r="BO175" i="8"/>
  <c r="BJ175" i="8"/>
  <c r="BE175" i="8"/>
  <c r="AZ175" i="8"/>
  <c r="AU175" i="8"/>
  <c r="AP175" i="8"/>
  <c r="AK175" i="8"/>
  <c r="AF175" i="8"/>
  <c r="AA175" i="8"/>
  <c r="V175" i="8"/>
  <c r="Q175" i="8"/>
  <c r="L175" i="8"/>
  <c r="G175" i="8"/>
  <c r="EL173" i="8"/>
  <c r="BT173" i="8"/>
  <c r="EL172" i="8"/>
  <c r="BT172" i="8"/>
  <c r="BT171" i="8" s="1"/>
  <c r="EL171" i="8"/>
  <c r="EG171" i="8"/>
  <c r="EB171" i="8"/>
  <c r="DW171" i="8"/>
  <c r="DR171" i="8"/>
  <c r="DM171" i="8"/>
  <c r="DH171" i="8"/>
  <c r="DC171" i="8"/>
  <c r="CX171" i="8"/>
  <c r="CS171" i="8"/>
  <c r="CN171" i="8"/>
  <c r="CI171" i="8"/>
  <c r="CD171" i="8"/>
  <c r="BO171" i="8"/>
  <c r="BJ171" i="8"/>
  <c r="BE171" i="8"/>
  <c r="AZ171" i="8"/>
  <c r="AU171" i="8"/>
  <c r="AP171" i="8"/>
  <c r="AK171" i="8"/>
  <c r="AF171" i="8"/>
  <c r="AA171" i="8"/>
  <c r="V171" i="8"/>
  <c r="Q171" i="8"/>
  <c r="L171" i="8"/>
  <c r="EG169" i="8"/>
  <c r="EB169" i="8"/>
  <c r="DW169" i="8"/>
  <c r="DR169" i="8"/>
  <c r="DM169" i="8"/>
  <c r="DH169" i="8"/>
  <c r="DC169" i="8"/>
  <c r="CX169" i="8"/>
  <c r="CS169" i="8"/>
  <c r="CN169" i="8"/>
  <c r="CI169" i="8"/>
  <c r="CD169" i="8"/>
  <c r="BO169" i="8"/>
  <c r="BJ169" i="8"/>
  <c r="BE169" i="8"/>
  <c r="AZ169" i="8"/>
  <c r="AU169" i="8"/>
  <c r="AP169" i="8"/>
  <c r="AK169" i="8"/>
  <c r="AF169" i="8"/>
  <c r="AA169" i="8"/>
  <c r="V169" i="8"/>
  <c r="Q169" i="8"/>
  <c r="L169" i="8"/>
  <c r="EG168" i="8"/>
  <c r="EG167" i="8" s="1"/>
  <c r="EB168" i="8"/>
  <c r="DW168" i="8"/>
  <c r="DR168" i="8"/>
  <c r="DM168" i="8"/>
  <c r="DM167" i="8" s="1"/>
  <c r="DH168" i="8"/>
  <c r="DH167" i="8" s="1"/>
  <c r="DC168" i="8"/>
  <c r="DC167" i="8" s="1"/>
  <c r="DC105" i="8" s="1"/>
  <c r="CX168" i="8"/>
  <c r="CX167" i="8" s="1"/>
  <c r="CX105" i="8" s="1"/>
  <c r="CS168" i="8"/>
  <c r="CS167" i="8" s="1"/>
  <c r="CS105" i="8" s="1"/>
  <c r="CN168" i="8"/>
  <c r="CN167" i="8" s="1"/>
  <c r="CN105" i="8" s="1"/>
  <c r="CI168" i="8"/>
  <c r="CD168" i="8"/>
  <c r="CD167" i="8" s="1"/>
  <c r="BO168" i="8"/>
  <c r="BJ168" i="8"/>
  <c r="BE168" i="8"/>
  <c r="AZ168" i="8"/>
  <c r="AU168" i="8"/>
  <c r="AP168" i="8"/>
  <c r="AK168" i="8"/>
  <c r="AF168" i="8"/>
  <c r="AF167" i="8" s="1"/>
  <c r="AF105" i="8" s="1"/>
  <c r="AA168" i="8"/>
  <c r="AA167" i="8" s="1"/>
  <c r="V168" i="8"/>
  <c r="Q168" i="8"/>
  <c r="L168" i="8"/>
  <c r="EB167" i="8"/>
  <c r="EB105" i="8" s="1"/>
  <c r="DW167" i="8"/>
  <c r="DW105" i="8" s="1"/>
  <c r="DR167" i="8"/>
  <c r="DR105" i="8" s="1"/>
  <c r="CI167" i="8"/>
  <c r="CI105" i="8" s="1"/>
  <c r="BJ167" i="8"/>
  <c r="AK167" i="8"/>
  <c r="EL165" i="8"/>
  <c r="BT165" i="8"/>
  <c r="BT157" i="8" s="1"/>
  <c r="EL164" i="8"/>
  <c r="BT164" i="8"/>
  <c r="EG163" i="8"/>
  <c r="EB163" i="8"/>
  <c r="DW163" i="8"/>
  <c r="DR163" i="8"/>
  <c r="DM163" i="8"/>
  <c r="DH163" i="8"/>
  <c r="DC163" i="8"/>
  <c r="CX163" i="8"/>
  <c r="CS163" i="8"/>
  <c r="CN163" i="8"/>
  <c r="CI163" i="8"/>
  <c r="CD163" i="8"/>
  <c r="BY163" i="8"/>
  <c r="BO163" i="8"/>
  <c r="BJ163" i="8"/>
  <c r="BE163" i="8"/>
  <c r="AZ163" i="8"/>
  <c r="AU163" i="8"/>
  <c r="AP163" i="8"/>
  <c r="AK163" i="8"/>
  <c r="AF163" i="8"/>
  <c r="AA163" i="8"/>
  <c r="V163" i="8"/>
  <c r="Q163" i="8"/>
  <c r="L163" i="8"/>
  <c r="EL161" i="8"/>
  <c r="EL157" i="8" s="1"/>
  <c r="BT161" i="8"/>
  <c r="EL160" i="8"/>
  <c r="BT160" i="8"/>
  <c r="BT159" i="8" s="1"/>
  <c r="EL159" i="8"/>
  <c r="EG159" i="8"/>
  <c r="EB159" i="8"/>
  <c r="DW159" i="8"/>
  <c r="DR159" i="8"/>
  <c r="DM159" i="8"/>
  <c r="DH159" i="8"/>
  <c r="DC159" i="8"/>
  <c r="CX159" i="8"/>
  <c r="CS159" i="8"/>
  <c r="CN159" i="8"/>
  <c r="CI159" i="8"/>
  <c r="CD159" i="8"/>
  <c r="BY159" i="8"/>
  <c r="BO159" i="8"/>
  <c r="BJ159" i="8"/>
  <c r="BE159" i="8"/>
  <c r="AZ159" i="8"/>
  <c r="AU159" i="8"/>
  <c r="AP159" i="8"/>
  <c r="AK159" i="8"/>
  <c r="AF159" i="8"/>
  <c r="AA159" i="8"/>
  <c r="V159" i="8"/>
  <c r="Q159" i="8"/>
  <c r="L159" i="8"/>
  <c r="EG157" i="8"/>
  <c r="EB157" i="8"/>
  <c r="DW157" i="8"/>
  <c r="DR157" i="8"/>
  <c r="DM157" i="8"/>
  <c r="DC157" i="8"/>
  <c r="CX157" i="8"/>
  <c r="CS157" i="8"/>
  <c r="CN157" i="8"/>
  <c r="CI157" i="8"/>
  <c r="CD157" i="8"/>
  <c r="CD155" i="8" s="1"/>
  <c r="CD104" i="8" s="1"/>
  <c r="BO157" i="8"/>
  <c r="BJ157" i="8"/>
  <c r="BE157" i="8"/>
  <c r="AZ157" i="8"/>
  <c r="AU157" i="8"/>
  <c r="AK157" i="8"/>
  <c r="AF157" i="8"/>
  <c r="AA157" i="8"/>
  <c r="V157" i="8"/>
  <c r="Q157" i="8"/>
  <c r="L157" i="8"/>
  <c r="EL156" i="8"/>
  <c r="EG156" i="8"/>
  <c r="EG155" i="8" s="1"/>
  <c r="EG104" i="8" s="1"/>
  <c r="EB156" i="8"/>
  <c r="DW156" i="8"/>
  <c r="DW155" i="8" s="1"/>
  <c r="DR156" i="8"/>
  <c r="DM156" i="8"/>
  <c r="DC156" i="8"/>
  <c r="CX156" i="8"/>
  <c r="CX155" i="8" s="1"/>
  <c r="CS156" i="8"/>
  <c r="CN156" i="8"/>
  <c r="CI156" i="8"/>
  <c r="CD156" i="8"/>
  <c r="BO156" i="8"/>
  <c r="BJ156" i="8"/>
  <c r="BE156" i="8"/>
  <c r="AZ156" i="8"/>
  <c r="AU156" i="8"/>
  <c r="AU155" i="8" s="1"/>
  <c r="AU104" i="8" s="1"/>
  <c r="AK156" i="8"/>
  <c r="AF156" i="8"/>
  <c r="AA156" i="8"/>
  <c r="V156" i="8"/>
  <c r="Q156" i="8"/>
  <c r="L156" i="8"/>
  <c r="L155" i="8" s="1"/>
  <c r="DR155" i="8"/>
  <c r="DR104" i="8" s="1"/>
  <c r="DH155" i="8"/>
  <c r="CN155" i="8"/>
  <c r="CN104" i="8" s="1"/>
  <c r="CI155" i="8"/>
  <c r="CI104" i="8" s="1"/>
  <c r="BY155" i="8"/>
  <c r="AZ155" i="8"/>
  <c r="AZ104" i="8" s="1"/>
  <c r="AP155" i="8"/>
  <c r="V155" i="8"/>
  <c r="Q155" i="8"/>
  <c r="G155" i="8"/>
  <c r="G104" i="8" s="1"/>
  <c r="EL153" i="8"/>
  <c r="BT153" i="8"/>
  <c r="EL152" i="8"/>
  <c r="BT152" i="8"/>
  <c r="EG151" i="8"/>
  <c r="EB151" i="8"/>
  <c r="DW151" i="8"/>
  <c r="DR151" i="8"/>
  <c r="DM151" i="8"/>
  <c r="DH151" i="8"/>
  <c r="DC151" i="8"/>
  <c r="CX151" i="8"/>
  <c r="CS151" i="8"/>
  <c r="CN151" i="8"/>
  <c r="CI151" i="8"/>
  <c r="CD151" i="8"/>
  <c r="BO151" i="8"/>
  <c r="BJ151" i="8"/>
  <c r="BE151" i="8"/>
  <c r="AZ151" i="8"/>
  <c r="AU151" i="8"/>
  <c r="AP151" i="8"/>
  <c r="AK151" i="8"/>
  <c r="AF151" i="8"/>
  <c r="AA151" i="8"/>
  <c r="V151" i="8"/>
  <c r="Q151" i="8"/>
  <c r="L151" i="8"/>
  <c r="G151" i="8"/>
  <c r="EL149" i="8"/>
  <c r="BT149" i="8"/>
  <c r="EL148" i="8"/>
  <c r="BT148" i="8"/>
  <c r="EL147" i="8"/>
  <c r="EG147" i="8"/>
  <c r="EB147" i="8"/>
  <c r="DW147" i="8"/>
  <c r="DR147" i="8"/>
  <c r="DM147" i="8"/>
  <c r="DH147" i="8"/>
  <c r="DC147" i="8"/>
  <c r="CX147" i="8"/>
  <c r="CS147" i="8"/>
  <c r="CN147" i="8"/>
  <c r="CI147" i="8"/>
  <c r="CD147" i="8"/>
  <c r="BT147" i="8"/>
  <c r="BO147" i="8"/>
  <c r="BJ147" i="8"/>
  <c r="BE147" i="8"/>
  <c r="AZ147" i="8"/>
  <c r="AU147" i="8"/>
  <c r="AP147" i="8"/>
  <c r="AK147" i="8"/>
  <c r="AF147" i="8"/>
  <c r="AA147" i="8"/>
  <c r="V147" i="8"/>
  <c r="Q147" i="8"/>
  <c r="L147" i="8"/>
  <c r="G147" i="8"/>
  <c r="EL145" i="8"/>
  <c r="BT145" i="8"/>
  <c r="EL144" i="8"/>
  <c r="BT144" i="8"/>
  <c r="EG143" i="8"/>
  <c r="EB143" i="8"/>
  <c r="DW143" i="8"/>
  <c r="DR143" i="8"/>
  <c r="DM143" i="8"/>
  <c r="DH143" i="8"/>
  <c r="DC143" i="8"/>
  <c r="CX143" i="8"/>
  <c r="CS143" i="8"/>
  <c r="CN143" i="8"/>
  <c r="CI143" i="8"/>
  <c r="CD143" i="8"/>
  <c r="BT143" i="8"/>
  <c r="BO143" i="8"/>
  <c r="BJ143" i="8"/>
  <c r="BE143" i="8"/>
  <c r="AZ143" i="8"/>
  <c r="AU143" i="8"/>
  <c r="AP143" i="8"/>
  <c r="AK143" i="8"/>
  <c r="AF143" i="8"/>
  <c r="AA143" i="8"/>
  <c r="V143" i="8"/>
  <c r="Q143" i="8"/>
  <c r="L143" i="8"/>
  <c r="G143" i="8"/>
  <c r="EL141" i="8"/>
  <c r="BT141" i="8"/>
  <c r="BT139" i="8" s="1"/>
  <c r="EL140" i="8"/>
  <c r="BT140" i="8"/>
  <c r="EG139" i="8"/>
  <c r="EB139" i="8"/>
  <c r="DW139" i="8"/>
  <c r="DR139" i="8"/>
  <c r="DM139" i="8"/>
  <c r="DH139" i="8"/>
  <c r="DC139" i="8"/>
  <c r="CX139" i="8"/>
  <c r="CS139" i="8"/>
  <c r="CN139" i="8"/>
  <c r="CI139" i="8"/>
  <c r="CD139" i="8"/>
  <c r="BO139" i="8"/>
  <c r="BJ139" i="8"/>
  <c r="BE139" i="8"/>
  <c r="AZ139" i="8"/>
  <c r="AU139" i="8"/>
  <c r="AP139" i="8"/>
  <c r="AK139" i="8"/>
  <c r="AF139" i="8"/>
  <c r="AA139" i="8"/>
  <c r="V139" i="8"/>
  <c r="Q139" i="8"/>
  <c r="L139" i="8"/>
  <c r="G139" i="8"/>
  <c r="EL137" i="8"/>
  <c r="BT137" i="8"/>
  <c r="EL136" i="8"/>
  <c r="BT136" i="8"/>
  <c r="EG135" i="8"/>
  <c r="EB135" i="8"/>
  <c r="DW135" i="8"/>
  <c r="DR135" i="8"/>
  <c r="DM135" i="8"/>
  <c r="DH135" i="8"/>
  <c r="DC135" i="8"/>
  <c r="CX135" i="8"/>
  <c r="CS135" i="8"/>
  <c r="CN135" i="8"/>
  <c r="CI135" i="8"/>
  <c r="CD135" i="8"/>
  <c r="BO135" i="8"/>
  <c r="BJ135" i="8"/>
  <c r="BE135" i="8"/>
  <c r="AZ135" i="8"/>
  <c r="AU135" i="8"/>
  <c r="AP135" i="8"/>
  <c r="AK135" i="8"/>
  <c r="AF135" i="8"/>
  <c r="AA135" i="8"/>
  <c r="V135" i="8"/>
  <c r="Q135" i="8"/>
  <c r="L135" i="8"/>
  <c r="G135" i="8"/>
  <c r="EL133" i="8"/>
  <c r="BT133" i="8"/>
  <c r="EL132" i="8"/>
  <c r="BT132" i="8"/>
  <c r="BT131" i="8" s="1"/>
  <c r="EG131" i="8"/>
  <c r="EB131" i="8"/>
  <c r="DW131" i="8"/>
  <c r="DR131" i="8"/>
  <c r="DM131" i="8"/>
  <c r="DH131" i="8"/>
  <c r="DC131" i="8"/>
  <c r="CX131" i="8"/>
  <c r="CS131" i="8"/>
  <c r="CN131" i="8"/>
  <c r="CI131" i="8"/>
  <c r="CD131" i="8"/>
  <c r="BY131" i="8"/>
  <c r="BO131" i="8"/>
  <c r="BJ131" i="8"/>
  <c r="BE131" i="8"/>
  <c r="AZ131" i="8"/>
  <c r="AU131" i="8"/>
  <c r="AP131" i="8"/>
  <c r="AK131" i="8"/>
  <c r="AF131" i="8"/>
  <c r="AA131" i="8"/>
  <c r="V131" i="8"/>
  <c r="Q131" i="8"/>
  <c r="L131" i="8"/>
  <c r="G131" i="8"/>
  <c r="EL129" i="8"/>
  <c r="BT129" i="8"/>
  <c r="BY129" i="8" s="1"/>
  <c r="EL128" i="8"/>
  <c r="EL127" i="8" s="1"/>
  <c r="BT128" i="8"/>
  <c r="EG127" i="8"/>
  <c r="EB127" i="8"/>
  <c r="DW127" i="8"/>
  <c r="DR127" i="8"/>
  <c r="DM127" i="8"/>
  <c r="DH127" i="8"/>
  <c r="DC127" i="8"/>
  <c r="CX127" i="8"/>
  <c r="CS127" i="8"/>
  <c r="CN127" i="8"/>
  <c r="CI127" i="8"/>
  <c r="CD127" i="8"/>
  <c r="BO127" i="8"/>
  <c r="BJ127" i="8"/>
  <c r="BE127" i="8"/>
  <c r="AZ127" i="8"/>
  <c r="AU127" i="8"/>
  <c r="AP127" i="8"/>
  <c r="AK127" i="8"/>
  <c r="AF127" i="8"/>
  <c r="AA127" i="8"/>
  <c r="V127" i="8"/>
  <c r="Q127" i="8"/>
  <c r="L127" i="8"/>
  <c r="EL125" i="8"/>
  <c r="BT125" i="8"/>
  <c r="BY125" i="8" s="1"/>
  <c r="EL124" i="8"/>
  <c r="EL123" i="8" s="1"/>
  <c r="BT124" i="8"/>
  <c r="BY124" i="8" s="1"/>
  <c r="EG123" i="8"/>
  <c r="EB123" i="8"/>
  <c r="DW123" i="8"/>
  <c r="DR123" i="8"/>
  <c r="DM123" i="8"/>
  <c r="DH123" i="8"/>
  <c r="DC123" i="8"/>
  <c r="CX123" i="8"/>
  <c r="CS123" i="8"/>
  <c r="CN123" i="8"/>
  <c r="CI123" i="8"/>
  <c r="CD123" i="8"/>
  <c r="BO123" i="8"/>
  <c r="BJ123" i="8"/>
  <c r="BE123" i="8"/>
  <c r="AZ123" i="8"/>
  <c r="AU123" i="8"/>
  <c r="AP123" i="8"/>
  <c r="AK123" i="8"/>
  <c r="AF123" i="8"/>
  <c r="AA123" i="8"/>
  <c r="V123" i="8"/>
  <c r="Q123" i="8"/>
  <c r="L123" i="8"/>
  <c r="EL121" i="8"/>
  <c r="BT121" i="8"/>
  <c r="EL120" i="8"/>
  <c r="BT120" i="8"/>
  <c r="BT119" i="8" s="1"/>
  <c r="EG119" i="8"/>
  <c r="EB119" i="8"/>
  <c r="DW119" i="8"/>
  <c r="DR119" i="8"/>
  <c r="DM119" i="8"/>
  <c r="DH119" i="8"/>
  <c r="DC119" i="8"/>
  <c r="CX119" i="8"/>
  <c r="CS119" i="8"/>
  <c r="CN119" i="8"/>
  <c r="CI119" i="8"/>
  <c r="CD119" i="8"/>
  <c r="BY119" i="8"/>
  <c r="BO119" i="8"/>
  <c r="BJ119" i="8"/>
  <c r="BE119" i="8"/>
  <c r="AZ119" i="8"/>
  <c r="AU119" i="8"/>
  <c r="AP119" i="8"/>
  <c r="AK119" i="8"/>
  <c r="AF119" i="8"/>
  <c r="AA119" i="8"/>
  <c r="V119" i="8"/>
  <c r="Q119" i="8"/>
  <c r="L119" i="8"/>
  <c r="G119" i="8"/>
  <c r="EL117" i="8"/>
  <c r="BT117" i="8"/>
  <c r="EL116" i="8"/>
  <c r="BT116" i="8"/>
  <c r="EG115" i="8"/>
  <c r="EB115" i="8"/>
  <c r="DW115" i="8"/>
  <c r="DR115" i="8"/>
  <c r="DM115" i="8"/>
  <c r="DH115" i="8"/>
  <c r="DC115" i="8"/>
  <c r="CX115" i="8"/>
  <c r="CS115" i="8"/>
  <c r="CN115" i="8"/>
  <c r="CI115" i="8"/>
  <c r="CD115" i="8"/>
  <c r="BY115" i="8"/>
  <c r="BO115" i="8"/>
  <c r="BJ115" i="8"/>
  <c r="BE115" i="8"/>
  <c r="AZ115" i="8"/>
  <c r="AU115" i="8"/>
  <c r="AP115" i="8"/>
  <c r="AK115" i="8"/>
  <c r="AF115" i="8"/>
  <c r="AA115" i="8"/>
  <c r="V115" i="8"/>
  <c r="Q115" i="8"/>
  <c r="L115" i="8"/>
  <c r="G115" i="8"/>
  <c r="DM113" i="8"/>
  <c r="DM111" i="8" s="1"/>
  <c r="BT113" i="8"/>
  <c r="DM112" i="8"/>
  <c r="BT112" i="8"/>
  <c r="EG111" i="8"/>
  <c r="EB111" i="8"/>
  <c r="DW111" i="8"/>
  <c r="DR111" i="8"/>
  <c r="DH111" i="8"/>
  <c r="DC111" i="8"/>
  <c r="CX111" i="8"/>
  <c r="CS111" i="8"/>
  <c r="CN111" i="8"/>
  <c r="CI111" i="8"/>
  <c r="CD111" i="8"/>
  <c r="BY111" i="8"/>
  <c r="BO111" i="8"/>
  <c r="BJ111" i="8"/>
  <c r="BE111" i="8"/>
  <c r="AZ111" i="8"/>
  <c r="AU111" i="8"/>
  <c r="AP111" i="8"/>
  <c r="AK111" i="8"/>
  <c r="AF111" i="8"/>
  <c r="AA111" i="8"/>
  <c r="V111" i="8"/>
  <c r="Q111" i="8"/>
  <c r="L111" i="8"/>
  <c r="G111" i="8"/>
  <c r="EG109" i="8"/>
  <c r="EB109" i="8"/>
  <c r="DW109" i="8"/>
  <c r="DR109" i="8"/>
  <c r="DH109" i="8"/>
  <c r="DC109" i="8"/>
  <c r="CX109" i="8"/>
  <c r="CS109" i="8"/>
  <c r="CN109" i="8"/>
  <c r="CI109" i="8"/>
  <c r="CI107" i="8" s="1"/>
  <c r="CI103" i="8" s="1"/>
  <c r="CD109" i="8"/>
  <c r="BJ109" i="8"/>
  <c r="BE109" i="8"/>
  <c r="AZ109" i="8"/>
  <c r="AU109" i="8"/>
  <c r="AP109" i="8"/>
  <c r="AK109" i="8"/>
  <c r="AF109" i="8"/>
  <c r="AA109" i="8"/>
  <c r="V109" i="8"/>
  <c r="Q109" i="8"/>
  <c r="L109" i="8"/>
  <c r="G109" i="8"/>
  <c r="EG108" i="8"/>
  <c r="EB108" i="8"/>
  <c r="DW108" i="8"/>
  <c r="DW107" i="8" s="1"/>
  <c r="DW103" i="8" s="1"/>
  <c r="DR108" i="8"/>
  <c r="DH108" i="8"/>
  <c r="DH107" i="8" s="1"/>
  <c r="DH103" i="8" s="1"/>
  <c r="DC108" i="8"/>
  <c r="DC107" i="8" s="1"/>
  <c r="DC103" i="8" s="1"/>
  <c r="CX108" i="8"/>
  <c r="CX107" i="8" s="1"/>
  <c r="CX103" i="8" s="1"/>
  <c r="CS108" i="8"/>
  <c r="CN108" i="8"/>
  <c r="CN107" i="8" s="1"/>
  <c r="CN103" i="8" s="1"/>
  <c r="CN102" i="8" s="1"/>
  <c r="CI108" i="8"/>
  <c r="CD108" i="8"/>
  <c r="CD107" i="8" s="1"/>
  <c r="CD103" i="8" s="1"/>
  <c r="BJ108" i="8"/>
  <c r="BE108" i="8"/>
  <c r="AZ108" i="8"/>
  <c r="AU108" i="8"/>
  <c r="AP108" i="8"/>
  <c r="AK108" i="8"/>
  <c r="AF108" i="8"/>
  <c r="AA108" i="8"/>
  <c r="V108" i="8"/>
  <c r="Q108" i="8"/>
  <c r="L108" i="8"/>
  <c r="G108" i="8"/>
  <c r="DR107" i="8"/>
  <c r="DR103" i="8" s="1"/>
  <c r="DR102" i="8" s="1"/>
  <c r="BY107" i="8"/>
  <c r="BO107" i="8"/>
  <c r="AZ107" i="8"/>
  <c r="EG105" i="8"/>
  <c r="DM105" i="8"/>
  <c r="DH105" i="8"/>
  <c r="CD105" i="8"/>
  <c r="BJ105" i="8"/>
  <c r="G105" i="8"/>
  <c r="DW104" i="8"/>
  <c r="DH104" i="8"/>
  <c r="CX104" i="8"/>
  <c r="AP104" i="8"/>
  <c r="Q104" i="8"/>
  <c r="L104" i="8"/>
  <c r="BY103" i="8"/>
  <c r="BY102" i="8" s="1"/>
  <c r="BO103" i="8"/>
  <c r="EL100" i="8"/>
  <c r="BT100" i="8"/>
  <c r="BY100" i="8" s="1"/>
  <c r="EL99" i="8"/>
  <c r="BT99" i="8"/>
  <c r="BY99" i="8" s="1"/>
  <c r="EL98" i="8"/>
  <c r="BT98" i="8"/>
  <c r="EG97" i="8"/>
  <c r="EB97" i="8"/>
  <c r="DW97" i="8"/>
  <c r="DR97" i="8"/>
  <c r="DM97" i="8"/>
  <c r="DH97" i="8"/>
  <c r="DC97" i="8"/>
  <c r="CX97" i="8"/>
  <c r="CS97" i="8"/>
  <c r="CN97" i="8"/>
  <c r="CI97" i="8"/>
  <c r="CD97" i="8"/>
  <c r="BO97" i="8"/>
  <c r="BJ97" i="8"/>
  <c r="BE97" i="8"/>
  <c r="AZ97" i="8"/>
  <c r="AU97" i="8"/>
  <c r="AP97" i="8"/>
  <c r="AK97" i="8"/>
  <c r="AF97" i="8"/>
  <c r="AA97" i="8"/>
  <c r="V97" i="8"/>
  <c r="Q97" i="8"/>
  <c r="L97" i="8"/>
  <c r="EL95" i="8"/>
  <c r="EL20" i="8" s="1"/>
  <c r="BT95" i="8"/>
  <c r="BY95" i="8" s="1"/>
  <c r="EL94" i="8"/>
  <c r="BT94" i="8"/>
  <c r="BY94" i="8" s="1"/>
  <c r="EL93" i="8"/>
  <c r="BT93" i="8"/>
  <c r="BT92" i="8" s="1"/>
  <c r="EG92" i="8"/>
  <c r="EB92" i="8"/>
  <c r="DW92" i="8"/>
  <c r="DR92" i="8"/>
  <c r="DM92" i="8"/>
  <c r="DH92" i="8"/>
  <c r="DC92" i="8"/>
  <c r="CX92" i="8"/>
  <c r="CS92" i="8"/>
  <c r="CN92" i="8"/>
  <c r="CI92" i="8"/>
  <c r="CD92" i="8"/>
  <c r="BO92" i="8"/>
  <c r="BJ92" i="8"/>
  <c r="BE92" i="8"/>
  <c r="AZ92" i="8"/>
  <c r="AU92" i="8"/>
  <c r="AP92" i="8"/>
  <c r="AK92" i="8"/>
  <c r="AF92" i="8"/>
  <c r="AA92" i="8"/>
  <c r="V92" i="8"/>
  <c r="Q92" i="8"/>
  <c r="L92" i="8"/>
  <c r="EL90" i="8"/>
  <c r="BT90" i="8"/>
  <c r="BY90" i="8" s="1"/>
  <c r="EL89" i="8"/>
  <c r="BT89" i="8"/>
  <c r="BY89" i="8" s="1"/>
  <c r="EL88" i="8"/>
  <c r="EL87" i="8" s="1"/>
  <c r="BT88" i="8"/>
  <c r="EG87" i="8"/>
  <c r="EB87" i="8"/>
  <c r="DW87" i="8"/>
  <c r="DR87" i="8"/>
  <c r="DM87" i="8"/>
  <c r="DH87" i="8"/>
  <c r="DC87" i="8"/>
  <c r="CX87" i="8"/>
  <c r="CS87" i="8"/>
  <c r="CN87" i="8"/>
  <c r="CI87" i="8"/>
  <c r="CD87" i="8"/>
  <c r="BO87" i="8"/>
  <c r="BJ87" i="8"/>
  <c r="BE87" i="8"/>
  <c r="AZ87" i="8"/>
  <c r="AU87" i="8"/>
  <c r="AP87" i="8"/>
  <c r="AK87" i="8"/>
  <c r="AF87" i="8"/>
  <c r="AA87" i="8"/>
  <c r="V87" i="8"/>
  <c r="Q87" i="8"/>
  <c r="L87" i="8"/>
  <c r="EL85" i="8"/>
  <c r="BT85" i="8"/>
  <c r="BT82" i="8" s="1"/>
  <c r="EL84" i="8"/>
  <c r="BT84" i="8"/>
  <c r="BY84" i="8" s="1"/>
  <c r="EL83" i="8"/>
  <c r="BT83" i="8"/>
  <c r="BY83" i="8" s="1"/>
  <c r="EG82" i="8"/>
  <c r="EB82" i="8"/>
  <c r="DW82" i="8"/>
  <c r="DR82" i="8"/>
  <c r="DM82" i="8"/>
  <c r="DH82" i="8"/>
  <c r="DC82" i="8"/>
  <c r="CX82" i="8"/>
  <c r="CS82" i="8"/>
  <c r="CN82" i="8"/>
  <c r="CI82" i="8"/>
  <c r="CD82" i="8"/>
  <c r="BO82" i="8"/>
  <c r="BJ82" i="8"/>
  <c r="BE82" i="8"/>
  <c r="AZ82" i="8"/>
  <c r="AU82" i="8"/>
  <c r="AP82" i="8"/>
  <c r="AK82" i="8"/>
  <c r="AF82" i="8"/>
  <c r="AA82" i="8"/>
  <c r="V82" i="8"/>
  <c r="Q82" i="8"/>
  <c r="L82" i="8"/>
  <c r="EL80" i="8"/>
  <c r="BT80" i="8"/>
  <c r="EL79" i="8"/>
  <c r="BT79" i="8"/>
  <c r="BY79" i="8" s="1"/>
  <c r="BY74" i="8" s="1"/>
  <c r="EL78" i="8"/>
  <c r="BY78" i="8"/>
  <c r="BT78" i="8"/>
  <c r="EG77" i="8"/>
  <c r="EB77" i="8"/>
  <c r="DW77" i="8"/>
  <c r="DR77" i="8"/>
  <c r="DM77" i="8"/>
  <c r="DH77" i="8"/>
  <c r="DC77" i="8"/>
  <c r="CX77" i="8"/>
  <c r="CS77" i="8"/>
  <c r="CN77" i="8"/>
  <c r="CI77" i="8"/>
  <c r="CD77" i="8"/>
  <c r="BO77" i="8"/>
  <c r="BJ77" i="8"/>
  <c r="BE77" i="8"/>
  <c r="AZ77" i="8"/>
  <c r="AU77" i="8"/>
  <c r="AP77" i="8"/>
  <c r="AK77" i="8"/>
  <c r="AF77" i="8"/>
  <c r="AA77" i="8"/>
  <c r="V77" i="8"/>
  <c r="Q77" i="8"/>
  <c r="L77" i="8"/>
  <c r="EG75" i="8"/>
  <c r="EB75" i="8"/>
  <c r="DW75" i="8"/>
  <c r="DR75" i="8"/>
  <c r="DR72" i="8" s="1"/>
  <c r="DR15" i="8" s="1"/>
  <c r="DM75" i="8"/>
  <c r="DH75" i="8"/>
  <c r="DC75" i="8"/>
  <c r="CX75" i="8"/>
  <c r="CS75" i="8"/>
  <c r="CN75" i="8"/>
  <c r="CI75" i="8"/>
  <c r="CD75" i="8"/>
  <c r="BO75" i="8"/>
  <c r="BJ75" i="8"/>
  <c r="BE75" i="8"/>
  <c r="AZ75" i="8"/>
  <c r="AU75" i="8"/>
  <c r="AP75" i="8"/>
  <c r="AK75" i="8"/>
  <c r="AF75" i="8"/>
  <c r="AA75" i="8"/>
  <c r="V75" i="8"/>
  <c r="Q75" i="8"/>
  <c r="L75" i="8"/>
  <c r="EL74" i="8"/>
  <c r="EG74" i="8"/>
  <c r="EB74" i="8"/>
  <c r="DW74" i="8"/>
  <c r="DR74" i="8"/>
  <c r="DM74" i="8"/>
  <c r="DH74" i="8"/>
  <c r="DC74" i="8"/>
  <c r="CX74" i="8"/>
  <c r="CS74" i="8"/>
  <c r="CN74" i="8"/>
  <c r="CI74" i="8"/>
  <c r="CD74" i="8"/>
  <c r="BO74" i="8"/>
  <c r="BJ74" i="8"/>
  <c r="BE74" i="8"/>
  <c r="AZ74" i="8"/>
  <c r="AU74" i="8"/>
  <c r="AP74" i="8"/>
  <c r="AK74" i="8"/>
  <c r="AF74" i="8"/>
  <c r="AA74" i="8"/>
  <c r="V74" i="8"/>
  <c r="Q74" i="8"/>
  <c r="L74" i="8"/>
  <c r="EG73" i="8"/>
  <c r="EB73" i="8"/>
  <c r="DW73" i="8"/>
  <c r="DR73" i="8"/>
  <c r="DM73" i="8"/>
  <c r="DM72" i="8" s="1"/>
  <c r="DM15" i="8" s="1"/>
  <c r="DH73" i="8"/>
  <c r="DC73" i="8"/>
  <c r="CX73" i="8"/>
  <c r="CS73" i="8"/>
  <c r="CN73" i="8"/>
  <c r="CI73" i="8"/>
  <c r="CI72" i="8" s="1"/>
  <c r="CI15" i="8" s="1"/>
  <c r="CD73" i="8"/>
  <c r="BT73" i="8"/>
  <c r="BO73" i="8"/>
  <c r="BJ73" i="8"/>
  <c r="BJ72" i="8" s="1"/>
  <c r="BJ15" i="8" s="1"/>
  <c r="BE73" i="8"/>
  <c r="AZ73" i="8"/>
  <c r="AU73" i="8"/>
  <c r="AU72" i="8" s="1"/>
  <c r="AP73" i="8"/>
  <c r="AK73" i="8"/>
  <c r="AF73" i="8"/>
  <c r="AA73" i="8"/>
  <c r="V73" i="8"/>
  <c r="Q73" i="8"/>
  <c r="L73" i="8"/>
  <c r="L72" i="8" s="1"/>
  <c r="L15" i="8" s="1"/>
  <c r="BO72" i="8"/>
  <c r="EL70" i="8"/>
  <c r="EL65" i="8" s="1"/>
  <c r="BT70" i="8"/>
  <c r="BY70" i="8" s="1"/>
  <c r="BY65" i="8" s="1"/>
  <c r="EL69" i="8"/>
  <c r="EL64" i="8" s="1"/>
  <c r="BT69" i="8"/>
  <c r="BY69" i="8" s="1"/>
  <c r="BY64" i="8" s="1"/>
  <c r="EL68" i="8"/>
  <c r="BT68" i="8"/>
  <c r="BT67" i="8" s="1"/>
  <c r="EG67" i="8"/>
  <c r="EB67" i="8"/>
  <c r="DW67" i="8"/>
  <c r="DR67" i="8"/>
  <c r="DM67" i="8"/>
  <c r="DH67" i="8"/>
  <c r="DC67" i="8"/>
  <c r="CX67" i="8"/>
  <c r="CS67" i="8"/>
  <c r="CN67" i="8"/>
  <c r="CI67" i="8"/>
  <c r="CD67" i="8"/>
  <c r="BO67" i="8"/>
  <c r="BJ67" i="8"/>
  <c r="BE67" i="8"/>
  <c r="AZ67" i="8"/>
  <c r="AU67" i="8"/>
  <c r="AP67" i="8"/>
  <c r="AK67" i="8"/>
  <c r="AF67" i="8"/>
  <c r="AA67" i="8"/>
  <c r="V67" i="8"/>
  <c r="Q67" i="8"/>
  <c r="L67" i="8"/>
  <c r="EG65" i="8"/>
  <c r="EB65" i="8"/>
  <c r="DW65" i="8"/>
  <c r="DR65" i="8"/>
  <c r="DM65" i="8"/>
  <c r="DH65" i="8"/>
  <c r="DC65" i="8"/>
  <c r="CX65" i="8"/>
  <c r="CS65" i="8"/>
  <c r="CN65" i="8"/>
  <c r="CI65" i="8"/>
  <c r="CD65" i="8"/>
  <c r="BO65" i="8"/>
  <c r="BJ65" i="8"/>
  <c r="BE65" i="8"/>
  <c r="AZ65" i="8"/>
  <c r="AU65" i="8"/>
  <c r="AP65" i="8"/>
  <c r="AK65" i="8"/>
  <c r="AF65" i="8"/>
  <c r="AA65" i="8"/>
  <c r="V65" i="8"/>
  <c r="Q65" i="8"/>
  <c r="L65" i="8"/>
  <c r="EG64" i="8"/>
  <c r="EB64" i="8"/>
  <c r="DW64" i="8"/>
  <c r="DR64" i="8"/>
  <c r="DM64" i="8"/>
  <c r="DH64" i="8"/>
  <c r="DC64" i="8"/>
  <c r="CX64" i="8"/>
  <c r="CS64" i="8"/>
  <c r="CN64" i="8"/>
  <c r="CI64" i="8"/>
  <c r="CD64" i="8"/>
  <c r="BO64" i="8"/>
  <c r="BJ64" i="8"/>
  <c r="BE64" i="8"/>
  <c r="AZ64" i="8"/>
  <c r="AU64" i="8"/>
  <c r="AP64" i="8"/>
  <c r="AK64" i="8"/>
  <c r="AF64" i="8"/>
  <c r="AF62" i="8" s="1"/>
  <c r="AA64" i="8"/>
  <c r="V64" i="8"/>
  <c r="Q64" i="8"/>
  <c r="L64" i="8"/>
  <c r="EG63" i="8"/>
  <c r="EG62" i="8" s="1"/>
  <c r="EG14" i="8" s="1"/>
  <c r="EB63" i="8"/>
  <c r="EB62" i="8" s="1"/>
  <c r="EB14" i="8" s="1"/>
  <c r="DW63" i="8"/>
  <c r="DR63" i="8"/>
  <c r="DM63" i="8"/>
  <c r="DH63" i="8"/>
  <c r="DC63" i="8"/>
  <c r="DC62" i="8" s="1"/>
  <c r="DC14" i="8" s="1"/>
  <c r="CX63" i="8"/>
  <c r="CX62" i="8" s="1"/>
  <c r="CX14" i="8" s="1"/>
  <c r="CS63" i="8"/>
  <c r="CN63" i="8"/>
  <c r="CI63" i="8"/>
  <c r="CI62" i="8" s="1"/>
  <c r="CI14" i="8" s="1"/>
  <c r="CD63" i="8"/>
  <c r="BO63" i="8"/>
  <c r="BJ63" i="8"/>
  <c r="BE63" i="8"/>
  <c r="AZ63" i="8"/>
  <c r="AU63" i="8"/>
  <c r="AP63" i="8"/>
  <c r="AP62" i="8" s="1"/>
  <c r="AK63" i="8"/>
  <c r="AF63" i="8"/>
  <c r="AA63" i="8"/>
  <c r="V63" i="8"/>
  <c r="Q63" i="8"/>
  <c r="L63" i="8"/>
  <c r="DH62" i="8"/>
  <c r="DH14" i="8" s="1"/>
  <c r="CN62" i="8"/>
  <c r="CN14" i="8" s="1"/>
  <c r="CD62" i="8"/>
  <c r="G62" i="8"/>
  <c r="G14" i="8" s="1"/>
  <c r="G12" i="8" s="1"/>
  <c r="EL60" i="8"/>
  <c r="BT60" i="8"/>
  <c r="BY60" i="8" s="1"/>
  <c r="EL59" i="8"/>
  <c r="BT59" i="8"/>
  <c r="BY59" i="8" s="1"/>
  <c r="EL58" i="8"/>
  <c r="BT58" i="8"/>
  <c r="EG57" i="8"/>
  <c r="EB57" i="8"/>
  <c r="DW57" i="8"/>
  <c r="DW18" i="8" s="1"/>
  <c r="DW17" i="8" s="1"/>
  <c r="DW13" i="8" s="1"/>
  <c r="DR57" i="8"/>
  <c r="DR18" i="8" s="1"/>
  <c r="DR17" i="8" s="1"/>
  <c r="DR13" i="8" s="1"/>
  <c r="DM57" i="8"/>
  <c r="DH57" i="8"/>
  <c r="DC57" i="8"/>
  <c r="CX57" i="8"/>
  <c r="CS57" i="8"/>
  <c r="CS18" i="8" s="1"/>
  <c r="CN57" i="8"/>
  <c r="CN18" i="8" s="1"/>
  <c r="CN17" i="8" s="1"/>
  <c r="CN13" i="8" s="1"/>
  <c r="CI57" i="8"/>
  <c r="CI18" i="8" s="1"/>
  <c r="CD57" i="8"/>
  <c r="BO57" i="8"/>
  <c r="BJ57" i="8"/>
  <c r="BE57" i="8"/>
  <c r="AZ57" i="8"/>
  <c r="AU57" i="8"/>
  <c r="AP57" i="8"/>
  <c r="AK57" i="8"/>
  <c r="AF57" i="8"/>
  <c r="AA57" i="8"/>
  <c r="V57" i="8"/>
  <c r="Q57" i="8"/>
  <c r="L57" i="8"/>
  <c r="EL55" i="8"/>
  <c r="BT55" i="8"/>
  <c r="BY55" i="8" s="1"/>
  <c r="EL54" i="8"/>
  <c r="BT54" i="8"/>
  <c r="BY54" i="8" s="1"/>
  <c r="EL53" i="8"/>
  <c r="BT53" i="8"/>
  <c r="EG52" i="8"/>
  <c r="EB52" i="8"/>
  <c r="DW52" i="8"/>
  <c r="DR52" i="8"/>
  <c r="DM52" i="8"/>
  <c r="DH52" i="8"/>
  <c r="DC52" i="8"/>
  <c r="CX52" i="8"/>
  <c r="CS52" i="8"/>
  <c r="CN52" i="8"/>
  <c r="CI52" i="8"/>
  <c r="CD52" i="8"/>
  <c r="BO52" i="8"/>
  <c r="BJ52" i="8"/>
  <c r="BE52" i="8"/>
  <c r="AZ52" i="8"/>
  <c r="AU52" i="8"/>
  <c r="AP52" i="8"/>
  <c r="AK52" i="8"/>
  <c r="AF52" i="8"/>
  <c r="AA52" i="8"/>
  <c r="V52" i="8"/>
  <c r="Q52" i="8"/>
  <c r="L52" i="8"/>
  <c r="EL50" i="8"/>
  <c r="BT50" i="8"/>
  <c r="BY50" i="8" s="1"/>
  <c r="EL49" i="8"/>
  <c r="BT49" i="8"/>
  <c r="BY49" i="8" s="1"/>
  <c r="EL48" i="8"/>
  <c r="BY48" i="8"/>
  <c r="BT48" i="8"/>
  <c r="EG47" i="8"/>
  <c r="EB47" i="8"/>
  <c r="DW47" i="8"/>
  <c r="DR47" i="8"/>
  <c r="DM47" i="8"/>
  <c r="DH47" i="8"/>
  <c r="DC47" i="8"/>
  <c r="CX47" i="8"/>
  <c r="CS47" i="8"/>
  <c r="CN47" i="8"/>
  <c r="CI47" i="8"/>
  <c r="CD47" i="8"/>
  <c r="BO47" i="8"/>
  <c r="BJ47" i="8"/>
  <c r="BE47" i="8"/>
  <c r="AZ47" i="8"/>
  <c r="AU47" i="8"/>
  <c r="AP47" i="8"/>
  <c r="AK47" i="8"/>
  <c r="AF47" i="8"/>
  <c r="AA47" i="8"/>
  <c r="V47" i="8"/>
  <c r="Q47" i="8"/>
  <c r="L47" i="8"/>
  <c r="EL45" i="8"/>
  <c r="BT45" i="8"/>
  <c r="EL44" i="8"/>
  <c r="BT44" i="8"/>
  <c r="BT42" i="8" s="1"/>
  <c r="EL43" i="8"/>
  <c r="BT43" i="8"/>
  <c r="EG42" i="8"/>
  <c r="EB42" i="8"/>
  <c r="DW42" i="8"/>
  <c r="DR42" i="8"/>
  <c r="DM42" i="8"/>
  <c r="DH42" i="8"/>
  <c r="DC42" i="8"/>
  <c r="CX42" i="8"/>
  <c r="CS42" i="8"/>
  <c r="CN42" i="8"/>
  <c r="CI42" i="8"/>
  <c r="CD42" i="8"/>
  <c r="BY42" i="8"/>
  <c r="BO42" i="8"/>
  <c r="BJ42" i="8"/>
  <c r="BE42" i="8"/>
  <c r="AZ42" i="8"/>
  <c r="AU42" i="8"/>
  <c r="AP42" i="8"/>
  <c r="AK42" i="8"/>
  <c r="AF42" i="8"/>
  <c r="AA42" i="8"/>
  <c r="V42" i="8"/>
  <c r="Q42" i="8"/>
  <c r="L42" i="8"/>
  <c r="EL40" i="8"/>
  <c r="BT40" i="8"/>
  <c r="BT20" i="8" s="1"/>
  <c r="EL39" i="8"/>
  <c r="EL37" i="8" s="1"/>
  <c r="BT39" i="8"/>
  <c r="EL38" i="8"/>
  <c r="BT38" i="8"/>
  <c r="EG37" i="8"/>
  <c r="EB37" i="8"/>
  <c r="DW37" i="8"/>
  <c r="DR37" i="8"/>
  <c r="DM37" i="8"/>
  <c r="DH37" i="8"/>
  <c r="DC37" i="8"/>
  <c r="CX37" i="8"/>
  <c r="CS37" i="8"/>
  <c r="CN37" i="8"/>
  <c r="CI37" i="8"/>
  <c r="CD37" i="8"/>
  <c r="BY37" i="8"/>
  <c r="BO37" i="8"/>
  <c r="BJ37" i="8"/>
  <c r="BE37" i="8"/>
  <c r="AZ37" i="8"/>
  <c r="AU37" i="8"/>
  <c r="AP37" i="8"/>
  <c r="AK37" i="8"/>
  <c r="AF37" i="8"/>
  <c r="AA37" i="8"/>
  <c r="V37" i="8"/>
  <c r="Q37" i="8"/>
  <c r="L37" i="8"/>
  <c r="EL35" i="8"/>
  <c r="BT35" i="8"/>
  <c r="EL34" i="8"/>
  <c r="BT34" i="8"/>
  <c r="EL33" i="8"/>
  <c r="BT33" i="8"/>
  <c r="EG32" i="8"/>
  <c r="EB32" i="8"/>
  <c r="DW32" i="8"/>
  <c r="DR32" i="8"/>
  <c r="DM32" i="8"/>
  <c r="DH32" i="8"/>
  <c r="DC32" i="8"/>
  <c r="CX32" i="8"/>
  <c r="CS32" i="8"/>
  <c r="CN32" i="8"/>
  <c r="CI32" i="8"/>
  <c r="CD32" i="8"/>
  <c r="BY32" i="8"/>
  <c r="BO32" i="8"/>
  <c r="BJ32" i="8"/>
  <c r="BE32" i="8"/>
  <c r="AZ32" i="8"/>
  <c r="AU32" i="8"/>
  <c r="AP32" i="8"/>
  <c r="AK32" i="8"/>
  <c r="AF32" i="8"/>
  <c r="AA32" i="8"/>
  <c r="V32" i="8"/>
  <c r="Q32" i="8"/>
  <c r="L32" i="8"/>
  <c r="EL30" i="8"/>
  <c r="BT30" i="8"/>
  <c r="EL29" i="8"/>
  <c r="BT29" i="8"/>
  <c r="EL28" i="8"/>
  <c r="BT28" i="8"/>
  <c r="BT27" i="8" s="1"/>
  <c r="EG27" i="8"/>
  <c r="EB27" i="8"/>
  <c r="DW27" i="8"/>
  <c r="DR27" i="8"/>
  <c r="DM27" i="8"/>
  <c r="DH27" i="8"/>
  <c r="DC27" i="8"/>
  <c r="CX27" i="8"/>
  <c r="CS27" i="8"/>
  <c r="CN27" i="8"/>
  <c r="CI27" i="8"/>
  <c r="CD27" i="8"/>
  <c r="BY27" i="8"/>
  <c r="BO27" i="8"/>
  <c r="BJ27" i="8"/>
  <c r="BE27" i="8"/>
  <c r="AZ27" i="8"/>
  <c r="AU27" i="8"/>
  <c r="AP27" i="8"/>
  <c r="AK27" i="8"/>
  <c r="AF27" i="8"/>
  <c r="AA27" i="8"/>
  <c r="V27" i="8"/>
  <c r="Q27" i="8"/>
  <c r="L27" i="8"/>
  <c r="G27" i="8"/>
  <c r="EL25" i="8"/>
  <c r="BT25" i="8"/>
  <c r="EL24" i="8"/>
  <c r="BT24" i="8"/>
  <c r="EL23" i="8"/>
  <c r="BT23" i="8"/>
  <c r="BT22" i="8" s="1"/>
  <c r="EG22" i="8"/>
  <c r="EB22" i="8"/>
  <c r="DW22" i="8"/>
  <c r="DR22" i="8"/>
  <c r="DM22" i="8"/>
  <c r="DH22" i="8"/>
  <c r="DC22" i="8"/>
  <c r="CX22" i="8"/>
  <c r="CS22" i="8"/>
  <c r="CN22" i="8"/>
  <c r="CI22" i="8"/>
  <c r="CD22" i="8"/>
  <c r="BY22" i="8"/>
  <c r="BO22" i="8"/>
  <c r="BJ22" i="8"/>
  <c r="BE22" i="8"/>
  <c r="AZ22" i="8"/>
  <c r="AU22" i="8"/>
  <c r="AP22" i="8"/>
  <c r="AK22" i="8"/>
  <c r="AF22" i="8"/>
  <c r="AA22" i="8"/>
  <c r="V22" i="8"/>
  <c r="Q22" i="8"/>
  <c r="L22" i="8"/>
  <c r="G22" i="8"/>
  <c r="EG20" i="8"/>
  <c r="EB20" i="8"/>
  <c r="DW20" i="8"/>
  <c r="DR20" i="8"/>
  <c r="DM20" i="8"/>
  <c r="DH20" i="8"/>
  <c r="DC20" i="8"/>
  <c r="CX20" i="8"/>
  <c r="CS20" i="8"/>
  <c r="CN20" i="8"/>
  <c r="CI20" i="8"/>
  <c r="CD20" i="8"/>
  <c r="BO20" i="8"/>
  <c r="BJ20" i="8"/>
  <c r="BE20" i="8"/>
  <c r="AZ20" i="8"/>
  <c r="AU20" i="8"/>
  <c r="AP20" i="8"/>
  <c r="AK20" i="8"/>
  <c r="AF20" i="8"/>
  <c r="AA20" i="8"/>
  <c r="V20" i="8"/>
  <c r="Q20" i="8"/>
  <c r="L20" i="8"/>
  <c r="EG19" i="8"/>
  <c r="EB19" i="8"/>
  <c r="DW19" i="8"/>
  <c r="DR19" i="8"/>
  <c r="DM19" i="8"/>
  <c r="DH19" i="8"/>
  <c r="DC19" i="8"/>
  <c r="CX19" i="8"/>
  <c r="CX17" i="8" s="1"/>
  <c r="CX13" i="8" s="1"/>
  <c r="CS19" i="8"/>
  <c r="CN19" i="8"/>
  <c r="CI19" i="8"/>
  <c r="CD19" i="8"/>
  <c r="BO19" i="8"/>
  <c r="BJ19" i="8"/>
  <c r="BE19" i="8"/>
  <c r="AZ19" i="8"/>
  <c r="AU19" i="8"/>
  <c r="AP19" i="8"/>
  <c r="AK19" i="8"/>
  <c r="AF19" i="8"/>
  <c r="AA19" i="8"/>
  <c r="V19" i="8"/>
  <c r="Q19" i="8"/>
  <c r="L19" i="8"/>
  <c r="EG18" i="8"/>
  <c r="EB18" i="8"/>
  <c r="DM18" i="8"/>
  <c r="DH18" i="8"/>
  <c r="DC18" i="8"/>
  <c r="CX18" i="8"/>
  <c r="CD18" i="8"/>
  <c r="CD17" i="8" s="1"/>
  <c r="BT18" i="8"/>
  <c r="AU18" i="8"/>
  <c r="AP18" i="8"/>
  <c r="AK18" i="8"/>
  <c r="Q18" i="8"/>
  <c r="L18" i="8"/>
  <c r="AU17" i="8"/>
  <c r="G17" i="8"/>
  <c r="G13" i="8" s="1"/>
  <c r="CD14" i="8"/>
  <c r="CD13" i="8"/>
  <c r="BY9" i="8"/>
  <c r="G9" i="8"/>
  <c r="BY8" i="8"/>
  <c r="G8" i="8"/>
  <c r="M1" i="8"/>
  <c r="EL155" i="7"/>
  <c r="BT155" i="7"/>
  <c r="EL154" i="7"/>
  <c r="BT154" i="7"/>
  <c r="EL153" i="7"/>
  <c r="BT153" i="7"/>
  <c r="EL152" i="7"/>
  <c r="EG152" i="7"/>
  <c r="EB152" i="7"/>
  <c r="DW152" i="7"/>
  <c r="DR152" i="7"/>
  <c r="DM152" i="7"/>
  <c r="DH152" i="7"/>
  <c r="DC152" i="7"/>
  <c r="CX152" i="7"/>
  <c r="CS152" i="7"/>
  <c r="CN152" i="7"/>
  <c r="CI152" i="7"/>
  <c r="CD152" i="7"/>
  <c r="BY152" i="7"/>
  <c r="BO152" i="7"/>
  <c r="BJ152" i="7"/>
  <c r="BE152" i="7"/>
  <c r="AZ152" i="7"/>
  <c r="AU152" i="7"/>
  <c r="AP152" i="7"/>
  <c r="AK152" i="7"/>
  <c r="AF152" i="7"/>
  <c r="AA152" i="7"/>
  <c r="V152" i="7"/>
  <c r="Q152" i="7"/>
  <c r="L152" i="7"/>
  <c r="G152" i="7"/>
  <c r="EL150" i="7"/>
  <c r="BT150" i="7"/>
  <c r="EL149" i="7"/>
  <c r="BT149" i="7"/>
  <c r="EL148" i="7"/>
  <c r="BT148" i="7"/>
  <c r="EG147" i="7"/>
  <c r="EB147" i="7"/>
  <c r="DW147" i="7"/>
  <c r="DR147" i="7"/>
  <c r="DM147" i="7"/>
  <c r="DH147" i="7"/>
  <c r="DC147" i="7"/>
  <c r="CX147" i="7"/>
  <c r="CS147" i="7"/>
  <c r="CN147" i="7"/>
  <c r="CI147" i="7"/>
  <c r="CD147" i="7"/>
  <c r="BY147" i="7"/>
  <c r="BT147" i="7"/>
  <c r="BO147" i="7"/>
  <c r="BJ147" i="7"/>
  <c r="BE147" i="7"/>
  <c r="AZ147" i="7"/>
  <c r="AU147" i="7"/>
  <c r="AP147" i="7"/>
  <c r="AK147" i="7"/>
  <c r="AF147" i="7"/>
  <c r="AA147" i="7"/>
  <c r="V147" i="7"/>
  <c r="Q147" i="7"/>
  <c r="L147" i="7"/>
  <c r="G147" i="7"/>
  <c r="EL145" i="7"/>
  <c r="BT145" i="7"/>
  <c r="EL144" i="7"/>
  <c r="BT144" i="7"/>
  <c r="EL143" i="7"/>
  <c r="BT143" i="7"/>
  <c r="EG142" i="7"/>
  <c r="EB142" i="7"/>
  <c r="DW142" i="7"/>
  <c r="DR142" i="7"/>
  <c r="DM142" i="7"/>
  <c r="DH142" i="7"/>
  <c r="DC142" i="7"/>
  <c r="CX142" i="7"/>
  <c r="CS142" i="7"/>
  <c r="CN142" i="7"/>
  <c r="CI142" i="7"/>
  <c r="CD142" i="7"/>
  <c r="BY142" i="7"/>
  <c r="BO142" i="7"/>
  <c r="BJ142" i="7"/>
  <c r="BE142" i="7"/>
  <c r="AZ142" i="7"/>
  <c r="AU142" i="7"/>
  <c r="AP142" i="7"/>
  <c r="AK142" i="7"/>
  <c r="AF142" i="7"/>
  <c r="AA142" i="7"/>
  <c r="V142" i="7"/>
  <c r="Q142" i="7"/>
  <c r="L142" i="7"/>
  <c r="G142" i="7"/>
  <c r="EL140" i="7"/>
  <c r="BT140" i="7"/>
  <c r="EL139" i="7"/>
  <c r="BT139" i="7"/>
  <c r="EL138" i="7"/>
  <c r="EL137" i="7" s="1"/>
  <c r="BT138" i="7"/>
  <c r="EG137" i="7"/>
  <c r="EB137" i="7"/>
  <c r="DW137" i="7"/>
  <c r="DR137" i="7"/>
  <c r="DM137" i="7"/>
  <c r="DH137" i="7"/>
  <c r="DC137" i="7"/>
  <c r="CX137" i="7"/>
  <c r="CS137" i="7"/>
  <c r="CN137" i="7"/>
  <c r="CI137" i="7"/>
  <c r="CD137" i="7"/>
  <c r="BY137" i="7"/>
  <c r="BT137" i="7"/>
  <c r="BO137" i="7"/>
  <c r="BJ137" i="7"/>
  <c r="BE137" i="7"/>
  <c r="AZ137" i="7"/>
  <c r="AU137" i="7"/>
  <c r="AP137" i="7"/>
  <c r="AK137" i="7"/>
  <c r="AF137" i="7"/>
  <c r="AA137" i="7"/>
  <c r="V137" i="7"/>
  <c r="Q137" i="7"/>
  <c r="L137" i="7"/>
  <c r="G137" i="7"/>
  <c r="EL135" i="7"/>
  <c r="BT135" i="7"/>
  <c r="EL134" i="7"/>
  <c r="BT134" i="7"/>
  <c r="EL133" i="7"/>
  <c r="BT133" i="7"/>
  <c r="BT132" i="7" s="1"/>
  <c r="EG132" i="7"/>
  <c r="EB132" i="7"/>
  <c r="DW132" i="7"/>
  <c r="DR132" i="7"/>
  <c r="DM132" i="7"/>
  <c r="DH132" i="7"/>
  <c r="DC132" i="7"/>
  <c r="CX132" i="7"/>
  <c r="CS132" i="7"/>
  <c r="CN132" i="7"/>
  <c r="CI132" i="7"/>
  <c r="CD132" i="7"/>
  <c r="BY132" i="7"/>
  <c r="BO132" i="7"/>
  <c r="BJ132" i="7"/>
  <c r="BE132" i="7"/>
  <c r="AZ132" i="7"/>
  <c r="AU132" i="7"/>
  <c r="AP132" i="7"/>
  <c r="AK132" i="7"/>
  <c r="AF132" i="7"/>
  <c r="AA132" i="7"/>
  <c r="V132" i="7"/>
  <c r="Q132" i="7"/>
  <c r="L132" i="7"/>
  <c r="G132" i="7"/>
  <c r="EL130" i="7"/>
  <c r="EL125" i="7" s="1"/>
  <c r="BT130" i="7"/>
  <c r="EL129" i="7"/>
  <c r="BT129" i="7"/>
  <c r="EL128" i="7"/>
  <c r="BT128" i="7"/>
  <c r="EG127" i="7"/>
  <c r="EB127" i="7"/>
  <c r="DW127" i="7"/>
  <c r="DR127" i="7"/>
  <c r="DM127" i="7"/>
  <c r="DH127" i="7"/>
  <c r="DC127" i="7"/>
  <c r="CX127" i="7"/>
  <c r="CS127" i="7"/>
  <c r="CN127" i="7"/>
  <c r="CI127" i="7"/>
  <c r="CD127" i="7"/>
  <c r="BY127" i="7"/>
  <c r="BT127" i="7"/>
  <c r="BO127" i="7"/>
  <c r="BJ127" i="7"/>
  <c r="BE127" i="7"/>
  <c r="AZ127" i="7"/>
  <c r="AU127" i="7"/>
  <c r="AP127" i="7"/>
  <c r="AK127" i="7"/>
  <c r="AF127" i="7"/>
  <c r="AA127" i="7"/>
  <c r="V127" i="7"/>
  <c r="Q127" i="7"/>
  <c r="L127" i="7"/>
  <c r="G127" i="7"/>
  <c r="EG125" i="7"/>
  <c r="EB125" i="7"/>
  <c r="DW125" i="7"/>
  <c r="DR125" i="7"/>
  <c r="DM125" i="7"/>
  <c r="DH125" i="7"/>
  <c r="DC125" i="7"/>
  <c r="CX125" i="7"/>
  <c r="CS125" i="7"/>
  <c r="CN125" i="7"/>
  <c r="CI125" i="7"/>
  <c r="CD125" i="7"/>
  <c r="BY125" i="7"/>
  <c r="BO125" i="7"/>
  <c r="BJ125" i="7"/>
  <c r="BE125" i="7"/>
  <c r="AZ125" i="7"/>
  <c r="AU125" i="7"/>
  <c r="AP125" i="7"/>
  <c r="AK125" i="7"/>
  <c r="AF125" i="7"/>
  <c r="AA125" i="7"/>
  <c r="V125" i="7"/>
  <c r="Q125" i="7"/>
  <c r="L125" i="7"/>
  <c r="G125" i="7"/>
  <c r="EG124" i="7"/>
  <c r="EB124" i="7"/>
  <c r="DW124" i="7"/>
  <c r="DR124" i="7"/>
  <c r="DM124" i="7"/>
  <c r="DH124" i="7"/>
  <c r="DC124" i="7"/>
  <c r="CX124" i="7"/>
  <c r="CS124" i="7"/>
  <c r="CN124" i="7"/>
  <c r="CN122" i="7" s="1"/>
  <c r="CN16" i="7" s="1"/>
  <c r="CI124" i="7"/>
  <c r="CD124" i="7"/>
  <c r="BY124" i="7"/>
  <c r="BO124" i="7"/>
  <c r="BJ124" i="7"/>
  <c r="BE124" i="7"/>
  <c r="BE122" i="7" s="1"/>
  <c r="AZ124" i="7"/>
  <c r="AU124" i="7"/>
  <c r="AP124" i="7"/>
  <c r="AK124" i="7"/>
  <c r="AF124" i="7"/>
  <c r="AA124" i="7"/>
  <c r="V124" i="7"/>
  <c r="Q124" i="7"/>
  <c r="L124" i="7"/>
  <c r="G124" i="7"/>
  <c r="EG123" i="7"/>
  <c r="EB123" i="7"/>
  <c r="DW123" i="7"/>
  <c r="DR123" i="7"/>
  <c r="DR122" i="7" s="1"/>
  <c r="DR16" i="7" s="1"/>
  <c r="DR12" i="7" s="1"/>
  <c r="DM123" i="7"/>
  <c r="DM122" i="7" s="1"/>
  <c r="DM16" i="7" s="1"/>
  <c r="DH123" i="7"/>
  <c r="DC123" i="7"/>
  <c r="CX123" i="7"/>
  <c r="CX122" i="7" s="1"/>
  <c r="CX16" i="7" s="1"/>
  <c r="CS123" i="7"/>
  <c r="CS122" i="7" s="1"/>
  <c r="CN123" i="7"/>
  <c r="CI123" i="7"/>
  <c r="CD123" i="7"/>
  <c r="BY123" i="7"/>
  <c r="BO123" i="7"/>
  <c r="BJ123" i="7"/>
  <c r="BE123" i="7"/>
  <c r="AZ123" i="7"/>
  <c r="AZ122" i="7" s="1"/>
  <c r="AZ16" i="7" s="1"/>
  <c r="AU123" i="7"/>
  <c r="AP123" i="7"/>
  <c r="AK123" i="7"/>
  <c r="AF123" i="7"/>
  <c r="AA123" i="7"/>
  <c r="AA122" i="7" s="1"/>
  <c r="V123" i="7"/>
  <c r="Q123" i="7"/>
  <c r="L123" i="7"/>
  <c r="G123" i="7"/>
  <c r="AK122" i="7"/>
  <c r="EL120" i="7"/>
  <c r="BT120" i="7"/>
  <c r="EG119" i="7"/>
  <c r="EB119" i="7"/>
  <c r="DW119" i="7"/>
  <c r="DR119" i="7"/>
  <c r="DM119" i="7"/>
  <c r="DH119" i="7"/>
  <c r="DC119" i="7"/>
  <c r="CX119" i="7"/>
  <c r="CS119" i="7"/>
  <c r="CN119" i="7"/>
  <c r="CI119" i="7"/>
  <c r="CD119" i="7"/>
  <c r="BY119" i="7"/>
  <c r="BO119" i="7"/>
  <c r="BJ119" i="7"/>
  <c r="BE119" i="7"/>
  <c r="AZ119" i="7"/>
  <c r="AU119" i="7"/>
  <c r="AP119" i="7"/>
  <c r="AK119" i="7"/>
  <c r="AF119" i="7"/>
  <c r="AA119" i="7"/>
  <c r="V119" i="7"/>
  <c r="Q119" i="7"/>
  <c r="L119" i="7"/>
  <c r="G119" i="7"/>
  <c r="EL117" i="7"/>
  <c r="BT117" i="7"/>
  <c r="EG116" i="7"/>
  <c r="EB116" i="7"/>
  <c r="DW116" i="7"/>
  <c r="DR116" i="7"/>
  <c r="DM116" i="7"/>
  <c r="DH116" i="7"/>
  <c r="DC116" i="7"/>
  <c r="CX116" i="7"/>
  <c r="CS116" i="7"/>
  <c r="CN116" i="7"/>
  <c r="CI116" i="7"/>
  <c r="CD116" i="7"/>
  <c r="BY116" i="7"/>
  <c r="BO116" i="7"/>
  <c r="BJ116" i="7"/>
  <c r="BE116" i="7"/>
  <c r="AZ116" i="7"/>
  <c r="AU116" i="7"/>
  <c r="AP116" i="7"/>
  <c r="AK116" i="7"/>
  <c r="AF116" i="7"/>
  <c r="AA116" i="7"/>
  <c r="V116" i="7"/>
  <c r="Q116" i="7"/>
  <c r="L116" i="7"/>
  <c r="G116" i="7"/>
  <c r="EL114" i="7"/>
  <c r="BT114" i="7"/>
  <c r="BY114" i="7" s="1"/>
  <c r="EG113" i="7"/>
  <c r="EB113" i="7"/>
  <c r="DW113" i="7"/>
  <c r="DR113" i="7"/>
  <c r="DM113" i="7"/>
  <c r="DH113" i="7"/>
  <c r="DC113" i="7"/>
  <c r="CX113" i="7"/>
  <c r="CS113" i="7"/>
  <c r="CN113" i="7"/>
  <c r="CI113" i="7"/>
  <c r="CD113" i="7"/>
  <c r="BT113" i="7"/>
  <c r="BO113" i="7"/>
  <c r="BJ113" i="7"/>
  <c r="BE113" i="7"/>
  <c r="AZ113" i="7"/>
  <c r="AU113" i="7"/>
  <c r="AP113" i="7"/>
  <c r="AK113" i="7"/>
  <c r="AF113" i="7"/>
  <c r="AA113" i="7"/>
  <c r="V113" i="7"/>
  <c r="Q113" i="7"/>
  <c r="L113" i="7"/>
  <c r="G113" i="7"/>
  <c r="EL111" i="7"/>
  <c r="BT111" i="7"/>
  <c r="BT110" i="7" s="1"/>
  <c r="EG110" i="7"/>
  <c r="EB110" i="7"/>
  <c r="DW110" i="7"/>
  <c r="DR110" i="7"/>
  <c r="DM110" i="7"/>
  <c r="DH110" i="7"/>
  <c r="DC110" i="7"/>
  <c r="CX110" i="7"/>
  <c r="CS110" i="7"/>
  <c r="CN110" i="7"/>
  <c r="CI110" i="7"/>
  <c r="CD110" i="7"/>
  <c r="BY110" i="7"/>
  <c r="BO110" i="7"/>
  <c r="BJ110" i="7"/>
  <c r="BE110" i="7"/>
  <c r="AZ110" i="7"/>
  <c r="AU110" i="7"/>
  <c r="AP110" i="7"/>
  <c r="AK110" i="7"/>
  <c r="AF110" i="7"/>
  <c r="AA110" i="7"/>
  <c r="V110" i="7"/>
  <c r="Q110" i="7"/>
  <c r="L110" i="7"/>
  <c r="G110" i="7"/>
  <c r="EL108" i="7"/>
  <c r="EL107" i="7" s="1"/>
  <c r="BT108" i="7"/>
  <c r="EG107" i="7"/>
  <c r="EB107" i="7"/>
  <c r="DW107" i="7"/>
  <c r="DR107" i="7"/>
  <c r="DM107" i="7"/>
  <c r="DH107" i="7"/>
  <c r="DC107" i="7"/>
  <c r="CX107" i="7"/>
  <c r="CS107" i="7"/>
  <c r="CN107" i="7"/>
  <c r="CI107" i="7"/>
  <c r="CD107" i="7"/>
  <c r="BY107" i="7"/>
  <c r="BT107" i="7"/>
  <c r="BO107" i="7"/>
  <c r="BJ107" i="7"/>
  <c r="BE107" i="7"/>
  <c r="AZ107" i="7"/>
  <c r="AU107" i="7"/>
  <c r="AP107" i="7"/>
  <c r="AK107" i="7"/>
  <c r="AF107" i="7"/>
  <c r="AA107" i="7"/>
  <c r="V107" i="7"/>
  <c r="Q107" i="7"/>
  <c r="L107" i="7"/>
  <c r="G107" i="7"/>
  <c r="D107" i="7"/>
  <c r="EL105" i="7"/>
  <c r="EL104" i="7" s="1"/>
  <c r="BT105" i="7"/>
  <c r="EG104" i="7"/>
  <c r="EB104" i="7"/>
  <c r="DW104" i="7"/>
  <c r="DR104" i="7"/>
  <c r="DM104" i="7"/>
  <c r="DH104" i="7"/>
  <c r="DC104" i="7"/>
  <c r="CX104" i="7"/>
  <c r="CS104" i="7"/>
  <c r="CN104" i="7"/>
  <c r="CI104" i="7"/>
  <c r="CD104" i="7"/>
  <c r="BY104" i="7"/>
  <c r="BO104" i="7"/>
  <c r="BJ104" i="7"/>
  <c r="BE104" i="7"/>
  <c r="AZ104" i="7"/>
  <c r="AU104" i="7"/>
  <c r="AP104" i="7"/>
  <c r="AK104" i="7"/>
  <c r="AF104" i="7"/>
  <c r="AA104" i="7"/>
  <c r="V104" i="7"/>
  <c r="Q104" i="7"/>
  <c r="L104" i="7"/>
  <c r="G104" i="7"/>
  <c r="EL102" i="7"/>
  <c r="EL101" i="7" s="1"/>
  <c r="BT102" i="7"/>
  <c r="BT101" i="7" s="1"/>
  <c r="EG101" i="7"/>
  <c r="EB101" i="7"/>
  <c r="DW101" i="7"/>
  <c r="DR101" i="7"/>
  <c r="DM101" i="7"/>
  <c r="DH101" i="7"/>
  <c r="DC101" i="7"/>
  <c r="CX101" i="7"/>
  <c r="CS101" i="7"/>
  <c r="CN101" i="7"/>
  <c r="CI101" i="7"/>
  <c r="CD101" i="7"/>
  <c r="BY101" i="7"/>
  <c r="BO101" i="7"/>
  <c r="BJ101" i="7"/>
  <c r="BE101" i="7"/>
  <c r="AZ101" i="7"/>
  <c r="AU101" i="7"/>
  <c r="AP101" i="7"/>
  <c r="AK101" i="7"/>
  <c r="AF101" i="7"/>
  <c r="AA101" i="7"/>
  <c r="V101" i="7"/>
  <c r="Q101" i="7"/>
  <c r="L101" i="7"/>
  <c r="G101" i="7"/>
  <c r="EL99" i="7"/>
  <c r="EL98" i="7" s="1"/>
  <c r="BT99" i="7"/>
  <c r="EG98" i="7"/>
  <c r="EB98" i="7"/>
  <c r="DW98" i="7"/>
  <c r="DR98" i="7"/>
  <c r="DM98" i="7"/>
  <c r="DH98" i="7"/>
  <c r="DC98" i="7"/>
  <c r="CX98" i="7"/>
  <c r="CS98" i="7"/>
  <c r="CN98" i="7"/>
  <c r="CI98" i="7"/>
  <c r="CD98" i="7"/>
  <c r="BY98" i="7"/>
  <c r="BO98" i="7"/>
  <c r="BJ98" i="7"/>
  <c r="BE98" i="7"/>
  <c r="AZ98" i="7"/>
  <c r="AU98" i="7"/>
  <c r="AP98" i="7"/>
  <c r="AK98" i="7"/>
  <c r="AF98" i="7"/>
  <c r="AA98" i="7"/>
  <c r="V98" i="7"/>
  <c r="Q98" i="7"/>
  <c r="L98" i="7"/>
  <c r="G98" i="7"/>
  <c r="EL96" i="7"/>
  <c r="BT96" i="7"/>
  <c r="BT95" i="7" s="1"/>
  <c r="EL95" i="7"/>
  <c r="EG95" i="7"/>
  <c r="EB95" i="7"/>
  <c r="DW95" i="7"/>
  <c r="DR95" i="7"/>
  <c r="DM95" i="7"/>
  <c r="DH95" i="7"/>
  <c r="DC95" i="7"/>
  <c r="CX95" i="7"/>
  <c r="CS95" i="7"/>
  <c r="CN95" i="7"/>
  <c r="CI95" i="7"/>
  <c r="CD95" i="7"/>
  <c r="BY95" i="7"/>
  <c r="BO95" i="7"/>
  <c r="BJ95" i="7"/>
  <c r="BE95" i="7"/>
  <c r="AZ95" i="7"/>
  <c r="AU95" i="7"/>
  <c r="AP95" i="7"/>
  <c r="AK95" i="7"/>
  <c r="AF95" i="7"/>
  <c r="AA95" i="7"/>
  <c r="V95" i="7"/>
  <c r="Q95" i="7"/>
  <c r="L95" i="7"/>
  <c r="G95" i="7"/>
  <c r="EL93" i="7"/>
  <c r="EL92" i="7" s="1"/>
  <c r="BT93" i="7"/>
  <c r="EG92" i="7"/>
  <c r="EB92" i="7"/>
  <c r="DW92" i="7"/>
  <c r="DR92" i="7"/>
  <c r="DM92" i="7"/>
  <c r="DH92" i="7"/>
  <c r="DC92" i="7"/>
  <c r="CX92" i="7"/>
  <c r="CS92" i="7"/>
  <c r="CN92" i="7"/>
  <c r="CI92" i="7"/>
  <c r="CD92" i="7"/>
  <c r="BY92" i="7"/>
  <c r="BO92" i="7"/>
  <c r="BJ92" i="7"/>
  <c r="BE92" i="7"/>
  <c r="AZ92" i="7"/>
  <c r="AU92" i="7"/>
  <c r="AP92" i="7"/>
  <c r="AK92" i="7"/>
  <c r="AF92" i="7"/>
  <c r="AA92" i="7"/>
  <c r="V92" i="7"/>
  <c r="Q92" i="7"/>
  <c r="L92" i="7"/>
  <c r="G92" i="7"/>
  <c r="D92" i="7"/>
  <c r="EL90" i="7"/>
  <c r="BT90" i="7"/>
  <c r="EL89" i="7"/>
  <c r="EG89" i="7"/>
  <c r="EB89" i="7"/>
  <c r="DW89" i="7"/>
  <c r="DR89" i="7"/>
  <c r="DM89" i="7"/>
  <c r="DH89" i="7"/>
  <c r="DC89" i="7"/>
  <c r="CX89" i="7"/>
  <c r="CS89" i="7"/>
  <c r="CN89" i="7"/>
  <c r="CI89" i="7"/>
  <c r="CD89" i="7"/>
  <c r="BY89" i="7"/>
  <c r="BO89" i="7"/>
  <c r="BJ89" i="7"/>
  <c r="BE89" i="7"/>
  <c r="AZ89" i="7"/>
  <c r="AU89" i="7"/>
  <c r="AP89" i="7"/>
  <c r="AK89" i="7"/>
  <c r="AF89" i="7"/>
  <c r="AA89" i="7"/>
  <c r="V89" i="7"/>
  <c r="Q89" i="7"/>
  <c r="L89" i="7"/>
  <c r="G89" i="7"/>
  <c r="D89" i="7"/>
  <c r="EL87" i="7"/>
  <c r="EL86" i="7" s="1"/>
  <c r="BT87" i="7"/>
  <c r="BT86" i="7" s="1"/>
  <c r="EG86" i="7"/>
  <c r="EB86" i="7"/>
  <c r="DW86" i="7"/>
  <c r="DR86" i="7"/>
  <c r="DM86" i="7"/>
  <c r="DH86" i="7"/>
  <c r="DC86" i="7"/>
  <c r="CX86" i="7"/>
  <c r="CS86" i="7"/>
  <c r="CN86" i="7"/>
  <c r="CI86" i="7"/>
  <c r="CD86" i="7"/>
  <c r="BY86" i="7"/>
  <c r="BO86" i="7"/>
  <c r="BJ86" i="7"/>
  <c r="BE86" i="7"/>
  <c r="AZ86" i="7"/>
  <c r="AU86" i="7"/>
  <c r="AP86" i="7"/>
  <c r="AK86" i="7"/>
  <c r="AF86" i="7"/>
  <c r="AA86" i="7"/>
  <c r="V86" i="7"/>
  <c r="Q86" i="7"/>
  <c r="L86" i="7"/>
  <c r="G86" i="7"/>
  <c r="EL84" i="7"/>
  <c r="BT84" i="7"/>
  <c r="EG83" i="7"/>
  <c r="EB83" i="7"/>
  <c r="DW83" i="7"/>
  <c r="DR83" i="7"/>
  <c r="DM83" i="7"/>
  <c r="DH83" i="7"/>
  <c r="DC83" i="7"/>
  <c r="CX83" i="7"/>
  <c r="CS83" i="7"/>
  <c r="CN83" i="7"/>
  <c r="CI83" i="7"/>
  <c r="CD83" i="7"/>
  <c r="BY83" i="7"/>
  <c r="BO83" i="7"/>
  <c r="BJ83" i="7"/>
  <c r="BE83" i="7"/>
  <c r="AZ83" i="7"/>
  <c r="AU83" i="7"/>
  <c r="AP83" i="7"/>
  <c r="AK83" i="7"/>
  <c r="AF83" i="7"/>
  <c r="AA83" i="7"/>
  <c r="V83" i="7"/>
  <c r="Q83" i="7"/>
  <c r="L83" i="7"/>
  <c r="G83" i="7"/>
  <c r="EL81" i="7"/>
  <c r="EL80" i="7" s="1"/>
  <c r="BT81" i="7"/>
  <c r="EG80" i="7"/>
  <c r="EB80" i="7"/>
  <c r="DW80" i="7"/>
  <c r="DR80" i="7"/>
  <c r="DM80" i="7"/>
  <c r="DH80" i="7"/>
  <c r="DC80" i="7"/>
  <c r="CX80" i="7"/>
  <c r="CS80" i="7"/>
  <c r="CN80" i="7"/>
  <c r="CI80" i="7"/>
  <c r="CE80" i="7"/>
  <c r="CD80" i="7"/>
  <c r="BY80" i="7"/>
  <c r="BT80" i="7"/>
  <c r="BO80" i="7"/>
  <c r="BJ80" i="7"/>
  <c r="BE80" i="7"/>
  <c r="AZ80" i="7"/>
  <c r="AU80" i="7"/>
  <c r="AP80" i="7"/>
  <c r="AK80" i="7"/>
  <c r="AF80" i="7"/>
  <c r="AA80" i="7"/>
  <c r="V80" i="7"/>
  <c r="Q80" i="7"/>
  <c r="M80" i="7"/>
  <c r="L80" i="7"/>
  <c r="G80" i="7"/>
  <c r="EL78" i="7"/>
  <c r="EL77" i="7" s="1"/>
  <c r="BT78" i="7"/>
  <c r="EG77" i="7"/>
  <c r="EB77" i="7"/>
  <c r="DW77" i="7"/>
  <c r="DR77" i="7"/>
  <c r="DM77" i="7"/>
  <c r="DH77" i="7"/>
  <c r="DC77" i="7"/>
  <c r="CX77" i="7"/>
  <c r="CS77" i="7"/>
  <c r="CN77" i="7"/>
  <c r="CI77" i="7"/>
  <c r="CD77" i="7"/>
  <c r="BY77" i="7"/>
  <c r="BO77" i="7"/>
  <c r="BJ77" i="7"/>
  <c r="BE77" i="7"/>
  <c r="AZ77" i="7"/>
  <c r="AU77" i="7"/>
  <c r="AP77" i="7"/>
  <c r="AK77" i="7"/>
  <c r="AF77" i="7"/>
  <c r="AA77" i="7"/>
  <c r="V77" i="7"/>
  <c r="Q77" i="7"/>
  <c r="L77" i="7"/>
  <c r="G77" i="7"/>
  <c r="EL75" i="7"/>
  <c r="EL74" i="7" s="1"/>
  <c r="BT75" i="7"/>
  <c r="EG74" i="7"/>
  <c r="EB74" i="7"/>
  <c r="DW74" i="7"/>
  <c r="DR74" i="7"/>
  <c r="DM74" i="7"/>
  <c r="DH74" i="7"/>
  <c r="DC74" i="7"/>
  <c r="CX74" i="7"/>
  <c r="CS74" i="7"/>
  <c r="CN74" i="7"/>
  <c r="CI74" i="7"/>
  <c r="CD74" i="7"/>
  <c r="BY74" i="7"/>
  <c r="BO74" i="7"/>
  <c r="BJ74" i="7"/>
  <c r="BE74" i="7"/>
  <c r="AZ74" i="7"/>
  <c r="AU74" i="7"/>
  <c r="AP74" i="7"/>
  <c r="AK74" i="7"/>
  <c r="AF74" i="7"/>
  <c r="AA74" i="7"/>
  <c r="V74" i="7"/>
  <c r="Q74" i="7"/>
  <c r="L74" i="7"/>
  <c r="G74" i="7"/>
  <c r="D74" i="7"/>
  <c r="EL72" i="7"/>
  <c r="EL71" i="7" s="1"/>
  <c r="BT72" i="7"/>
  <c r="EG71" i="7"/>
  <c r="EB71" i="7"/>
  <c r="DW71" i="7"/>
  <c r="DR71" i="7"/>
  <c r="DM71" i="7"/>
  <c r="DH71" i="7"/>
  <c r="DC71" i="7"/>
  <c r="CX71" i="7"/>
  <c r="CS71" i="7"/>
  <c r="CN71" i="7"/>
  <c r="CI71" i="7"/>
  <c r="CD71" i="7"/>
  <c r="BY71" i="7"/>
  <c r="BT71" i="7"/>
  <c r="BO71" i="7"/>
  <c r="BJ71" i="7"/>
  <c r="BE71" i="7"/>
  <c r="AZ71" i="7"/>
  <c r="AU71" i="7"/>
  <c r="AP71" i="7"/>
  <c r="AK71" i="7"/>
  <c r="AF71" i="7"/>
  <c r="AA71" i="7"/>
  <c r="V71" i="7"/>
  <c r="Q71" i="7"/>
  <c r="L71" i="7"/>
  <c r="EL69" i="7"/>
  <c r="BT69" i="7"/>
  <c r="EL68" i="7"/>
  <c r="EG68" i="7"/>
  <c r="EB68" i="7"/>
  <c r="DW68" i="7"/>
  <c r="DR68" i="7"/>
  <c r="DM68" i="7"/>
  <c r="DH68" i="7"/>
  <c r="DC68" i="7"/>
  <c r="CX68" i="7"/>
  <c r="CS68" i="7"/>
  <c r="CN68" i="7"/>
  <c r="CI68" i="7"/>
  <c r="CD68" i="7"/>
  <c r="BY68" i="7"/>
  <c r="BO68" i="7"/>
  <c r="BJ68" i="7"/>
  <c r="BE68" i="7"/>
  <c r="AZ68" i="7"/>
  <c r="AU68" i="7"/>
  <c r="AP68" i="7"/>
  <c r="AK68" i="7"/>
  <c r="AF68" i="7"/>
  <c r="AA68" i="7"/>
  <c r="V68" i="7"/>
  <c r="Q68" i="7"/>
  <c r="L68" i="7"/>
  <c r="EG66" i="7"/>
  <c r="EG65" i="7" s="1"/>
  <c r="DM66" i="7"/>
  <c r="DH66" i="7"/>
  <c r="DH65" i="7" s="1"/>
  <c r="DH15" i="7" s="1"/>
  <c r="DC66" i="7"/>
  <c r="CX66" i="7"/>
  <c r="CX65" i="7" s="1"/>
  <c r="CX15" i="7" s="1"/>
  <c r="CD66" i="7"/>
  <c r="CD65" i="7" s="1"/>
  <c r="CD15" i="7" s="1"/>
  <c r="BO66" i="7"/>
  <c r="BE66" i="7"/>
  <c r="BE65" i="7" s="1"/>
  <c r="AZ66" i="7"/>
  <c r="AU66" i="7"/>
  <c r="AP66" i="7"/>
  <c r="AK66" i="7"/>
  <c r="AF66" i="7"/>
  <c r="V66" i="7"/>
  <c r="Q66" i="7"/>
  <c r="L66" i="7"/>
  <c r="G66" i="7"/>
  <c r="G65" i="7" s="1"/>
  <c r="G15" i="7" s="1"/>
  <c r="EB65" i="7"/>
  <c r="DW65" i="7"/>
  <c r="DR65" i="7"/>
  <c r="DM65" i="7"/>
  <c r="DM15" i="7" s="1"/>
  <c r="DC65" i="7"/>
  <c r="DC15" i="7" s="1"/>
  <c r="CS65" i="7"/>
  <c r="CN65" i="7"/>
  <c r="CN15" i="7" s="1"/>
  <c r="CI65" i="7"/>
  <c r="CI15" i="7" s="1"/>
  <c r="BO65" i="7"/>
  <c r="BO15" i="7" s="1"/>
  <c r="BJ65" i="7"/>
  <c r="AZ65" i="7"/>
  <c r="AF65" i="7"/>
  <c r="AA65" i="7"/>
  <c r="V65" i="7"/>
  <c r="EL63" i="7"/>
  <c r="BT63" i="7"/>
  <c r="EL62" i="7"/>
  <c r="BT62" i="7"/>
  <c r="EL61" i="7"/>
  <c r="EL60" i="7" s="1"/>
  <c r="BT61" i="7"/>
  <c r="EG60" i="7"/>
  <c r="EB60" i="7"/>
  <c r="DW60" i="7"/>
  <c r="DR60" i="7"/>
  <c r="DM60" i="7"/>
  <c r="DH60" i="7"/>
  <c r="DC60" i="7"/>
  <c r="CX60" i="7"/>
  <c r="CS60" i="7"/>
  <c r="CN60" i="7"/>
  <c r="CI60" i="7"/>
  <c r="CD60" i="7"/>
  <c r="BY60" i="7"/>
  <c r="BO60" i="7"/>
  <c r="BJ60" i="7"/>
  <c r="BE60" i="7"/>
  <c r="AZ60" i="7"/>
  <c r="AU60" i="7"/>
  <c r="AP60" i="7"/>
  <c r="AK60" i="7"/>
  <c r="AF60" i="7"/>
  <c r="AA60" i="7"/>
  <c r="V60" i="7"/>
  <c r="Q60" i="7"/>
  <c r="L60" i="7"/>
  <c r="G60" i="7"/>
  <c r="EL58" i="7"/>
  <c r="BT58" i="7"/>
  <c r="EL57" i="7"/>
  <c r="BT57" i="7"/>
  <c r="EL56" i="7"/>
  <c r="EL55" i="7" s="1"/>
  <c r="BT56" i="7"/>
  <c r="EG55" i="7"/>
  <c r="EB55" i="7"/>
  <c r="DW55" i="7"/>
  <c r="DR55" i="7"/>
  <c r="DM55" i="7"/>
  <c r="DH55" i="7"/>
  <c r="DC55" i="7"/>
  <c r="CX55" i="7"/>
  <c r="CS55" i="7"/>
  <c r="CN55" i="7"/>
  <c r="CI55" i="7"/>
  <c r="CD55" i="7"/>
  <c r="BY55" i="7"/>
  <c r="BT55" i="7"/>
  <c r="BO55" i="7"/>
  <c r="BJ55" i="7"/>
  <c r="BE55" i="7"/>
  <c r="AZ55" i="7"/>
  <c r="AU55" i="7"/>
  <c r="AP55" i="7"/>
  <c r="AK55" i="7"/>
  <c r="AF55" i="7"/>
  <c r="AA55" i="7"/>
  <c r="V55" i="7"/>
  <c r="Q55" i="7"/>
  <c r="L55" i="7"/>
  <c r="G55" i="7"/>
  <c r="EL53" i="7"/>
  <c r="BT53" i="7"/>
  <c r="EL52" i="7"/>
  <c r="BT52" i="7"/>
  <c r="BT50" i="7" s="1"/>
  <c r="EL51" i="7"/>
  <c r="BT51" i="7"/>
  <c r="EL50" i="7"/>
  <c r="EG50" i="7"/>
  <c r="EB50" i="7"/>
  <c r="DW50" i="7"/>
  <c r="DR50" i="7"/>
  <c r="DM50" i="7"/>
  <c r="DH50" i="7"/>
  <c r="DC50" i="7"/>
  <c r="CX50" i="7"/>
  <c r="CS50" i="7"/>
  <c r="CN50" i="7"/>
  <c r="CI50" i="7"/>
  <c r="CD50" i="7"/>
  <c r="BY50" i="7"/>
  <c r="BO50" i="7"/>
  <c r="BJ50" i="7"/>
  <c r="BE50" i="7"/>
  <c r="AZ50" i="7"/>
  <c r="AU50" i="7"/>
  <c r="AP50" i="7"/>
  <c r="AK50" i="7"/>
  <c r="AF50" i="7"/>
  <c r="AA50" i="7"/>
  <c r="V50" i="7"/>
  <c r="Q50" i="7"/>
  <c r="L50" i="7"/>
  <c r="EL48" i="7"/>
  <c r="BT48" i="7"/>
  <c r="EL47" i="7"/>
  <c r="BT47" i="7"/>
  <c r="EL46" i="7"/>
  <c r="BT46" i="7"/>
  <c r="EG45" i="7"/>
  <c r="EB45" i="7"/>
  <c r="DW45" i="7"/>
  <c r="DR45" i="7"/>
  <c r="DM45" i="7"/>
  <c r="DH45" i="7"/>
  <c r="DC45" i="7"/>
  <c r="CX45" i="7"/>
  <c r="CS45" i="7"/>
  <c r="CN45" i="7"/>
  <c r="CI45" i="7"/>
  <c r="CD45" i="7"/>
  <c r="BY45" i="7"/>
  <c r="BO45" i="7"/>
  <c r="BJ45" i="7"/>
  <c r="BE45" i="7"/>
  <c r="AZ45" i="7"/>
  <c r="AU45" i="7"/>
  <c r="AP45" i="7"/>
  <c r="AK45" i="7"/>
  <c r="AF45" i="7"/>
  <c r="AA45" i="7"/>
  <c r="V45" i="7"/>
  <c r="Q45" i="7"/>
  <c r="L45" i="7"/>
  <c r="G45" i="7"/>
  <c r="EL43" i="7"/>
  <c r="BT43" i="7"/>
  <c r="BY43" i="7" s="1"/>
  <c r="EL42" i="7"/>
  <c r="BT42" i="7"/>
  <c r="EL41" i="7"/>
  <c r="BT41" i="7"/>
  <c r="BY41" i="7" s="1"/>
  <c r="EG40" i="7"/>
  <c r="EB40" i="7"/>
  <c r="DW40" i="7"/>
  <c r="DR40" i="7"/>
  <c r="DM40" i="7"/>
  <c r="DH40" i="7"/>
  <c r="DC40" i="7"/>
  <c r="CX40" i="7"/>
  <c r="CS40" i="7"/>
  <c r="CN40" i="7"/>
  <c r="CI40" i="7"/>
  <c r="CD40" i="7"/>
  <c r="BO40" i="7"/>
  <c r="BJ40" i="7"/>
  <c r="BE40" i="7"/>
  <c r="AZ40" i="7"/>
  <c r="AU40" i="7"/>
  <c r="AP40" i="7"/>
  <c r="AK40" i="7"/>
  <c r="AF40" i="7"/>
  <c r="AA40" i="7"/>
  <c r="V40" i="7"/>
  <c r="Q40" i="7"/>
  <c r="L40" i="7"/>
  <c r="EM38" i="7"/>
  <c r="EL38" i="7"/>
  <c r="BT38" i="7"/>
  <c r="BY38" i="7" s="1"/>
  <c r="BY33" i="7" s="1"/>
  <c r="EM37" i="7"/>
  <c r="EL37" i="7"/>
  <c r="BT37" i="7"/>
  <c r="EM36" i="7"/>
  <c r="EL36" i="7"/>
  <c r="BT36" i="7"/>
  <c r="BY36" i="7" s="1"/>
  <c r="BY31" i="7" s="1"/>
  <c r="EG35" i="7"/>
  <c r="EB35" i="7"/>
  <c r="DW35" i="7"/>
  <c r="DR35" i="7"/>
  <c r="DM35" i="7"/>
  <c r="DH35" i="7"/>
  <c r="DC35" i="7"/>
  <c r="CX35" i="7"/>
  <c r="CS35" i="7"/>
  <c r="CN35" i="7"/>
  <c r="CI35" i="7"/>
  <c r="CD35" i="7"/>
  <c r="BO35" i="7"/>
  <c r="BJ35" i="7"/>
  <c r="BE35" i="7"/>
  <c r="AZ35" i="7"/>
  <c r="AU35" i="7"/>
  <c r="AP35" i="7"/>
  <c r="AK35" i="7"/>
  <c r="AF35" i="7"/>
  <c r="AA35" i="7"/>
  <c r="V35" i="7"/>
  <c r="Q35" i="7"/>
  <c r="L35" i="7"/>
  <c r="CI31" i="7"/>
  <c r="CI30" i="7" s="1"/>
  <c r="CI14" i="7" s="1"/>
  <c r="Q31" i="7"/>
  <c r="G31" i="7"/>
  <c r="EG30" i="7"/>
  <c r="EG14" i="7" s="1"/>
  <c r="EB30" i="7"/>
  <c r="EB14" i="7" s="1"/>
  <c r="DW30" i="7"/>
  <c r="DR30" i="7"/>
  <c r="DM30" i="7"/>
  <c r="DH30" i="7"/>
  <c r="DH14" i="7" s="1"/>
  <c r="DC30" i="7"/>
  <c r="DC14" i="7" s="1"/>
  <c r="CX30" i="7"/>
  <c r="CX14" i="7" s="1"/>
  <c r="CS30" i="7"/>
  <c r="CN30" i="7"/>
  <c r="CD30" i="7"/>
  <c r="BO30" i="7"/>
  <c r="BO14" i="7" s="1"/>
  <c r="BJ30" i="7"/>
  <c r="BJ14" i="7" s="1"/>
  <c r="BE30" i="7"/>
  <c r="AZ30" i="7"/>
  <c r="AU30" i="7"/>
  <c r="AP30" i="7"/>
  <c r="AK30" i="7"/>
  <c r="AF30" i="7"/>
  <c r="AF14" i="7" s="1"/>
  <c r="AA30" i="7"/>
  <c r="V30" i="7"/>
  <c r="Q30" i="7"/>
  <c r="L30" i="7"/>
  <c r="G30" i="7"/>
  <c r="EL28" i="7"/>
  <c r="BT28" i="7"/>
  <c r="EL27" i="7"/>
  <c r="BT27" i="7"/>
  <c r="EL26" i="7"/>
  <c r="BT26" i="7"/>
  <c r="EL25" i="7"/>
  <c r="BT25" i="7"/>
  <c r="EL24" i="7"/>
  <c r="BT24" i="7"/>
  <c r="EL23" i="7"/>
  <c r="BT23" i="7"/>
  <c r="EL22" i="7"/>
  <c r="BT22" i="7"/>
  <c r="EL21" i="7"/>
  <c r="BT21" i="7"/>
  <c r="EL20" i="7"/>
  <c r="BT20" i="7"/>
  <c r="EL19" i="7"/>
  <c r="BT19" i="7"/>
  <c r="EG18" i="7"/>
  <c r="EG13" i="7" s="1"/>
  <c r="EB18" i="7"/>
  <c r="EB13" i="7" s="1"/>
  <c r="DW18" i="7"/>
  <c r="DR18" i="7"/>
  <c r="DR13" i="7" s="1"/>
  <c r="DM18" i="7"/>
  <c r="DH18" i="7"/>
  <c r="DH13" i="7" s="1"/>
  <c r="DC18" i="7"/>
  <c r="DC13" i="7" s="1"/>
  <c r="CX18" i="7"/>
  <c r="CX13" i="7" s="1"/>
  <c r="CS18" i="7"/>
  <c r="CN18" i="7"/>
  <c r="CN13" i="7" s="1"/>
  <c r="CI18" i="7"/>
  <c r="CD18" i="7"/>
  <c r="CD13" i="7" s="1"/>
  <c r="BO18" i="7"/>
  <c r="BJ18" i="7"/>
  <c r="BJ13" i="7" s="1"/>
  <c r="BE18" i="7"/>
  <c r="AZ18" i="7"/>
  <c r="AU18" i="7"/>
  <c r="AP18" i="7"/>
  <c r="AP13" i="7" s="1"/>
  <c r="AK18" i="7"/>
  <c r="AF18" i="7"/>
  <c r="AA18" i="7"/>
  <c r="V18" i="7"/>
  <c r="Q18" i="7"/>
  <c r="L18" i="7"/>
  <c r="L13" i="7" s="1"/>
  <c r="G18" i="7"/>
  <c r="CS16" i="7"/>
  <c r="BY16" i="7"/>
  <c r="G16" i="7"/>
  <c r="EG15" i="7"/>
  <c r="EB15" i="7"/>
  <c r="DW15" i="7"/>
  <c r="DR15" i="7"/>
  <c r="CS15" i="7"/>
  <c r="BJ15" i="7"/>
  <c r="AF15" i="7"/>
  <c r="DW14" i="7"/>
  <c r="DR14" i="7"/>
  <c r="DM14" i="7"/>
  <c r="CS14" i="7"/>
  <c r="CN14" i="7"/>
  <c r="CD14" i="7"/>
  <c r="BE14" i="7"/>
  <c r="AZ14" i="7"/>
  <c r="AP14" i="7"/>
  <c r="AK14" i="7"/>
  <c r="AA14" i="7"/>
  <c r="V14" i="7"/>
  <c r="L14" i="7"/>
  <c r="G14" i="7"/>
  <c r="DW13" i="7"/>
  <c r="DM13" i="7"/>
  <c r="CS13" i="7"/>
  <c r="CI13" i="7"/>
  <c r="BO13" i="7"/>
  <c r="AK13" i="7"/>
  <c r="AF13" i="7"/>
  <c r="AA13" i="7"/>
  <c r="G13" i="7"/>
  <c r="G12" i="7" s="1"/>
  <c r="BY9" i="7"/>
  <c r="G9" i="7"/>
  <c r="BY8" i="7"/>
  <c r="G8" i="7"/>
  <c r="M1" i="7"/>
  <c r="EL340" i="6"/>
  <c r="BT340" i="6"/>
  <c r="EG339" i="6"/>
  <c r="EB339" i="6"/>
  <c r="DW339" i="6"/>
  <c r="DR339" i="6"/>
  <c r="DM339" i="6"/>
  <c r="DH339" i="6"/>
  <c r="DC339" i="6"/>
  <c r="CX339" i="6"/>
  <c r="CS339" i="6"/>
  <c r="CN339" i="6"/>
  <c r="CI339" i="6"/>
  <c r="CD339" i="6"/>
  <c r="BY339" i="6"/>
  <c r="BT339" i="6"/>
  <c r="BO339" i="6"/>
  <c r="BJ339" i="6"/>
  <c r="BE339" i="6"/>
  <c r="AZ339" i="6"/>
  <c r="AU339" i="6"/>
  <c r="AP339" i="6"/>
  <c r="AK339" i="6"/>
  <c r="AF339" i="6"/>
  <c r="AA339" i="6"/>
  <c r="V339" i="6"/>
  <c r="Q339" i="6"/>
  <c r="L339" i="6"/>
  <c r="EL337" i="6"/>
  <c r="BT337" i="6"/>
  <c r="EG336" i="6"/>
  <c r="EB336" i="6"/>
  <c r="DW336" i="6"/>
  <c r="DR336" i="6"/>
  <c r="DM336" i="6"/>
  <c r="DH336" i="6"/>
  <c r="DC336" i="6"/>
  <c r="CX336" i="6"/>
  <c r="CS336" i="6"/>
  <c r="CN336" i="6"/>
  <c r="CI336" i="6"/>
  <c r="CD336" i="6"/>
  <c r="BY336" i="6"/>
  <c r="BO336" i="6"/>
  <c r="BJ336" i="6"/>
  <c r="BE336" i="6"/>
  <c r="AZ336" i="6"/>
  <c r="AU336" i="6"/>
  <c r="AP336" i="6"/>
  <c r="AK336" i="6"/>
  <c r="AF336" i="6"/>
  <c r="AA336" i="6"/>
  <c r="V336" i="6"/>
  <c r="Q336" i="6"/>
  <c r="L336" i="6"/>
  <c r="G336" i="6"/>
  <c r="EL334" i="6"/>
  <c r="BT334" i="6"/>
  <c r="EG333" i="6"/>
  <c r="EB333" i="6"/>
  <c r="DW333" i="6"/>
  <c r="DR333" i="6"/>
  <c r="DM333" i="6"/>
  <c r="DH333" i="6"/>
  <c r="DC333" i="6"/>
  <c r="CX333" i="6"/>
  <c r="CS333" i="6"/>
  <c r="CN333" i="6"/>
  <c r="CI333" i="6"/>
  <c r="CD333" i="6"/>
  <c r="BY333" i="6"/>
  <c r="BO333" i="6"/>
  <c r="BJ333" i="6"/>
  <c r="BE333" i="6"/>
  <c r="AZ333" i="6"/>
  <c r="AU333" i="6"/>
  <c r="AP333" i="6"/>
  <c r="AK333" i="6"/>
  <c r="AF333" i="6"/>
  <c r="AA333" i="6"/>
  <c r="V333" i="6"/>
  <c r="Q333" i="6"/>
  <c r="L333" i="6"/>
  <c r="EL331" i="6"/>
  <c r="BT331" i="6"/>
  <c r="BT330" i="6" s="1"/>
  <c r="EG330" i="6"/>
  <c r="EB330" i="6"/>
  <c r="DW330" i="6"/>
  <c r="DR330" i="6"/>
  <c r="DM330" i="6"/>
  <c r="DH330" i="6"/>
  <c r="DC330" i="6"/>
  <c r="CX330" i="6"/>
  <c r="CS330" i="6"/>
  <c r="CN330" i="6"/>
  <c r="CI330" i="6"/>
  <c r="CD330" i="6"/>
  <c r="BY330" i="6"/>
  <c r="BO330" i="6"/>
  <c r="BJ330" i="6"/>
  <c r="BE330" i="6"/>
  <c r="AZ330" i="6"/>
  <c r="AU330" i="6"/>
  <c r="AP330" i="6"/>
  <c r="AK330" i="6"/>
  <c r="AF330" i="6"/>
  <c r="AA330" i="6"/>
  <c r="V330" i="6"/>
  <c r="Q330" i="6"/>
  <c r="L330" i="6"/>
  <c r="EL328" i="6"/>
  <c r="EL327" i="6" s="1"/>
  <c r="BT328" i="6"/>
  <c r="EG327" i="6"/>
  <c r="EB327" i="6"/>
  <c r="DW327" i="6"/>
  <c r="DR327" i="6"/>
  <c r="DM327" i="6"/>
  <c r="DH327" i="6"/>
  <c r="DC327" i="6"/>
  <c r="CX327" i="6"/>
  <c r="CS327" i="6"/>
  <c r="CN327" i="6"/>
  <c r="CI327" i="6"/>
  <c r="CD327" i="6"/>
  <c r="BY327" i="6"/>
  <c r="BO327" i="6"/>
  <c r="BJ327" i="6"/>
  <c r="BE327" i="6"/>
  <c r="AZ327" i="6"/>
  <c r="AU327" i="6"/>
  <c r="AP327" i="6"/>
  <c r="AK327" i="6"/>
  <c r="AF327" i="6"/>
  <c r="AA327" i="6"/>
  <c r="V327" i="6"/>
  <c r="Q327" i="6"/>
  <c r="L327" i="6"/>
  <c r="G327" i="6"/>
  <c r="EL325" i="6"/>
  <c r="BT325" i="6"/>
  <c r="EG324" i="6"/>
  <c r="EB324" i="6"/>
  <c r="DW324" i="6"/>
  <c r="DR324" i="6"/>
  <c r="DM324" i="6"/>
  <c r="DH324" i="6"/>
  <c r="DC324" i="6"/>
  <c r="CX324" i="6"/>
  <c r="CS324" i="6"/>
  <c r="CN324" i="6"/>
  <c r="CI324" i="6"/>
  <c r="CD324" i="6"/>
  <c r="BY324" i="6"/>
  <c r="BO324" i="6"/>
  <c r="BJ324" i="6"/>
  <c r="BE324" i="6"/>
  <c r="AZ324" i="6"/>
  <c r="AU324" i="6"/>
  <c r="AP324" i="6"/>
  <c r="AK324" i="6"/>
  <c r="AF324" i="6"/>
  <c r="AA324" i="6"/>
  <c r="V324" i="6"/>
  <c r="Q324" i="6"/>
  <c r="L324" i="6"/>
  <c r="EL322" i="6"/>
  <c r="BT322" i="6"/>
  <c r="EG321" i="6"/>
  <c r="EB321" i="6"/>
  <c r="DW321" i="6"/>
  <c r="DR321" i="6"/>
  <c r="DM321" i="6"/>
  <c r="DH321" i="6"/>
  <c r="DC321" i="6"/>
  <c r="CX321" i="6"/>
  <c r="CS321" i="6"/>
  <c r="CN321" i="6"/>
  <c r="CI321" i="6"/>
  <c r="CD321" i="6"/>
  <c r="BY321" i="6"/>
  <c r="BT321" i="6"/>
  <c r="BO321" i="6"/>
  <c r="BJ321" i="6"/>
  <c r="BE321" i="6"/>
  <c r="AZ321" i="6"/>
  <c r="AU321" i="6"/>
  <c r="AP321" i="6"/>
  <c r="AK321" i="6"/>
  <c r="AF321" i="6"/>
  <c r="AA321" i="6"/>
  <c r="V321" i="6"/>
  <c r="Q321" i="6"/>
  <c r="L321" i="6"/>
  <c r="EL319" i="6"/>
  <c r="BT319" i="6"/>
  <c r="EG318" i="6"/>
  <c r="EB318" i="6"/>
  <c r="DW318" i="6"/>
  <c r="DR318" i="6"/>
  <c r="DM318" i="6"/>
  <c r="DH318" i="6"/>
  <c r="DC318" i="6"/>
  <c r="CX318" i="6"/>
  <c r="CS318" i="6"/>
  <c r="CN318" i="6"/>
  <c r="CI318" i="6"/>
  <c r="CD318" i="6"/>
  <c r="BY318" i="6"/>
  <c r="BO318" i="6"/>
  <c r="BJ318" i="6"/>
  <c r="BE318" i="6"/>
  <c r="AZ318" i="6"/>
  <c r="AU318" i="6"/>
  <c r="AP318" i="6"/>
  <c r="AK318" i="6"/>
  <c r="AF318" i="6"/>
  <c r="AA318" i="6"/>
  <c r="V318" i="6"/>
  <c r="Q318" i="6"/>
  <c r="L318" i="6"/>
  <c r="EL316" i="6"/>
  <c r="BT316" i="6"/>
  <c r="BT315" i="6" s="1"/>
  <c r="EI315" i="6"/>
  <c r="EH315" i="6"/>
  <c r="EG315" i="6"/>
  <c r="EF315" i="6"/>
  <c r="EE315" i="6"/>
  <c r="ED315" i="6"/>
  <c r="EC315" i="6"/>
  <c r="EB315" i="6"/>
  <c r="EA315" i="6"/>
  <c r="DZ315" i="6"/>
  <c r="DY315" i="6"/>
  <c r="DX315" i="6"/>
  <c r="DW315" i="6"/>
  <c r="DV315" i="6"/>
  <c r="DU315" i="6"/>
  <c r="DT315" i="6"/>
  <c r="DS315" i="6"/>
  <c r="DR315" i="6"/>
  <c r="DQ315" i="6"/>
  <c r="DP315" i="6"/>
  <c r="DO315" i="6"/>
  <c r="DN315" i="6"/>
  <c r="DM315" i="6"/>
  <c r="DL315" i="6"/>
  <c r="DK315" i="6"/>
  <c r="DJ315" i="6"/>
  <c r="DI315" i="6"/>
  <c r="DH315" i="6"/>
  <c r="DG315" i="6"/>
  <c r="DF315" i="6"/>
  <c r="DE315" i="6"/>
  <c r="DD315" i="6"/>
  <c r="DC315" i="6"/>
  <c r="DB315" i="6"/>
  <c r="DA315" i="6"/>
  <c r="CZ315" i="6"/>
  <c r="CY315" i="6"/>
  <c r="CX315" i="6"/>
  <c r="CW315" i="6"/>
  <c r="CV315" i="6"/>
  <c r="CU315" i="6"/>
  <c r="CT315" i="6"/>
  <c r="CS315" i="6"/>
  <c r="CR315" i="6"/>
  <c r="CN315" i="6"/>
  <c r="CI315" i="6"/>
  <c r="CD315" i="6"/>
  <c r="BY315" i="6"/>
  <c r="BQ315" i="6"/>
  <c r="BP315" i="6"/>
  <c r="BO315" i="6"/>
  <c r="BN315" i="6"/>
  <c r="BM315" i="6"/>
  <c r="BL315" i="6"/>
  <c r="BK315" i="6"/>
  <c r="BJ315" i="6"/>
  <c r="BI315" i="6"/>
  <c r="BH315" i="6"/>
  <c r="BG315" i="6"/>
  <c r="BF315" i="6"/>
  <c r="BE315" i="6"/>
  <c r="BD315" i="6"/>
  <c r="BC315" i="6"/>
  <c r="BB315" i="6"/>
  <c r="BA315" i="6"/>
  <c r="AZ315" i="6"/>
  <c r="AY315" i="6"/>
  <c r="AX315" i="6"/>
  <c r="AW315" i="6"/>
  <c r="AV315" i="6"/>
  <c r="AU315" i="6"/>
  <c r="AT315" i="6"/>
  <c r="AS315" i="6"/>
  <c r="AR315" i="6"/>
  <c r="AQ315" i="6"/>
  <c r="AP315" i="6"/>
  <c r="AO315" i="6"/>
  <c r="AN315" i="6"/>
  <c r="AM315" i="6"/>
  <c r="AL315" i="6"/>
  <c r="AK315" i="6"/>
  <c r="AJ315" i="6"/>
  <c r="AI315" i="6"/>
  <c r="AH315" i="6"/>
  <c r="AG315" i="6"/>
  <c r="AF315" i="6"/>
  <c r="AE315" i="6"/>
  <c r="AD315" i="6"/>
  <c r="AC315" i="6"/>
  <c r="AB315" i="6"/>
  <c r="AA315" i="6"/>
  <c r="Z315" i="6"/>
  <c r="V315" i="6"/>
  <c r="Q315" i="6"/>
  <c r="L315" i="6"/>
  <c r="EL312" i="6"/>
  <c r="BT312" i="6"/>
  <c r="EG311" i="6"/>
  <c r="EB311" i="6"/>
  <c r="DW311" i="6"/>
  <c r="DR311" i="6"/>
  <c r="DM311" i="6"/>
  <c r="DH311" i="6"/>
  <c r="DC311" i="6"/>
  <c r="CX311" i="6"/>
  <c r="CS311" i="6"/>
  <c r="CN311" i="6"/>
  <c r="CI311" i="6"/>
  <c r="CD311" i="6"/>
  <c r="BY311" i="6"/>
  <c r="BT311" i="6"/>
  <c r="BO311" i="6"/>
  <c r="BJ311" i="6"/>
  <c r="BE311" i="6"/>
  <c r="AZ311" i="6"/>
  <c r="AU311" i="6"/>
  <c r="AP311" i="6"/>
  <c r="AK311" i="6"/>
  <c r="AF311" i="6"/>
  <c r="AA311" i="6"/>
  <c r="V311" i="6"/>
  <c r="Q311" i="6"/>
  <c r="L311" i="6"/>
  <c r="D311" i="6"/>
  <c r="EG308" i="6"/>
  <c r="EG307" i="6" s="1"/>
  <c r="EG278" i="6" s="1"/>
  <c r="EG277" i="6" s="1"/>
  <c r="EG9" i="6" s="1"/>
  <c r="EB308" i="6"/>
  <c r="EB307" i="6" s="1"/>
  <c r="EB10" i="6" s="1"/>
  <c r="DW308" i="6"/>
  <c r="DW307" i="6" s="1"/>
  <c r="DR308" i="6"/>
  <c r="DR307" i="6" s="1"/>
  <c r="DR10" i="6" s="1"/>
  <c r="DM308" i="6"/>
  <c r="DH308" i="6"/>
  <c r="DH307" i="6" s="1"/>
  <c r="DC308" i="6"/>
  <c r="DC307" i="6" s="1"/>
  <c r="DC278" i="6" s="1"/>
  <c r="DC277" i="6" s="1"/>
  <c r="CS308" i="6"/>
  <c r="CS307" i="6" s="1"/>
  <c r="CN308" i="6"/>
  <c r="CN307" i="6" s="1"/>
  <c r="CN278" i="6" s="1"/>
  <c r="CN277" i="6" s="1"/>
  <c r="CI308" i="6"/>
  <c r="CI307" i="6" s="1"/>
  <c r="CI278" i="6" s="1"/>
  <c r="CI277" i="6" s="1"/>
  <c r="CI9" i="6" s="1"/>
  <c r="CD308" i="6"/>
  <c r="BO308" i="6"/>
  <c r="BO307" i="6" s="1"/>
  <c r="BO278" i="6" s="1"/>
  <c r="BJ308" i="6"/>
  <c r="BE308" i="6"/>
  <c r="BE307" i="6" s="1"/>
  <c r="AZ308" i="6"/>
  <c r="AU308" i="6"/>
  <c r="AU307" i="6" s="1"/>
  <c r="AU10" i="6" s="1"/>
  <c r="AP308" i="6"/>
  <c r="AP307" i="6" s="1"/>
  <c r="AP10" i="6" s="1"/>
  <c r="AK308" i="6"/>
  <c r="AK307" i="6" s="1"/>
  <c r="AK278" i="6" s="1"/>
  <c r="AK277" i="6" s="1"/>
  <c r="AK9" i="6" s="1"/>
  <c r="AA308" i="6"/>
  <c r="V308" i="6"/>
  <c r="Q308" i="6"/>
  <c r="Q307" i="6" s="1"/>
  <c r="L308" i="6"/>
  <c r="L307" i="6" s="1"/>
  <c r="L10" i="6" s="1"/>
  <c r="DM307" i="6"/>
  <c r="DM278" i="6" s="1"/>
  <c r="DM277" i="6" s="1"/>
  <c r="DM9" i="6" s="1"/>
  <c r="CX307" i="6"/>
  <c r="BY307" i="6"/>
  <c r="AF307" i="6"/>
  <c r="AF278" i="6" s="1"/>
  <c r="AF277" i="6" s="1"/>
  <c r="AF9" i="6" s="1"/>
  <c r="G307" i="6"/>
  <c r="G278" i="6" s="1"/>
  <c r="EL305" i="6"/>
  <c r="BT305" i="6"/>
  <c r="EG304" i="6"/>
  <c r="EB304" i="6"/>
  <c r="DW304" i="6"/>
  <c r="DR304" i="6"/>
  <c r="DM304" i="6"/>
  <c r="DH304" i="6"/>
  <c r="DC304" i="6"/>
  <c r="CX304" i="6"/>
  <c r="CS304" i="6"/>
  <c r="CN304" i="6"/>
  <c r="CI304" i="6"/>
  <c r="CD304" i="6"/>
  <c r="BY304" i="6"/>
  <c r="BO304" i="6"/>
  <c r="BJ304" i="6"/>
  <c r="BE304" i="6"/>
  <c r="AZ304" i="6"/>
  <c r="AU304" i="6"/>
  <c r="AP304" i="6"/>
  <c r="AK304" i="6"/>
  <c r="AF304" i="6"/>
  <c r="AA304" i="6"/>
  <c r="V304" i="6"/>
  <c r="Q304" i="6"/>
  <c r="L304" i="6"/>
  <c r="EL302" i="6"/>
  <c r="EL301" i="6" s="1"/>
  <c r="BT302" i="6"/>
  <c r="EG301" i="6"/>
  <c r="EB301" i="6"/>
  <c r="DW301" i="6"/>
  <c r="DR301" i="6"/>
  <c r="DM301" i="6"/>
  <c r="DH301" i="6"/>
  <c r="DC301" i="6"/>
  <c r="CX301" i="6"/>
  <c r="CS301" i="6"/>
  <c r="CN301" i="6"/>
  <c r="CI301" i="6"/>
  <c r="CD301" i="6"/>
  <c r="BY301" i="6"/>
  <c r="BT301" i="6"/>
  <c r="BO301" i="6"/>
  <c r="BJ301" i="6"/>
  <c r="BE301" i="6"/>
  <c r="AZ301" i="6"/>
  <c r="AU301" i="6"/>
  <c r="AP301" i="6"/>
  <c r="AK301" i="6"/>
  <c r="AF301" i="6"/>
  <c r="AA301" i="6"/>
  <c r="V301" i="6"/>
  <c r="Q301" i="6"/>
  <c r="L301" i="6"/>
  <c r="EL299" i="6"/>
  <c r="BT299" i="6"/>
  <c r="EG298" i="6"/>
  <c r="EB298" i="6"/>
  <c r="DW298" i="6"/>
  <c r="DR298" i="6"/>
  <c r="DM298" i="6"/>
  <c r="DH298" i="6"/>
  <c r="DC298" i="6"/>
  <c r="CX298" i="6"/>
  <c r="CS298" i="6"/>
  <c r="CN298" i="6"/>
  <c r="CI298" i="6"/>
  <c r="CD298" i="6"/>
  <c r="BY298" i="6"/>
  <c r="BO298" i="6"/>
  <c r="BJ298" i="6"/>
  <c r="BE298" i="6"/>
  <c r="AZ298" i="6"/>
  <c r="AU298" i="6"/>
  <c r="AP298" i="6"/>
  <c r="AK298" i="6"/>
  <c r="AF298" i="6"/>
  <c r="AA298" i="6"/>
  <c r="V298" i="6"/>
  <c r="Q298" i="6"/>
  <c r="L298" i="6"/>
  <c r="G298" i="6"/>
  <c r="EL296" i="6"/>
  <c r="BT296" i="6"/>
  <c r="EG295" i="6"/>
  <c r="EB295" i="6"/>
  <c r="DW295" i="6"/>
  <c r="DR295" i="6"/>
  <c r="DM295" i="6"/>
  <c r="DH295" i="6"/>
  <c r="DC295" i="6"/>
  <c r="CX295" i="6"/>
  <c r="CS295" i="6"/>
  <c r="CN295" i="6"/>
  <c r="CI295" i="6"/>
  <c r="CD295" i="6"/>
  <c r="BY295" i="6"/>
  <c r="BO295" i="6"/>
  <c r="BJ295" i="6"/>
  <c r="BE295" i="6"/>
  <c r="AZ295" i="6"/>
  <c r="AU295" i="6"/>
  <c r="AP295" i="6"/>
  <c r="AK295" i="6"/>
  <c r="AF295" i="6"/>
  <c r="AA295" i="6"/>
  <c r="V295" i="6"/>
  <c r="Q295" i="6"/>
  <c r="L295" i="6"/>
  <c r="G295" i="6"/>
  <c r="EL293" i="6"/>
  <c r="BT293" i="6"/>
  <c r="EG292" i="6"/>
  <c r="EB292" i="6"/>
  <c r="DW292" i="6"/>
  <c r="DM292" i="6"/>
  <c r="DC292" i="6"/>
  <c r="CS292" i="6"/>
  <c r="CI292" i="6"/>
  <c r="CD292" i="6"/>
  <c r="BY292" i="6"/>
  <c r="BO292" i="6"/>
  <c r="BJ292" i="6"/>
  <c r="BE292" i="6"/>
  <c r="AU292" i="6"/>
  <c r="AK292" i="6"/>
  <c r="AA292" i="6"/>
  <c r="Q292" i="6"/>
  <c r="L292" i="6"/>
  <c r="G292" i="6"/>
  <c r="EL290" i="6"/>
  <c r="BT290" i="6"/>
  <c r="BT289" i="6" s="1"/>
  <c r="EG289" i="6"/>
  <c r="EB289" i="6"/>
  <c r="DW289" i="6"/>
  <c r="DR289" i="6"/>
  <c r="DM289" i="6"/>
  <c r="DH289" i="6"/>
  <c r="DC289" i="6"/>
  <c r="CX289" i="6"/>
  <c r="CS289" i="6"/>
  <c r="CN289" i="6"/>
  <c r="CI289" i="6"/>
  <c r="CD289" i="6"/>
  <c r="BY289" i="6"/>
  <c r="BO289" i="6"/>
  <c r="BJ289" i="6"/>
  <c r="BE289" i="6"/>
  <c r="AZ289" i="6"/>
  <c r="AU289" i="6"/>
  <c r="AP289" i="6"/>
  <c r="AK289" i="6"/>
  <c r="AF289" i="6"/>
  <c r="AA289" i="6"/>
  <c r="V289" i="6"/>
  <c r="Q289" i="6"/>
  <c r="L289" i="6"/>
  <c r="G289" i="6"/>
  <c r="EL287" i="6"/>
  <c r="BT287" i="6"/>
  <c r="EG286" i="6"/>
  <c r="EB286" i="6"/>
  <c r="DW286" i="6"/>
  <c r="DR286" i="6"/>
  <c r="DM286" i="6"/>
  <c r="DH286" i="6"/>
  <c r="DC286" i="6"/>
  <c r="CX286" i="6"/>
  <c r="CS286" i="6"/>
  <c r="CN286" i="6"/>
  <c r="CI286" i="6"/>
  <c r="CD286" i="6"/>
  <c r="BY286" i="6"/>
  <c r="BO286" i="6"/>
  <c r="BJ286" i="6"/>
  <c r="BE286" i="6"/>
  <c r="AZ286" i="6"/>
  <c r="AU286" i="6"/>
  <c r="AP286" i="6"/>
  <c r="AK286" i="6"/>
  <c r="AF286" i="6"/>
  <c r="AA286" i="6"/>
  <c r="V286" i="6"/>
  <c r="Q286" i="6"/>
  <c r="L286" i="6"/>
  <c r="G286" i="6"/>
  <c r="EL284" i="6"/>
  <c r="BT284" i="6"/>
  <c r="BT283" i="6" s="1"/>
  <c r="EG283" i="6"/>
  <c r="EB283" i="6"/>
  <c r="DW283" i="6"/>
  <c r="DR283" i="6"/>
  <c r="DM283" i="6"/>
  <c r="DH283" i="6"/>
  <c r="DC283" i="6"/>
  <c r="CX283" i="6"/>
  <c r="CS283" i="6"/>
  <c r="CN283" i="6"/>
  <c r="CI283" i="6"/>
  <c r="CD283" i="6"/>
  <c r="BY283" i="6"/>
  <c r="BO283" i="6"/>
  <c r="BJ283" i="6"/>
  <c r="BE283" i="6"/>
  <c r="AZ283" i="6"/>
  <c r="AU283" i="6"/>
  <c r="AP283" i="6"/>
  <c r="AK283" i="6"/>
  <c r="AF283" i="6"/>
  <c r="AA283" i="6"/>
  <c r="V283" i="6"/>
  <c r="Q283" i="6"/>
  <c r="L283" i="6"/>
  <c r="G283" i="6"/>
  <c r="EL281" i="6"/>
  <c r="BT281" i="6"/>
  <c r="EG280" i="6"/>
  <c r="EB280" i="6"/>
  <c r="DW280" i="6"/>
  <c r="DR280" i="6"/>
  <c r="DM280" i="6"/>
  <c r="DH280" i="6"/>
  <c r="DC280" i="6"/>
  <c r="CX280" i="6"/>
  <c r="CS280" i="6"/>
  <c r="CN280" i="6"/>
  <c r="CI280" i="6"/>
  <c r="CD280" i="6"/>
  <c r="BO280" i="6"/>
  <c r="BJ280" i="6"/>
  <c r="BE280" i="6"/>
  <c r="AZ280" i="6"/>
  <c r="AU280" i="6"/>
  <c r="AP280" i="6"/>
  <c r="AK280" i="6"/>
  <c r="AF280" i="6"/>
  <c r="AA280" i="6"/>
  <c r="V280" i="6"/>
  <c r="Q280" i="6"/>
  <c r="L280" i="6"/>
  <c r="CX278" i="6"/>
  <c r="CX277" i="6" s="1"/>
  <c r="EB277" i="6"/>
  <c r="DW277" i="6"/>
  <c r="DW9" i="6" s="1"/>
  <c r="DR277" i="6"/>
  <c r="BJ277" i="6"/>
  <c r="EL275" i="6"/>
  <c r="BT275" i="6"/>
  <c r="EL274" i="6"/>
  <c r="BT274" i="6"/>
  <c r="CI273" i="6"/>
  <c r="BT273" i="6"/>
  <c r="EG272" i="6"/>
  <c r="EB272" i="6"/>
  <c r="DW272" i="6"/>
  <c r="DR272" i="6"/>
  <c r="DM272" i="6"/>
  <c r="DH272" i="6"/>
  <c r="DC272" i="6"/>
  <c r="CX272" i="6"/>
  <c r="CS272" i="6"/>
  <c r="CN272" i="6"/>
  <c r="CD272" i="6"/>
  <c r="BY272" i="6"/>
  <c r="BO272" i="6"/>
  <c r="BJ272" i="6"/>
  <c r="BE272" i="6"/>
  <c r="AZ272" i="6"/>
  <c r="AU272" i="6"/>
  <c r="AP272" i="6"/>
  <c r="AK272" i="6"/>
  <c r="AF272" i="6"/>
  <c r="AA272" i="6"/>
  <c r="V272" i="6"/>
  <c r="Q272" i="6"/>
  <c r="L272" i="6"/>
  <c r="G272" i="6"/>
  <c r="EL270" i="6"/>
  <c r="BT270" i="6"/>
  <c r="EL269" i="6"/>
  <c r="BT269" i="6"/>
  <c r="CI268" i="6"/>
  <c r="BT268" i="6"/>
  <c r="EG267" i="6"/>
  <c r="EB267" i="6"/>
  <c r="DW267" i="6"/>
  <c r="DR267" i="6"/>
  <c r="DM267" i="6"/>
  <c r="DH267" i="6"/>
  <c r="DC267" i="6"/>
  <c r="CX267" i="6"/>
  <c r="CS267" i="6"/>
  <c r="CN267" i="6"/>
  <c r="CI267" i="6"/>
  <c r="CD267" i="6"/>
  <c r="BY267" i="6"/>
  <c r="BO267" i="6"/>
  <c r="BJ267" i="6"/>
  <c r="BE267" i="6"/>
  <c r="AZ267" i="6"/>
  <c r="AU267" i="6"/>
  <c r="AP267" i="6"/>
  <c r="AK267" i="6"/>
  <c r="AF267" i="6"/>
  <c r="AA267" i="6"/>
  <c r="V267" i="6"/>
  <c r="Q267" i="6"/>
  <c r="L267" i="6"/>
  <c r="G267" i="6"/>
  <c r="EL265" i="6"/>
  <c r="BT265" i="6"/>
  <c r="EL264" i="6"/>
  <c r="BT264" i="6"/>
  <c r="CI263" i="6"/>
  <c r="EL263" i="6" s="1"/>
  <c r="BT263" i="6"/>
  <c r="EG262" i="6"/>
  <c r="EB262" i="6"/>
  <c r="DW262" i="6"/>
  <c r="DR262" i="6"/>
  <c r="DM262" i="6"/>
  <c r="DH262" i="6"/>
  <c r="DC262" i="6"/>
  <c r="CX262" i="6"/>
  <c r="CS262" i="6"/>
  <c r="CN262" i="6"/>
  <c r="CD262" i="6"/>
  <c r="BY262" i="6"/>
  <c r="BO262" i="6"/>
  <c r="BJ262" i="6"/>
  <c r="BE262" i="6"/>
  <c r="AZ262" i="6"/>
  <c r="AU262" i="6"/>
  <c r="AP262" i="6"/>
  <c r="AK262" i="6"/>
  <c r="AF262" i="6"/>
  <c r="AA262" i="6"/>
  <c r="V262" i="6"/>
  <c r="Q262" i="6"/>
  <c r="L262" i="6"/>
  <c r="G262" i="6"/>
  <c r="EL260" i="6"/>
  <c r="BT260" i="6"/>
  <c r="EL259" i="6"/>
  <c r="BT259" i="6"/>
  <c r="EL258" i="6"/>
  <c r="BT258" i="6"/>
  <c r="EL257" i="6"/>
  <c r="CI257" i="6"/>
  <c r="BT257" i="6"/>
  <c r="EG256" i="6"/>
  <c r="EB256" i="6"/>
  <c r="DW256" i="6"/>
  <c r="DR256" i="6"/>
  <c r="DM256" i="6"/>
  <c r="DH256" i="6"/>
  <c r="DC256" i="6"/>
  <c r="CX256" i="6"/>
  <c r="CS256" i="6"/>
  <c r="CN256" i="6"/>
  <c r="CD256" i="6"/>
  <c r="BO256" i="6"/>
  <c r="BJ256" i="6"/>
  <c r="BE256" i="6"/>
  <c r="AZ256" i="6"/>
  <c r="AU256" i="6"/>
  <c r="AP256" i="6"/>
  <c r="AK256" i="6"/>
  <c r="AF256" i="6"/>
  <c r="AA256" i="6"/>
  <c r="V256" i="6"/>
  <c r="Q256" i="6"/>
  <c r="L256" i="6"/>
  <c r="EL254" i="6"/>
  <c r="EL211" i="6" s="1"/>
  <c r="BT254" i="6"/>
  <c r="EL253" i="6"/>
  <c r="BT253" i="6"/>
  <c r="EL252" i="6"/>
  <c r="BT252" i="6"/>
  <c r="CI251" i="6"/>
  <c r="BT251" i="6"/>
  <c r="EG250" i="6"/>
  <c r="EB250" i="6"/>
  <c r="DW250" i="6"/>
  <c r="DR250" i="6"/>
  <c r="DM250" i="6"/>
  <c r="DH250" i="6"/>
  <c r="DC250" i="6"/>
  <c r="CX250" i="6"/>
  <c r="CS250" i="6"/>
  <c r="CN250" i="6"/>
  <c r="CI250" i="6"/>
  <c r="CD250" i="6"/>
  <c r="BO250" i="6"/>
  <c r="BJ250" i="6"/>
  <c r="BE250" i="6"/>
  <c r="AZ250" i="6"/>
  <c r="AU250" i="6"/>
  <c r="AP250" i="6"/>
  <c r="AK250" i="6"/>
  <c r="AF250" i="6"/>
  <c r="AA250" i="6"/>
  <c r="V250" i="6"/>
  <c r="Q250" i="6"/>
  <c r="L250" i="6"/>
  <c r="EL248" i="6"/>
  <c r="BT248" i="6"/>
  <c r="EL247" i="6"/>
  <c r="BT247" i="6"/>
  <c r="EL246" i="6"/>
  <c r="BT246" i="6"/>
  <c r="CI245" i="6"/>
  <c r="BT245" i="6"/>
  <c r="DH244" i="6"/>
  <c r="CX244" i="6"/>
  <c r="CN244" i="6"/>
  <c r="CI244" i="6"/>
  <c r="AP244" i="6"/>
  <c r="AF244" i="6"/>
  <c r="V244" i="6"/>
  <c r="Q244" i="6"/>
  <c r="EL242" i="6"/>
  <c r="BT242" i="6"/>
  <c r="EL241" i="6"/>
  <c r="BT241" i="6"/>
  <c r="EL240" i="6"/>
  <c r="BT240" i="6"/>
  <c r="EG239" i="6"/>
  <c r="EB239" i="6"/>
  <c r="DW239" i="6"/>
  <c r="DR239" i="6"/>
  <c r="DM239" i="6"/>
  <c r="DH239" i="6"/>
  <c r="DC239" i="6"/>
  <c r="CX239" i="6"/>
  <c r="CS239" i="6"/>
  <c r="CN239" i="6"/>
  <c r="CI239" i="6"/>
  <c r="CD239" i="6"/>
  <c r="BY239" i="6"/>
  <c r="BO239" i="6"/>
  <c r="BJ239" i="6"/>
  <c r="BE239" i="6"/>
  <c r="AZ239" i="6"/>
  <c r="AU239" i="6"/>
  <c r="AP239" i="6"/>
  <c r="AK239" i="6"/>
  <c r="AF239" i="6"/>
  <c r="AA239" i="6"/>
  <c r="V239" i="6"/>
  <c r="Q239" i="6"/>
  <c r="L239" i="6"/>
  <c r="G239" i="6"/>
  <c r="EL237" i="6"/>
  <c r="BT237" i="6"/>
  <c r="EL236" i="6"/>
  <c r="BT236" i="6"/>
  <c r="CI235" i="6"/>
  <c r="BT235" i="6"/>
  <c r="EG234" i="6"/>
  <c r="EB234" i="6"/>
  <c r="DW234" i="6"/>
  <c r="DR234" i="6"/>
  <c r="DM234" i="6"/>
  <c r="DH234" i="6"/>
  <c r="DC234" i="6"/>
  <c r="CX234" i="6"/>
  <c r="CS234" i="6"/>
  <c r="CN234" i="6"/>
  <c r="CD234" i="6"/>
  <c r="BY234" i="6"/>
  <c r="BO234" i="6"/>
  <c r="BJ234" i="6"/>
  <c r="BE234" i="6"/>
  <c r="AZ234" i="6"/>
  <c r="AU234" i="6"/>
  <c r="AP234" i="6"/>
  <c r="AK234" i="6"/>
  <c r="AF234" i="6"/>
  <c r="AA234" i="6"/>
  <c r="V234" i="6"/>
  <c r="Q234" i="6"/>
  <c r="L234" i="6"/>
  <c r="G234" i="6"/>
  <c r="EL232" i="6"/>
  <c r="BT232" i="6"/>
  <c r="EL231" i="6"/>
  <c r="BT231" i="6"/>
  <c r="CI230" i="6"/>
  <c r="BT230" i="6"/>
  <c r="EG229" i="6"/>
  <c r="EB229" i="6"/>
  <c r="DW229" i="6"/>
  <c r="DR229" i="6"/>
  <c r="DM229" i="6"/>
  <c r="DH229" i="6"/>
  <c r="DC229" i="6"/>
  <c r="CX229" i="6"/>
  <c r="CS229" i="6"/>
  <c r="CN229" i="6"/>
  <c r="CI229" i="6"/>
  <c r="CD229" i="6"/>
  <c r="BY229" i="6"/>
  <c r="BO229" i="6"/>
  <c r="BJ229" i="6"/>
  <c r="BE229" i="6"/>
  <c r="AZ229" i="6"/>
  <c r="AU229" i="6"/>
  <c r="AP229" i="6"/>
  <c r="AK229" i="6"/>
  <c r="AF229" i="6"/>
  <c r="AA229" i="6"/>
  <c r="V229" i="6"/>
  <c r="Q229" i="6"/>
  <c r="L229" i="6"/>
  <c r="G229" i="6"/>
  <c r="EL227" i="6"/>
  <c r="BT227" i="6"/>
  <c r="EL226" i="6"/>
  <c r="BT226" i="6"/>
  <c r="EL225" i="6"/>
  <c r="BT225" i="6"/>
  <c r="CI224" i="6"/>
  <c r="BT224" i="6"/>
  <c r="EB223" i="6"/>
  <c r="DR223" i="6"/>
  <c r="DM223" i="6"/>
  <c r="DC223" i="6"/>
  <c r="CX223" i="6"/>
  <c r="BJ223" i="6"/>
  <c r="AZ223" i="6"/>
  <c r="AU223" i="6"/>
  <c r="AK223" i="6"/>
  <c r="AF223" i="6"/>
  <c r="Q223" i="6"/>
  <c r="D223" i="6"/>
  <c r="EL221" i="6"/>
  <c r="BT221" i="6"/>
  <c r="EL220" i="6"/>
  <c r="BT220" i="6"/>
  <c r="CI219" i="6"/>
  <c r="EL219" i="6" s="1"/>
  <c r="BT219" i="6"/>
  <c r="EG218" i="6"/>
  <c r="EB218" i="6"/>
  <c r="DW218" i="6"/>
  <c r="DR218" i="6"/>
  <c r="DM218" i="6"/>
  <c r="DH218" i="6"/>
  <c r="DC218" i="6"/>
  <c r="CX218" i="6"/>
  <c r="CS218" i="6"/>
  <c r="CN218" i="6"/>
  <c r="CD218" i="6"/>
  <c r="BY218" i="6"/>
  <c r="BO218" i="6"/>
  <c r="BJ218" i="6"/>
  <c r="BE218" i="6"/>
  <c r="AZ218" i="6"/>
  <c r="AU218" i="6"/>
  <c r="AP218" i="6"/>
  <c r="AK218" i="6"/>
  <c r="AF218" i="6"/>
  <c r="AA218" i="6"/>
  <c r="V218" i="6"/>
  <c r="Q218" i="6"/>
  <c r="L218" i="6"/>
  <c r="G218" i="6"/>
  <c r="EL216" i="6"/>
  <c r="BT216" i="6"/>
  <c r="EL215" i="6"/>
  <c r="BT215" i="6"/>
  <c r="CI214" i="6"/>
  <c r="EL214" i="6" s="1"/>
  <c r="BT214" i="6"/>
  <c r="EG213" i="6"/>
  <c r="EB213" i="6"/>
  <c r="DW213" i="6"/>
  <c r="DR213" i="6"/>
  <c r="DM213" i="6"/>
  <c r="DH213" i="6"/>
  <c r="DC213" i="6"/>
  <c r="CX213" i="6"/>
  <c r="CS213" i="6"/>
  <c r="CN213" i="6"/>
  <c r="CI213" i="6"/>
  <c r="CD213" i="6"/>
  <c r="BY213" i="6"/>
  <c r="BO213" i="6"/>
  <c r="BJ213" i="6"/>
  <c r="BE213" i="6"/>
  <c r="AZ213" i="6"/>
  <c r="AU213" i="6"/>
  <c r="AP213" i="6"/>
  <c r="AK213" i="6"/>
  <c r="AF213" i="6"/>
  <c r="AA213" i="6"/>
  <c r="V213" i="6"/>
  <c r="Q213" i="6"/>
  <c r="L213" i="6"/>
  <c r="G213" i="6"/>
  <c r="EG211" i="6"/>
  <c r="EB211" i="6"/>
  <c r="DW211" i="6"/>
  <c r="DR211" i="6"/>
  <c r="DM211" i="6"/>
  <c r="DH211" i="6"/>
  <c r="DC211" i="6"/>
  <c r="CX211" i="6"/>
  <c r="CX207" i="6" s="1"/>
  <c r="CX8" i="6" s="1"/>
  <c r="CS211" i="6"/>
  <c r="CN211" i="6"/>
  <c r="CI211" i="6"/>
  <c r="CD211" i="6"/>
  <c r="BO211" i="6"/>
  <c r="BJ211" i="6"/>
  <c r="BE211" i="6"/>
  <c r="AZ211" i="6"/>
  <c r="AU211" i="6"/>
  <c r="AP211" i="6"/>
  <c r="AK211" i="6"/>
  <c r="AF211" i="6"/>
  <c r="AA211" i="6"/>
  <c r="V211" i="6"/>
  <c r="Q211" i="6"/>
  <c r="L211" i="6"/>
  <c r="G211" i="6"/>
  <c r="EG210" i="6"/>
  <c r="EB210" i="6"/>
  <c r="DW210" i="6"/>
  <c r="DR210" i="6"/>
  <c r="DM210" i="6"/>
  <c r="DH210" i="6"/>
  <c r="DC210" i="6"/>
  <c r="CX210" i="6"/>
  <c r="CS210" i="6"/>
  <c r="CN210" i="6"/>
  <c r="CI210" i="6"/>
  <c r="CD210" i="6"/>
  <c r="BY210" i="6"/>
  <c r="BO210" i="6"/>
  <c r="BJ210" i="6"/>
  <c r="BE210" i="6"/>
  <c r="AZ210" i="6"/>
  <c r="AU210" i="6"/>
  <c r="AP210" i="6"/>
  <c r="AK210" i="6"/>
  <c r="AF210" i="6"/>
  <c r="AA210" i="6"/>
  <c r="V210" i="6"/>
  <c r="Q210" i="6"/>
  <c r="L210" i="6"/>
  <c r="G210" i="6"/>
  <c r="EG209" i="6"/>
  <c r="EB209" i="6"/>
  <c r="DW209" i="6"/>
  <c r="DR209" i="6"/>
  <c r="DM209" i="6"/>
  <c r="DH209" i="6"/>
  <c r="DC209" i="6"/>
  <c r="CX209" i="6"/>
  <c r="CS209" i="6"/>
  <c r="CN209" i="6"/>
  <c r="CI209" i="6"/>
  <c r="CD209" i="6"/>
  <c r="BY209" i="6"/>
  <c r="BO209" i="6"/>
  <c r="BJ209" i="6"/>
  <c r="BE209" i="6"/>
  <c r="AZ209" i="6"/>
  <c r="AU209" i="6"/>
  <c r="AP209" i="6"/>
  <c r="AK209" i="6"/>
  <c r="AF209" i="6"/>
  <c r="AA209" i="6"/>
  <c r="V209" i="6"/>
  <c r="Q209" i="6"/>
  <c r="L209" i="6"/>
  <c r="G209" i="6"/>
  <c r="EG208" i="6"/>
  <c r="EB208" i="6"/>
  <c r="DW208" i="6"/>
  <c r="DR208" i="6"/>
  <c r="DM208" i="6"/>
  <c r="DH208" i="6"/>
  <c r="DC208" i="6"/>
  <c r="CX208" i="6"/>
  <c r="CS208" i="6"/>
  <c r="CN208" i="6"/>
  <c r="CD208" i="6"/>
  <c r="BY208" i="6"/>
  <c r="BO208" i="6"/>
  <c r="BJ208" i="6"/>
  <c r="BE208" i="6"/>
  <c r="AZ208" i="6"/>
  <c r="AU208" i="6"/>
  <c r="AP208" i="6"/>
  <c r="AK208" i="6"/>
  <c r="AF208" i="6"/>
  <c r="AA208" i="6"/>
  <c r="V208" i="6"/>
  <c r="Q208" i="6"/>
  <c r="L208" i="6"/>
  <c r="G208" i="6"/>
  <c r="EL205" i="6"/>
  <c r="BT205" i="6"/>
  <c r="EL204" i="6"/>
  <c r="BT204" i="6"/>
  <c r="EL203" i="6"/>
  <c r="BT203" i="6"/>
  <c r="EL202" i="6"/>
  <c r="BT202" i="6"/>
  <c r="EL201" i="6"/>
  <c r="BT201" i="6"/>
  <c r="EL200" i="6"/>
  <c r="BT200" i="6"/>
  <c r="EL199" i="6"/>
  <c r="BT199" i="6"/>
  <c r="EG198" i="6"/>
  <c r="EB198" i="6"/>
  <c r="DW198" i="6"/>
  <c r="DR198" i="6"/>
  <c r="DM198" i="6"/>
  <c r="DH198" i="6"/>
  <c r="DC198" i="6"/>
  <c r="CX198" i="6"/>
  <c r="CS198" i="6"/>
  <c r="CN198" i="6"/>
  <c r="CI198" i="6"/>
  <c r="CD198" i="6"/>
  <c r="BY198" i="6"/>
  <c r="BO198" i="6"/>
  <c r="BO13" i="6" s="1"/>
  <c r="BJ198" i="6"/>
  <c r="BJ13" i="6" s="1"/>
  <c r="BE198" i="6"/>
  <c r="AZ198" i="6"/>
  <c r="AU198" i="6"/>
  <c r="AP198" i="6"/>
  <c r="AK198" i="6"/>
  <c r="AF198" i="6"/>
  <c r="AA198" i="6"/>
  <c r="V198" i="6"/>
  <c r="Q198" i="6"/>
  <c r="L198" i="6"/>
  <c r="G198" i="6"/>
  <c r="EL196" i="6"/>
  <c r="BT196" i="6"/>
  <c r="EL195" i="6"/>
  <c r="BT195" i="6"/>
  <c r="BY195" i="6" s="1"/>
  <c r="EL194" i="6"/>
  <c r="BT194" i="6"/>
  <c r="EL193" i="6"/>
  <c r="BT193" i="6"/>
  <c r="EL192" i="6"/>
  <c r="BT192" i="6"/>
  <c r="EL191" i="6"/>
  <c r="BT191" i="6"/>
  <c r="EL190" i="6"/>
  <c r="BT190" i="6"/>
  <c r="EL189" i="6"/>
  <c r="BT189" i="6"/>
  <c r="EL188" i="6"/>
  <c r="BT188" i="6"/>
  <c r="EL187" i="6"/>
  <c r="BT187" i="6"/>
  <c r="EL186" i="6"/>
  <c r="BT186" i="6"/>
  <c r="BT184" i="6" s="1"/>
  <c r="EL185" i="6"/>
  <c r="BT185" i="6"/>
  <c r="BY185" i="6" s="1"/>
  <c r="EG184" i="6"/>
  <c r="EB184" i="6"/>
  <c r="DW184" i="6"/>
  <c r="DR184" i="6"/>
  <c r="DM184" i="6"/>
  <c r="DH184" i="6"/>
  <c r="DC184" i="6"/>
  <c r="CX184" i="6"/>
  <c r="CS184" i="6"/>
  <c r="CN184" i="6"/>
  <c r="CI184" i="6"/>
  <c r="CD184" i="6"/>
  <c r="BO184" i="6"/>
  <c r="BJ184" i="6"/>
  <c r="BE184" i="6"/>
  <c r="AZ184" i="6"/>
  <c r="AU184" i="6"/>
  <c r="AP184" i="6"/>
  <c r="AK184" i="6"/>
  <c r="AF184" i="6"/>
  <c r="AA184" i="6"/>
  <c r="V184" i="6"/>
  <c r="Q184" i="6"/>
  <c r="L184" i="6"/>
  <c r="EL175" i="6"/>
  <c r="BT175" i="6"/>
  <c r="EL174" i="6"/>
  <c r="BT174" i="6"/>
  <c r="EG173" i="6"/>
  <c r="EB173" i="6"/>
  <c r="EB172" i="6" s="1"/>
  <c r="DM173" i="6"/>
  <c r="DM172" i="6" s="1"/>
  <c r="DH173" i="6"/>
  <c r="DC173" i="6"/>
  <c r="DC172" i="6" s="1"/>
  <c r="CX173" i="6"/>
  <c r="CX172" i="6" s="1"/>
  <c r="CN173" i="6"/>
  <c r="CI173" i="6"/>
  <c r="CD173" i="6"/>
  <c r="CD172" i="6" s="1"/>
  <c r="BE173" i="6"/>
  <c r="BE172" i="6" s="1"/>
  <c r="AZ173" i="6"/>
  <c r="AZ172" i="6" s="1"/>
  <c r="AU173" i="6"/>
  <c r="AU172" i="6" s="1"/>
  <c r="AP173" i="6"/>
  <c r="AK173" i="6"/>
  <c r="AF173" i="6"/>
  <c r="AF172" i="6" s="1"/>
  <c r="AA173" i="6"/>
  <c r="V173" i="6"/>
  <c r="V172" i="6" s="1"/>
  <c r="DW172" i="6"/>
  <c r="DR172" i="6"/>
  <c r="DH172" i="6"/>
  <c r="CS172" i="6"/>
  <c r="CN172" i="6"/>
  <c r="BY172" i="6"/>
  <c r="BO172" i="6"/>
  <c r="BJ172" i="6"/>
  <c r="AP172" i="6"/>
  <c r="AA172" i="6"/>
  <c r="Q172" i="6"/>
  <c r="L172" i="6"/>
  <c r="G172" i="6"/>
  <c r="EL170" i="6"/>
  <c r="BT170" i="6"/>
  <c r="EL169" i="6"/>
  <c r="BT169" i="6"/>
  <c r="EB168" i="6"/>
  <c r="DW168" i="6"/>
  <c r="DW167" i="6" s="1"/>
  <c r="DR168" i="6"/>
  <c r="DM168" i="6"/>
  <c r="DM167" i="6" s="1"/>
  <c r="CX168" i="6"/>
  <c r="CX167" i="6" s="1"/>
  <c r="CI168" i="6"/>
  <c r="CD168" i="6"/>
  <c r="AU168" i="6"/>
  <c r="AU167" i="6" s="1"/>
  <c r="AP168" i="6"/>
  <c r="AK168" i="6"/>
  <c r="AF168" i="6"/>
  <c r="EG167" i="6"/>
  <c r="DH167" i="6"/>
  <c r="DC167" i="6"/>
  <c r="CS167" i="6"/>
  <c r="CN167" i="6"/>
  <c r="CD167" i="6"/>
  <c r="BY167" i="6"/>
  <c r="BO167" i="6"/>
  <c r="BJ167" i="6"/>
  <c r="BE167" i="6"/>
  <c r="AZ167" i="6"/>
  <c r="AK167" i="6"/>
  <c r="AA167" i="6"/>
  <c r="V167" i="6"/>
  <c r="Q167" i="6"/>
  <c r="L167" i="6"/>
  <c r="G167" i="6"/>
  <c r="EL165" i="6"/>
  <c r="BT165" i="6"/>
  <c r="EL164" i="6"/>
  <c r="BT164" i="6"/>
  <c r="EG163" i="6"/>
  <c r="EB163" i="6"/>
  <c r="DW163" i="6"/>
  <c r="DW162" i="6" s="1"/>
  <c r="DR163" i="6"/>
  <c r="DM163" i="6"/>
  <c r="DM162" i="6" s="1"/>
  <c r="DH163" i="6"/>
  <c r="DH162" i="6" s="1"/>
  <c r="DC163" i="6"/>
  <c r="DC162" i="6" s="1"/>
  <c r="CX163" i="6"/>
  <c r="CS163" i="6"/>
  <c r="CS162" i="6" s="1"/>
  <c r="CI163" i="6"/>
  <c r="CD163" i="6"/>
  <c r="CD162" i="6" s="1"/>
  <c r="BE163" i="6"/>
  <c r="AZ163" i="6"/>
  <c r="AZ162" i="6" s="1"/>
  <c r="AP163" i="6"/>
  <c r="AP162" i="6" s="1"/>
  <c r="AK163" i="6"/>
  <c r="AF163" i="6"/>
  <c r="AA163" i="6"/>
  <c r="AA162" i="6" s="1"/>
  <c r="V163" i="6"/>
  <c r="L163" i="6"/>
  <c r="EB162" i="6"/>
  <c r="DR162" i="6"/>
  <c r="CX162" i="6"/>
  <c r="CN162" i="6"/>
  <c r="BY162" i="6"/>
  <c r="BO162" i="6"/>
  <c r="BJ162" i="6"/>
  <c r="AU162" i="6"/>
  <c r="Q162" i="6"/>
  <c r="L162" i="6"/>
  <c r="G162" i="6"/>
  <c r="EL160" i="6"/>
  <c r="BT160" i="6"/>
  <c r="EL159" i="6"/>
  <c r="BT159" i="6"/>
  <c r="EG158" i="6"/>
  <c r="EG157" i="6" s="1"/>
  <c r="EB158" i="6"/>
  <c r="DW158" i="6"/>
  <c r="DM158" i="6"/>
  <c r="DM157" i="6" s="1"/>
  <c r="DH158" i="6"/>
  <c r="DH157" i="6" s="1"/>
  <c r="DC158" i="6"/>
  <c r="DC157" i="6" s="1"/>
  <c r="CS158" i="6"/>
  <c r="CS157" i="6" s="1"/>
  <c r="CN158" i="6"/>
  <c r="CN157" i="6" s="1"/>
  <c r="CI158" i="6"/>
  <c r="CI157" i="6" s="1"/>
  <c r="CD158" i="6"/>
  <c r="BE158" i="6"/>
  <c r="AZ158" i="6"/>
  <c r="AZ157" i="6" s="1"/>
  <c r="AU158" i="6"/>
  <c r="AP158" i="6"/>
  <c r="AK158" i="6"/>
  <c r="AF158" i="6"/>
  <c r="AA158" i="6"/>
  <c r="V158" i="6"/>
  <c r="Q158" i="6"/>
  <c r="L158" i="6"/>
  <c r="DW157" i="6"/>
  <c r="DR157" i="6"/>
  <c r="CX157" i="6"/>
  <c r="CD157" i="6"/>
  <c r="BY157" i="6"/>
  <c r="BO157" i="6"/>
  <c r="BJ157" i="6"/>
  <c r="AP157" i="6"/>
  <c r="AF157" i="6"/>
  <c r="V157" i="6"/>
  <c r="L157" i="6"/>
  <c r="G157" i="6"/>
  <c r="EL155" i="6"/>
  <c r="BT155" i="6"/>
  <c r="EL154" i="6"/>
  <c r="BT154" i="6"/>
  <c r="EG153" i="6"/>
  <c r="EB153" i="6"/>
  <c r="DW153" i="6"/>
  <c r="DW152" i="6" s="1"/>
  <c r="DR153" i="6"/>
  <c r="DR152" i="6" s="1"/>
  <c r="DM153" i="6"/>
  <c r="DH153" i="6"/>
  <c r="DC153" i="6"/>
  <c r="DC152" i="6" s="1"/>
  <c r="CX153" i="6"/>
  <c r="CX152" i="6" s="1"/>
  <c r="CS153" i="6"/>
  <c r="CN153" i="6"/>
  <c r="CI153" i="6"/>
  <c r="CI152" i="6" s="1"/>
  <c r="CD153" i="6"/>
  <c r="CD152" i="6" s="1"/>
  <c r="BE153" i="6"/>
  <c r="AZ153" i="6"/>
  <c r="AZ152" i="6" s="1"/>
  <c r="AU153" i="6"/>
  <c r="AP153" i="6"/>
  <c r="AP152" i="6" s="1"/>
  <c r="AK153" i="6"/>
  <c r="AF153" i="6"/>
  <c r="AF152" i="6" s="1"/>
  <c r="AA153" i="6"/>
  <c r="V153" i="6"/>
  <c r="V152" i="6" s="1"/>
  <c r="Q153" i="6"/>
  <c r="L153" i="6"/>
  <c r="L152" i="6" s="1"/>
  <c r="DM152" i="6"/>
  <c r="DH152" i="6"/>
  <c r="CS152" i="6"/>
  <c r="CN152" i="6"/>
  <c r="BY152" i="6"/>
  <c r="BO152" i="6"/>
  <c r="BJ152" i="6"/>
  <c r="G152" i="6"/>
  <c r="EL150" i="6"/>
  <c r="BT150" i="6"/>
  <c r="EL149" i="6"/>
  <c r="BT149" i="6"/>
  <c r="DR148" i="6"/>
  <c r="DM148" i="6"/>
  <c r="DH148" i="6"/>
  <c r="DC148" i="6"/>
  <c r="DC147" i="6" s="1"/>
  <c r="CS148" i="6"/>
  <c r="CN148" i="6"/>
  <c r="CI148" i="6"/>
  <c r="CD148" i="6"/>
  <c r="Q148" i="6"/>
  <c r="Q147" i="6" s="1"/>
  <c r="L148" i="6"/>
  <c r="L147" i="6" s="1"/>
  <c r="EG147" i="6"/>
  <c r="EB147" i="6"/>
  <c r="DW147" i="6"/>
  <c r="DR147" i="6"/>
  <c r="CX147" i="6"/>
  <c r="CS147" i="6"/>
  <c r="CN147" i="6"/>
  <c r="CI147" i="6"/>
  <c r="BY147" i="6"/>
  <c r="BO147" i="6"/>
  <c r="BJ147" i="6"/>
  <c r="BE147" i="6"/>
  <c r="AZ147" i="6"/>
  <c r="AU147" i="6"/>
  <c r="AP147" i="6"/>
  <c r="AK147" i="6"/>
  <c r="AF147" i="6"/>
  <c r="AA147" i="6"/>
  <c r="V147" i="6"/>
  <c r="G147" i="6"/>
  <c r="EL145" i="6"/>
  <c r="BT145" i="6"/>
  <c r="EL144" i="6"/>
  <c r="BT144" i="6"/>
  <c r="CI143" i="6"/>
  <c r="EL143" i="6" s="1"/>
  <c r="BT143" i="6"/>
  <c r="EG142" i="6"/>
  <c r="EB142" i="6"/>
  <c r="DW142" i="6"/>
  <c r="DR142" i="6"/>
  <c r="DM142" i="6"/>
  <c r="DH142" i="6"/>
  <c r="DC142" i="6"/>
  <c r="CX142" i="6"/>
  <c r="CS142" i="6"/>
  <c r="CN142" i="6"/>
  <c r="CI142" i="6"/>
  <c r="CD142" i="6"/>
  <c r="BY142" i="6"/>
  <c r="BO142" i="6"/>
  <c r="BJ142" i="6"/>
  <c r="BE142" i="6"/>
  <c r="AZ142" i="6"/>
  <c r="AU142" i="6"/>
  <c r="AP142" i="6"/>
  <c r="AK142" i="6"/>
  <c r="AF142" i="6"/>
  <c r="AA142" i="6"/>
  <c r="V142" i="6"/>
  <c r="Q142" i="6"/>
  <c r="L142" i="6"/>
  <c r="G142" i="6"/>
  <c r="EL140" i="6"/>
  <c r="BT140" i="6"/>
  <c r="EL139" i="6"/>
  <c r="BT139" i="6"/>
  <c r="EL138" i="6"/>
  <c r="BT138" i="6"/>
  <c r="AZ138" i="6"/>
  <c r="EG137" i="6"/>
  <c r="EB137" i="6"/>
  <c r="DW137" i="6"/>
  <c r="DR137" i="6"/>
  <c r="DM137" i="6"/>
  <c r="DH137" i="6"/>
  <c r="DC137" i="6"/>
  <c r="CX137" i="6"/>
  <c r="CS137" i="6"/>
  <c r="CN137" i="6"/>
  <c r="CI137" i="6"/>
  <c r="CD137" i="6"/>
  <c r="BY137" i="6"/>
  <c r="BO137" i="6"/>
  <c r="BJ137" i="6"/>
  <c r="BE137" i="6"/>
  <c r="AZ137" i="6"/>
  <c r="AU137" i="6"/>
  <c r="AP137" i="6"/>
  <c r="AK137" i="6"/>
  <c r="AF137" i="6"/>
  <c r="AA137" i="6"/>
  <c r="V137" i="6"/>
  <c r="Q137" i="6"/>
  <c r="L137" i="6"/>
  <c r="G137" i="6"/>
  <c r="EL135" i="6"/>
  <c r="BT135" i="6"/>
  <c r="EL134" i="6"/>
  <c r="BT134" i="6"/>
  <c r="EL133" i="6"/>
  <c r="BT133" i="6"/>
  <c r="EL132" i="6"/>
  <c r="L132" i="6"/>
  <c r="EG131" i="6"/>
  <c r="EB131" i="6"/>
  <c r="DW131" i="6"/>
  <c r="DR131" i="6"/>
  <c r="DM131" i="6"/>
  <c r="DH131" i="6"/>
  <c r="DC131" i="6"/>
  <c r="CX131" i="6"/>
  <c r="CS131" i="6"/>
  <c r="CN131" i="6"/>
  <c r="CI131" i="6"/>
  <c r="CD131" i="6"/>
  <c r="BY131" i="6"/>
  <c r="BO131" i="6"/>
  <c r="BJ131" i="6"/>
  <c r="BE131" i="6"/>
  <c r="AZ131" i="6"/>
  <c r="AU131" i="6"/>
  <c r="AP131" i="6"/>
  <c r="AK131" i="6"/>
  <c r="AF131" i="6"/>
  <c r="AA131" i="6"/>
  <c r="V131" i="6"/>
  <c r="Q131" i="6"/>
  <c r="G131" i="6"/>
  <c r="EL129" i="6"/>
  <c r="BT129" i="6"/>
  <c r="EL128" i="6"/>
  <c r="BT128" i="6"/>
  <c r="EL127" i="6"/>
  <c r="BT127" i="6"/>
  <c r="EL126" i="6"/>
  <c r="BT126" i="6"/>
  <c r="EG125" i="6"/>
  <c r="EB125" i="6"/>
  <c r="DW125" i="6"/>
  <c r="DR125" i="6"/>
  <c r="DM125" i="6"/>
  <c r="DH125" i="6"/>
  <c r="DC125" i="6"/>
  <c r="CX125" i="6"/>
  <c r="CS125" i="6"/>
  <c r="CN125" i="6"/>
  <c r="CI125" i="6"/>
  <c r="CD125" i="6"/>
  <c r="BY125" i="6"/>
  <c r="BO125" i="6"/>
  <c r="BJ125" i="6"/>
  <c r="BE125" i="6"/>
  <c r="AZ125" i="6"/>
  <c r="AU125" i="6"/>
  <c r="AP125" i="6"/>
  <c r="AK125" i="6"/>
  <c r="AF125" i="6"/>
  <c r="AA125" i="6"/>
  <c r="V125" i="6"/>
  <c r="Q125" i="6"/>
  <c r="L125" i="6"/>
  <c r="G125" i="6"/>
  <c r="EL123" i="6"/>
  <c r="BT123" i="6"/>
  <c r="BY123" i="6" s="1"/>
  <c r="EL122" i="6"/>
  <c r="BT122" i="6"/>
  <c r="EL121" i="6"/>
  <c r="BT121" i="6"/>
  <c r="EL120" i="6"/>
  <c r="BT120" i="6"/>
  <c r="EG119" i="6"/>
  <c r="EB119" i="6"/>
  <c r="DW119" i="6"/>
  <c r="DR119" i="6"/>
  <c r="DM119" i="6"/>
  <c r="DH119" i="6"/>
  <c r="DC119" i="6"/>
  <c r="CX119" i="6"/>
  <c r="CS119" i="6"/>
  <c r="CN119" i="6"/>
  <c r="CI119" i="6"/>
  <c r="CD119" i="6"/>
  <c r="BO119" i="6"/>
  <c r="BJ119" i="6"/>
  <c r="BE119" i="6"/>
  <c r="AZ119" i="6"/>
  <c r="AU119" i="6"/>
  <c r="AP119" i="6"/>
  <c r="AK119" i="6"/>
  <c r="AF119" i="6"/>
  <c r="AA119" i="6"/>
  <c r="V119" i="6"/>
  <c r="Q119" i="6"/>
  <c r="L119" i="6"/>
  <c r="G119" i="6"/>
  <c r="EL117" i="6"/>
  <c r="BT117" i="6"/>
  <c r="EL116" i="6"/>
  <c r="BT116" i="6"/>
  <c r="EB115" i="6"/>
  <c r="DR115" i="6"/>
  <c r="DM115" i="6"/>
  <c r="DM114" i="6" s="1"/>
  <c r="DC115" i="6"/>
  <c r="DC114" i="6" s="1"/>
  <c r="CX115" i="6"/>
  <c r="CS115" i="6"/>
  <c r="CN115" i="6"/>
  <c r="CI115" i="6"/>
  <c r="CI114" i="6" s="1"/>
  <c r="CD115" i="6"/>
  <c r="AU115" i="6"/>
  <c r="AU114" i="6" s="1"/>
  <c r="AP115" i="6"/>
  <c r="AK115" i="6"/>
  <c r="EG114" i="6"/>
  <c r="DW114" i="6"/>
  <c r="DR114" i="6"/>
  <c r="DH114" i="6"/>
  <c r="BY114" i="6"/>
  <c r="BO114" i="6"/>
  <c r="BJ114" i="6"/>
  <c r="BE114" i="6"/>
  <c r="AZ114" i="6"/>
  <c r="AP114" i="6"/>
  <c r="AF114" i="6"/>
  <c r="AA114" i="6"/>
  <c r="V114" i="6"/>
  <c r="Q114" i="6"/>
  <c r="L114" i="6"/>
  <c r="G114" i="6"/>
  <c r="EL112" i="6"/>
  <c r="BT112" i="6"/>
  <c r="EL111" i="6"/>
  <c r="BT111" i="6"/>
  <c r="BY111" i="6" s="1"/>
  <c r="EL110" i="6"/>
  <c r="BT110" i="6"/>
  <c r="EG109" i="6"/>
  <c r="EB109" i="6"/>
  <c r="DW109" i="6"/>
  <c r="DR109" i="6"/>
  <c r="DM109" i="6"/>
  <c r="DH109" i="6"/>
  <c r="DC109" i="6"/>
  <c r="CX109" i="6"/>
  <c r="CS109" i="6"/>
  <c r="CN109" i="6"/>
  <c r="CI109" i="6"/>
  <c r="CD109" i="6"/>
  <c r="BO109" i="6"/>
  <c r="BJ109" i="6"/>
  <c r="BE109" i="6"/>
  <c r="AZ109" i="6"/>
  <c r="AU109" i="6"/>
  <c r="AP109" i="6"/>
  <c r="AK109" i="6"/>
  <c r="AF109" i="6"/>
  <c r="AA109" i="6"/>
  <c r="V109" i="6"/>
  <c r="Q109" i="6"/>
  <c r="L109" i="6"/>
  <c r="G109" i="6"/>
  <c r="EL107" i="6"/>
  <c r="BT107" i="6"/>
  <c r="EL106" i="6"/>
  <c r="BT106" i="6"/>
  <c r="EL105" i="6"/>
  <c r="BT105" i="6"/>
  <c r="EG104" i="6"/>
  <c r="EB104" i="6"/>
  <c r="DW104" i="6"/>
  <c r="DR104" i="6"/>
  <c r="DM104" i="6"/>
  <c r="DH104" i="6"/>
  <c r="DC104" i="6"/>
  <c r="CX104" i="6"/>
  <c r="CS104" i="6"/>
  <c r="CN104" i="6"/>
  <c r="CI104" i="6"/>
  <c r="CD104" i="6"/>
  <c r="BO104" i="6"/>
  <c r="BJ104" i="6"/>
  <c r="BE104" i="6"/>
  <c r="AZ104" i="6"/>
  <c r="AU104" i="6"/>
  <c r="AP104" i="6"/>
  <c r="AK104" i="6"/>
  <c r="AF104" i="6"/>
  <c r="AA104" i="6"/>
  <c r="V104" i="6"/>
  <c r="Q104" i="6"/>
  <c r="L104" i="6"/>
  <c r="G104" i="6"/>
  <c r="EL102" i="6"/>
  <c r="BT102" i="6"/>
  <c r="EL101" i="6"/>
  <c r="BT101" i="6"/>
  <c r="EL100" i="6"/>
  <c r="BT100" i="6"/>
  <c r="BY100" i="6" s="1"/>
  <c r="EG99" i="6"/>
  <c r="EB99" i="6"/>
  <c r="DW99" i="6"/>
  <c r="DR99" i="6"/>
  <c r="DM99" i="6"/>
  <c r="DH99" i="6"/>
  <c r="DC99" i="6"/>
  <c r="CX99" i="6"/>
  <c r="CS99" i="6"/>
  <c r="CN99" i="6"/>
  <c r="CI99" i="6"/>
  <c r="CD99" i="6"/>
  <c r="BO99" i="6"/>
  <c r="BJ99" i="6"/>
  <c r="BE99" i="6"/>
  <c r="AZ99" i="6"/>
  <c r="AU99" i="6"/>
  <c r="AP99" i="6"/>
  <c r="AK99" i="6"/>
  <c r="AF99" i="6"/>
  <c r="AA99" i="6"/>
  <c r="V99" i="6"/>
  <c r="Q99" i="6"/>
  <c r="L99" i="6"/>
  <c r="G99" i="6"/>
  <c r="EL97" i="6"/>
  <c r="BT97" i="6"/>
  <c r="EL96" i="6"/>
  <c r="BT96" i="6"/>
  <c r="BY96" i="6" s="1"/>
  <c r="EL95" i="6"/>
  <c r="BT95" i="6"/>
  <c r="BY95" i="6" s="1"/>
  <c r="EG94" i="6"/>
  <c r="EB94" i="6"/>
  <c r="DW94" i="6"/>
  <c r="DR94" i="6"/>
  <c r="DM94" i="6"/>
  <c r="DH94" i="6"/>
  <c r="DC94" i="6"/>
  <c r="CX94" i="6"/>
  <c r="CS94" i="6"/>
  <c r="CN94" i="6"/>
  <c r="CI94" i="6"/>
  <c r="CD94" i="6"/>
  <c r="BO94" i="6"/>
  <c r="BJ94" i="6"/>
  <c r="BE94" i="6"/>
  <c r="AZ94" i="6"/>
  <c r="AU94" i="6"/>
  <c r="AP94" i="6"/>
  <c r="AK94" i="6"/>
  <c r="AF94" i="6"/>
  <c r="AA94" i="6"/>
  <c r="V94" i="6"/>
  <c r="Q94" i="6"/>
  <c r="L94" i="6"/>
  <c r="G94" i="6"/>
  <c r="EL92" i="6"/>
  <c r="BT92" i="6"/>
  <c r="BY92" i="6" s="1"/>
  <c r="EL91" i="6"/>
  <c r="BT91" i="6"/>
  <c r="EL90" i="6"/>
  <c r="BT90" i="6"/>
  <c r="EG89" i="6"/>
  <c r="EB89" i="6"/>
  <c r="DW89" i="6"/>
  <c r="DR89" i="6"/>
  <c r="DM89" i="6"/>
  <c r="DH89" i="6"/>
  <c r="DC89" i="6"/>
  <c r="CX89" i="6"/>
  <c r="CS89" i="6"/>
  <c r="CN89" i="6"/>
  <c r="CI89" i="6"/>
  <c r="CD89" i="6"/>
  <c r="BO89" i="6"/>
  <c r="BJ89" i="6"/>
  <c r="BE89" i="6"/>
  <c r="AZ89" i="6"/>
  <c r="AU89" i="6"/>
  <c r="AP89" i="6"/>
  <c r="AK89" i="6"/>
  <c r="AF89" i="6"/>
  <c r="AA89" i="6"/>
  <c r="V89" i="6"/>
  <c r="Q89" i="6"/>
  <c r="L89" i="6"/>
  <c r="G89" i="6"/>
  <c r="EL87" i="6"/>
  <c r="BT87" i="6"/>
  <c r="EL86" i="6"/>
  <c r="BT86" i="6"/>
  <c r="EL85" i="6"/>
  <c r="BT85" i="6"/>
  <c r="EG84" i="6"/>
  <c r="EB84" i="6"/>
  <c r="DW84" i="6"/>
  <c r="DR84" i="6"/>
  <c r="DM84" i="6"/>
  <c r="DH84" i="6"/>
  <c r="DC84" i="6"/>
  <c r="CX84" i="6"/>
  <c r="CS84" i="6"/>
  <c r="CN84" i="6"/>
  <c r="CI84" i="6"/>
  <c r="CD84" i="6"/>
  <c r="BO84" i="6"/>
  <c r="BJ84" i="6"/>
  <c r="BE84" i="6"/>
  <c r="AZ84" i="6"/>
  <c r="AU84" i="6"/>
  <c r="AP84" i="6"/>
  <c r="AK84" i="6"/>
  <c r="AF84" i="6"/>
  <c r="AA84" i="6"/>
  <c r="V84" i="6"/>
  <c r="Q84" i="6"/>
  <c r="L84" i="6"/>
  <c r="G84" i="6"/>
  <c r="EL82" i="6"/>
  <c r="BT82" i="6"/>
  <c r="EL81" i="6"/>
  <c r="BT81" i="6"/>
  <c r="EL80" i="6"/>
  <c r="BT80" i="6"/>
  <c r="EL79" i="6"/>
  <c r="BT79" i="6"/>
  <c r="EG78" i="6"/>
  <c r="EB78" i="6"/>
  <c r="DW78" i="6"/>
  <c r="DR78" i="6"/>
  <c r="DM78" i="6"/>
  <c r="DH78" i="6"/>
  <c r="DC78" i="6"/>
  <c r="CX78" i="6"/>
  <c r="CS78" i="6"/>
  <c r="CN78" i="6"/>
  <c r="CI78" i="6"/>
  <c r="CD78" i="6"/>
  <c r="BY78" i="6"/>
  <c r="BO78" i="6"/>
  <c r="BJ78" i="6"/>
  <c r="BE78" i="6"/>
  <c r="AZ78" i="6"/>
  <c r="AU78" i="6"/>
  <c r="AP78" i="6"/>
  <c r="AK78" i="6"/>
  <c r="AF78" i="6"/>
  <c r="AA78" i="6"/>
  <c r="V78" i="6"/>
  <c r="Q78" i="6"/>
  <c r="L78" i="6"/>
  <c r="G78" i="6"/>
  <c r="EL76" i="6"/>
  <c r="BT76" i="6"/>
  <c r="EL75" i="6"/>
  <c r="BT75" i="6"/>
  <c r="CI74" i="6"/>
  <c r="BT74" i="6"/>
  <c r="EG73" i="6"/>
  <c r="EB73" i="6"/>
  <c r="DW73" i="6"/>
  <c r="DR73" i="6"/>
  <c r="DM73" i="6"/>
  <c r="DH73" i="6"/>
  <c r="DC73" i="6"/>
  <c r="CX73" i="6"/>
  <c r="CS73" i="6"/>
  <c r="CN73" i="6"/>
  <c r="CI73" i="6"/>
  <c r="CD73" i="6"/>
  <c r="BY73" i="6"/>
  <c r="BO73" i="6"/>
  <c r="BJ73" i="6"/>
  <c r="BE73" i="6"/>
  <c r="AZ73" i="6"/>
  <c r="AU73" i="6"/>
  <c r="AP73" i="6"/>
  <c r="AK73" i="6"/>
  <c r="AF73" i="6"/>
  <c r="AA73" i="6"/>
  <c r="V73" i="6"/>
  <c r="Q73" i="6"/>
  <c r="L73" i="6"/>
  <c r="G73" i="6"/>
  <c r="EL71" i="6"/>
  <c r="BT71" i="6"/>
  <c r="EL70" i="6"/>
  <c r="BT70" i="6"/>
  <c r="DW69" i="6"/>
  <c r="EL69" i="6" s="1"/>
  <c r="BT69" i="6"/>
  <c r="EG68" i="6"/>
  <c r="EB68" i="6"/>
  <c r="DW68" i="6"/>
  <c r="DW67" i="6" s="1"/>
  <c r="DR68" i="6"/>
  <c r="DM68" i="6"/>
  <c r="DC68" i="6"/>
  <c r="DC67" i="6" s="1"/>
  <c r="CX68" i="6"/>
  <c r="CX67" i="6" s="1"/>
  <c r="CS68" i="6"/>
  <c r="CS67" i="6" s="1"/>
  <c r="CN68" i="6"/>
  <c r="CN67" i="6" s="1"/>
  <c r="CI68" i="6"/>
  <c r="CD68" i="6"/>
  <c r="CD67" i="6" s="1"/>
  <c r="BE68" i="6"/>
  <c r="BE67" i="6" s="1"/>
  <c r="AZ68" i="6"/>
  <c r="AZ67" i="6" s="1"/>
  <c r="AU68" i="6"/>
  <c r="AP68" i="6"/>
  <c r="AP67" i="6" s="1"/>
  <c r="AK68" i="6"/>
  <c r="AF68" i="6"/>
  <c r="AF67" i="6" s="1"/>
  <c r="AA68" i="6"/>
  <c r="AA67" i="6" s="1"/>
  <c r="V68" i="6"/>
  <c r="V67" i="6" s="1"/>
  <c r="DM67" i="6"/>
  <c r="DH67" i="6"/>
  <c r="BY67" i="6"/>
  <c r="BO67" i="6"/>
  <c r="BJ67" i="6"/>
  <c r="Q67" i="6"/>
  <c r="L67" i="6"/>
  <c r="G67" i="6"/>
  <c r="EL65" i="6"/>
  <c r="BT65" i="6"/>
  <c r="EL64" i="6"/>
  <c r="BT64" i="6"/>
  <c r="EL63" i="6"/>
  <c r="BT63" i="6"/>
  <c r="EL62" i="6"/>
  <c r="BT62" i="6"/>
  <c r="BY62" i="6" s="1"/>
  <c r="EG61" i="6"/>
  <c r="EB61" i="6"/>
  <c r="DW61" i="6"/>
  <c r="DR61" i="6"/>
  <c r="DM61" i="6"/>
  <c r="DH61" i="6"/>
  <c r="DC61" i="6"/>
  <c r="CX61" i="6"/>
  <c r="CS61" i="6"/>
  <c r="CN61" i="6"/>
  <c r="CI61" i="6"/>
  <c r="CD61" i="6"/>
  <c r="BO61" i="6"/>
  <c r="BJ61" i="6"/>
  <c r="BE61" i="6"/>
  <c r="AZ61" i="6"/>
  <c r="AU61" i="6"/>
  <c r="AP61" i="6"/>
  <c r="AK61" i="6"/>
  <c r="AF61" i="6"/>
  <c r="AA61" i="6"/>
  <c r="V61" i="6"/>
  <c r="Q61" i="6"/>
  <c r="L61" i="6"/>
  <c r="G61" i="6"/>
  <c r="EL59" i="6"/>
  <c r="BT59" i="6"/>
  <c r="EL58" i="6"/>
  <c r="BT58" i="6"/>
  <c r="EG57" i="6"/>
  <c r="EG56" i="6" s="1"/>
  <c r="EB57" i="6"/>
  <c r="DW57" i="6"/>
  <c r="DW56" i="6" s="1"/>
  <c r="DR57" i="6"/>
  <c r="DR56" i="6" s="1"/>
  <c r="DM57" i="6"/>
  <c r="DM56" i="6" s="1"/>
  <c r="DC57" i="6"/>
  <c r="DC56" i="6" s="1"/>
  <c r="CX57" i="6"/>
  <c r="CX56" i="6" s="1"/>
  <c r="CS57" i="6"/>
  <c r="CS56" i="6" s="1"/>
  <c r="CN57" i="6"/>
  <c r="CN56" i="6" s="1"/>
  <c r="CI57" i="6"/>
  <c r="CI56" i="6" s="1"/>
  <c r="CD57" i="6"/>
  <c r="BE57" i="6"/>
  <c r="AZ57" i="6"/>
  <c r="AZ13" i="6" s="1"/>
  <c r="AU57" i="6"/>
  <c r="AP57" i="6"/>
  <c r="AP56" i="6" s="1"/>
  <c r="AK57" i="6"/>
  <c r="AF57" i="6"/>
  <c r="AF56" i="6" s="1"/>
  <c r="AA57" i="6"/>
  <c r="V57" i="6"/>
  <c r="Q57" i="6"/>
  <c r="L57" i="6"/>
  <c r="L56" i="6" s="1"/>
  <c r="EB56" i="6"/>
  <c r="DH56" i="6"/>
  <c r="BY56" i="6"/>
  <c r="BO56" i="6"/>
  <c r="BJ56" i="6"/>
  <c r="AU56" i="6"/>
  <c r="Q56" i="6"/>
  <c r="G56" i="6"/>
  <c r="EL54" i="6"/>
  <c r="BT54" i="6"/>
  <c r="EL53" i="6"/>
  <c r="BT53" i="6"/>
  <c r="EB52" i="6"/>
  <c r="DW52" i="6"/>
  <c r="DW51" i="6" s="1"/>
  <c r="DR52" i="6"/>
  <c r="DR51" i="6" s="1"/>
  <c r="DM52" i="6"/>
  <c r="DH52" i="6"/>
  <c r="DH51" i="6" s="1"/>
  <c r="DC52" i="6"/>
  <c r="DC51" i="6" s="1"/>
  <c r="CX52" i="6"/>
  <c r="CS52" i="6"/>
  <c r="CS51" i="6" s="1"/>
  <c r="CN52" i="6"/>
  <c r="CN51" i="6" s="1"/>
  <c r="CI52" i="6"/>
  <c r="CD52" i="6"/>
  <c r="CD51" i="6" s="1"/>
  <c r="BE52" i="6"/>
  <c r="AZ52" i="6"/>
  <c r="AU52" i="6"/>
  <c r="AU51" i="6" s="1"/>
  <c r="AK52" i="6"/>
  <c r="AK51" i="6" s="1"/>
  <c r="AA52" i="6"/>
  <c r="V52" i="6"/>
  <c r="V51" i="6" s="1"/>
  <c r="Q52" i="6"/>
  <c r="Q51" i="6" s="1"/>
  <c r="L52" i="6"/>
  <c r="EG51" i="6"/>
  <c r="EB51" i="6"/>
  <c r="DM51" i="6"/>
  <c r="CX51" i="6"/>
  <c r="CI51" i="6"/>
  <c r="BY51" i="6"/>
  <c r="BO51" i="6"/>
  <c r="BJ51" i="6"/>
  <c r="BE51" i="6"/>
  <c r="AP51" i="6"/>
  <c r="AF51" i="6"/>
  <c r="G51" i="6"/>
  <c r="EL49" i="6"/>
  <c r="BT49" i="6"/>
  <c r="EL48" i="6"/>
  <c r="BT48" i="6"/>
  <c r="EL47" i="6"/>
  <c r="BT47" i="6"/>
  <c r="EG46" i="6"/>
  <c r="EG45" i="6" s="1"/>
  <c r="EB46" i="6"/>
  <c r="DW46" i="6"/>
  <c r="DW45" i="6" s="1"/>
  <c r="DR46" i="6"/>
  <c r="DR45" i="6" s="1"/>
  <c r="DM46" i="6"/>
  <c r="DM45" i="6" s="1"/>
  <c r="DH46" i="6"/>
  <c r="DH45" i="6" s="1"/>
  <c r="DC46" i="6"/>
  <c r="CX46" i="6"/>
  <c r="CS46" i="6"/>
  <c r="CS45" i="6" s="1"/>
  <c r="CN46" i="6"/>
  <c r="CN45" i="6" s="1"/>
  <c r="CI46" i="6"/>
  <c r="CI45" i="6" s="1"/>
  <c r="CD46" i="6"/>
  <c r="BE46" i="6"/>
  <c r="AZ46" i="6"/>
  <c r="AU46" i="6"/>
  <c r="AU45" i="6" s="1"/>
  <c r="AP46" i="6"/>
  <c r="AK46" i="6"/>
  <c r="AF46" i="6"/>
  <c r="AF45" i="6" s="1"/>
  <c r="AA46" i="6"/>
  <c r="V46" i="6"/>
  <c r="Q46" i="6"/>
  <c r="Q45" i="6" s="1"/>
  <c r="L46" i="6"/>
  <c r="L45" i="6" s="1"/>
  <c r="EB45" i="6"/>
  <c r="DC45" i="6"/>
  <c r="CX45" i="6"/>
  <c r="BY45" i="6"/>
  <c r="BO45" i="6"/>
  <c r="BJ45" i="6"/>
  <c r="BE45" i="6"/>
  <c r="AA45" i="6"/>
  <c r="G45" i="6"/>
  <c r="EL43" i="6"/>
  <c r="BT43" i="6"/>
  <c r="EL42" i="6"/>
  <c r="BT42" i="6"/>
  <c r="EL41" i="6"/>
  <c r="BT41" i="6"/>
  <c r="EG40" i="6"/>
  <c r="EB40" i="6"/>
  <c r="DW40" i="6"/>
  <c r="DR40" i="6"/>
  <c r="DR39" i="6" s="1"/>
  <c r="DM40" i="6"/>
  <c r="DM39" i="6" s="1"/>
  <c r="DH40" i="6"/>
  <c r="DH39" i="6" s="1"/>
  <c r="DC40" i="6"/>
  <c r="CX40" i="6"/>
  <c r="CX39" i="6" s="1"/>
  <c r="CS40" i="6"/>
  <c r="CN40" i="6"/>
  <c r="CN39" i="6" s="1"/>
  <c r="CI40" i="6"/>
  <c r="CI39" i="6" s="1"/>
  <c r="CD40" i="6"/>
  <c r="CD39" i="6" s="1"/>
  <c r="AZ40" i="6"/>
  <c r="AU40" i="6"/>
  <c r="AU39" i="6" s="1"/>
  <c r="AP40" i="6"/>
  <c r="AF40" i="6"/>
  <c r="V40" i="6"/>
  <c r="V39" i="6" s="1"/>
  <c r="Q40" i="6"/>
  <c r="L40" i="6"/>
  <c r="L39" i="6" s="1"/>
  <c r="EB39" i="6"/>
  <c r="BY39" i="6"/>
  <c r="BO39" i="6"/>
  <c r="BJ39" i="6"/>
  <c r="BE39" i="6"/>
  <c r="AZ39" i="6"/>
  <c r="AP39" i="6"/>
  <c r="AK39" i="6"/>
  <c r="AA39" i="6"/>
  <c r="G39" i="6"/>
  <c r="EL37" i="6"/>
  <c r="BT37" i="6"/>
  <c r="EL36" i="6"/>
  <c r="BT36" i="6"/>
  <c r="EL35" i="6"/>
  <c r="BT35" i="6"/>
  <c r="EG34" i="6"/>
  <c r="EB34" i="6"/>
  <c r="EB33" i="6" s="1"/>
  <c r="DW34" i="6"/>
  <c r="DR34" i="6"/>
  <c r="DR33" i="6" s="1"/>
  <c r="DM34" i="6"/>
  <c r="DH34" i="6"/>
  <c r="DC34" i="6"/>
  <c r="DC33" i="6" s="1"/>
  <c r="CX34" i="6"/>
  <c r="CX33" i="6" s="1"/>
  <c r="CS34" i="6"/>
  <c r="CS33" i="6" s="1"/>
  <c r="CN34" i="6"/>
  <c r="CN33" i="6" s="1"/>
  <c r="CI34" i="6"/>
  <c r="CD34" i="6"/>
  <c r="CD33" i="6" s="1"/>
  <c r="BE34" i="6"/>
  <c r="BE33" i="6" s="1"/>
  <c r="AZ34" i="6"/>
  <c r="AU34" i="6"/>
  <c r="AP34" i="6"/>
  <c r="AP33" i="6" s="1"/>
  <c r="AK34" i="6"/>
  <c r="AF34" i="6"/>
  <c r="AA34" i="6"/>
  <c r="V34" i="6"/>
  <c r="Q34" i="6"/>
  <c r="L34" i="6"/>
  <c r="DW33" i="6"/>
  <c r="DM33" i="6"/>
  <c r="CI33" i="6"/>
  <c r="BY33" i="6"/>
  <c r="BO33" i="6"/>
  <c r="BJ33" i="6"/>
  <c r="AK33" i="6"/>
  <c r="AA33" i="6"/>
  <c r="L33" i="6"/>
  <c r="G33" i="6"/>
  <c r="EL31" i="6"/>
  <c r="BT31" i="6"/>
  <c r="EL30" i="6"/>
  <c r="BT30" i="6"/>
  <c r="EL29" i="6"/>
  <c r="BT29" i="6"/>
  <c r="EG28" i="6"/>
  <c r="EG27" i="6" s="1"/>
  <c r="EB28" i="6"/>
  <c r="DR28" i="6"/>
  <c r="DR27" i="6" s="1"/>
  <c r="DM28" i="6"/>
  <c r="DM27" i="6" s="1"/>
  <c r="DH28" i="6"/>
  <c r="DH27" i="6" s="1"/>
  <c r="DC28" i="6"/>
  <c r="CX28" i="6"/>
  <c r="CS28" i="6"/>
  <c r="CN28" i="6"/>
  <c r="CN27" i="6" s="1"/>
  <c r="CI28" i="6"/>
  <c r="CD28" i="6"/>
  <c r="CD27" i="6" s="1"/>
  <c r="BE28" i="6"/>
  <c r="AZ28" i="6"/>
  <c r="AZ27" i="6" s="1"/>
  <c r="AU28" i="6"/>
  <c r="AP28" i="6"/>
  <c r="AK28" i="6"/>
  <c r="AF28" i="6"/>
  <c r="AA28" i="6"/>
  <c r="V28" i="6"/>
  <c r="V27" i="6" s="1"/>
  <c r="Q28" i="6"/>
  <c r="Q27" i="6" s="1"/>
  <c r="L28" i="6"/>
  <c r="DW27" i="6"/>
  <c r="DC27" i="6"/>
  <c r="CS27" i="6"/>
  <c r="BY27" i="6"/>
  <c r="BO27" i="6"/>
  <c r="BJ27" i="6"/>
  <c r="AU27" i="6"/>
  <c r="AK27" i="6"/>
  <c r="G27" i="6"/>
  <c r="EL25" i="6"/>
  <c r="BT25" i="6"/>
  <c r="EL24" i="6"/>
  <c r="BT24" i="6"/>
  <c r="EL23" i="6"/>
  <c r="BT23" i="6"/>
  <c r="EG22" i="6"/>
  <c r="EG21" i="6" s="1"/>
  <c r="EB22" i="6"/>
  <c r="EB21" i="6" s="1"/>
  <c r="DW22" i="6"/>
  <c r="DW21" i="6" s="1"/>
  <c r="DR22" i="6"/>
  <c r="DR21" i="6" s="1"/>
  <c r="DM22" i="6"/>
  <c r="DH22" i="6"/>
  <c r="DH21" i="6" s="1"/>
  <c r="DC22" i="6"/>
  <c r="DC21" i="6" s="1"/>
  <c r="CX22" i="6"/>
  <c r="CX21" i="6" s="1"/>
  <c r="CS22" i="6"/>
  <c r="CS21" i="6" s="1"/>
  <c r="CN22" i="6"/>
  <c r="CN21" i="6" s="1"/>
  <c r="CI22" i="6"/>
  <c r="CD22" i="6"/>
  <c r="BE22" i="6"/>
  <c r="BE21" i="6" s="1"/>
  <c r="AZ22" i="6"/>
  <c r="AU22" i="6"/>
  <c r="AU21" i="6" s="1"/>
  <c r="AP22" i="6"/>
  <c r="AK22" i="6"/>
  <c r="AF22" i="6"/>
  <c r="AA22" i="6"/>
  <c r="V22" i="6"/>
  <c r="Q22" i="6"/>
  <c r="Q21" i="6" s="1"/>
  <c r="L22" i="6"/>
  <c r="L21" i="6" s="1"/>
  <c r="DM21" i="6"/>
  <c r="CI21" i="6"/>
  <c r="BY21" i="6"/>
  <c r="BO21" i="6"/>
  <c r="BJ21" i="6"/>
  <c r="AF21" i="6"/>
  <c r="AA21" i="6"/>
  <c r="G21" i="6"/>
  <c r="EL19" i="6"/>
  <c r="EL18" i="6" s="1"/>
  <c r="BT19" i="6"/>
  <c r="EG18" i="6"/>
  <c r="EB18" i="6"/>
  <c r="DW18" i="6"/>
  <c r="DR18" i="6"/>
  <c r="DM18" i="6"/>
  <c r="DH18" i="6"/>
  <c r="DC18" i="6"/>
  <c r="CX18" i="6"/>
  <c r="CS18" i="6"/>
  <c r="CN18" i="6"/>
  <c r="CI18" i="6"/>
  <c r="CD18" i="6"/>
  <c r="BY18" i="6"/>
  <c r="BO18" i="6"/>
  <c r="BJ18" i="6"/>
  <c r="BE18" i="6"/>
  <c r="AZ18" i="6"/>
  <c r="AU18" i="6"/>
  <c r="AP18" i="6"/>
  <c r="AK18" i="6"/>
  <c r="AF18" i="6"/>
  <c r="AA18" i="6"/>
  <c r="V18" i="6"/>
  <c r="Q18" i="6"/>
  <c r="L18" i="6"/>
  <c r="G18" i="6"/>
  <c r="EG16" i="6"/>
  <c r="EB16" i="6"/>
  <c r="DW16" i="6"/>
  <c r="DR16" i="6"/>
  <c r="DM16" i="6"/>
  <c r="DH16" i="6"/>
  <c r="DC16" i="6"/>
  <c r="CX16" i="6"/>
  <c r="CS16" i="6"/>
  <c r="CN16" i="6"/>
  <c r="CI16" i="6"/>
  <c r="CD16" i="6"/>
  <c r="BO16" i="6"/>
  <c r="BJ16" i="6"/>
  <c r="BE16" i="6"/>
  <c r="AZ16" i="6"/>
  <c r="AU16" i="6"/>
  <c r="AP16" i="6"/>
  <c r="AK16" i="6"/>
  <c r="AF16" i="6"/>
  <c r="AA16" i="6"/>
  <c r="V16" i="6"/>
  <c r="Q16" i="6"/>
  <c r="L16" i="6"/>
  <c r="EG15" i="6"/>
  <c r="EB15" i="6"/>
  <c r="DW15" i="6"/>
  <c r="DR15" i="6"/>
  <c r="DM15" i="6"/>
  <c r="DH15" i="6"/>
  <c r="DC15" i="6"/>
  <c r="CX15" i="6"/>
  <c r="CS15" i="6"/>
  <c r="CN15" i="6"/>
  <c r="CI15" i="6"/>
  <c r="CD15" i="6"/>
  <c r="BO15" i="6"/>
  <c r="BJ15" i="6"/>
  <c r="BE15" i="6"/>
  <c r="AZ15" i="6"/>
  <c r="AU15" i="6"/>
  <c r="AP15" i="6"/>
  <c r="AK15" i="6"/>
  <c r="AF15" i="6"/>
  <c r="AA15" i="6"/>
  <c r="V15" i="6"/>
  <c r="Q15" i="6"/>
  <c r="L15" i="6"/>
  <c r="EG14" i="6"/>
  <c r="EB14" i="6"/>
  <c r="DW14" i="6"/>
  <c r="DR14" i="6"/>
  <c r="DM14" i="6"/>
  <c r="DH14" i="6"/>
  <c r="DC14" i="6"/>
  <c r="CX14" i="6"/>
  <c r="CS14" i="6"/>
  <c r="CN14" i="6"/>
  <c r="CI14" i="6"/>
  <c r="CD14" i="6"/>
  <c r="BO14" i="6"/>
  <c r="BJ14" i="6"/>
  <c r="BE14" i="6"/>
  <c r="AZ14" i="6"/>
  <c r="AU14" i="6"/>
  <c r="AP14" i="6"/>
  <c r="AK14" i="6"/>
  <c r="AF14" i="6"/>
  <c r="AA14" i="6"/>
  <c r="V14" i="6"/>
  <c r="Q14" i="6"/>
  <c r="L14" i="6"/>
  <c r="G12" i="6"/>
  <c r="G7" i="6" s="1"/>
  <c r="EG10" i="6"/>
  <c r="DW10" i="6"/>
  <c r="CN10" i="6"/>
  <c r="BO10" i="6"/>
  <c r="BE10" i="6"/>
  <c r="Q10" i="6"/>
  <c r="EB9" i="6"/>
  <c r="DR9" i="6"/>
  <c r="DC9" i="6"/>
  <c r="CX9" i="6"/>
  <c r="CN9" i="6"/>
  <c r="BJ9" i="6"/>
  <c r="BY3" i="6"/>
  <c r="BY181" i="6" s="1"/>
  <c r="G3" i="6"/>
  <c r="G181" i="6" s="1"/>
  <c r="BY2" i="6"/>
  <c r="BY180" i="6" s="1"/>
  <c r="G2" i="6"/>
  <c r="G180" i="6" s="1"/>
  <c r="BW145" i="4"/>
  <c r="BW143" i="4"/>
  <c r="BW142" i="4"/>
  <c r="BW141" i="4"/>
  <c r="BW140" i="4"/>
  <c r="BW137" i="4" s="1"/>
  <c r="BW138" i="4"/>
  <c r="BW134" i="4"/>
  <c r="BW133" i="4"/>
  <c r="BW131" i="4"/>
  <c r="BW130" i="4"/>
  <c r="BW129" i="4" s="1"/>
  <c r="BW113" i="4" s="1"/>
  <c r="BW127" i="4"/>
  <c r="BW126" i="4"/>
  <c r="BW124" i="4"/>
  <c r="BW123" i="4"/>
  <c r="BW122" i="4"/>
  <c r="BW120" i="4"/>
  <c r="BW119" i="4"/>
  <c r="BW116" i="4"/>
  <c r="BW115" i="4"/>
  <c r="BW114" i="4"/>
  <c r="BU112" i="4"/>
  <c r="BT112" i="4"/>
  <c r="BS112" i="4"/>
  <c r="BR112" i="4"/>
  <c r="BQ112" i="4"/>
  <c r="BP112" i="4"/>
  <c r="BO112" i="4"/>
  <c r="BN112" i="4"/>
  <c r="BM112" i="4"/>
  <c r="BL112" i="4"/>
  <c r="BK112" i="4"/>
  <c r="BJ112" i="4"/>
  <c r="BI112" i="4"/>
  <c r="BH112" i="4"/>
  <c r="BG112" i="4"/>
  <c r="BF112" i="4"/>
  <c r="BE112" i="4"/>
  <c r="BD112" i="4"/>
  <c r="BC112" i="4"/>
  <c r="BB112" i="4"/>
  <c r="BA112" i="4"/>
  <c r="AZ112" i="4"/>
  <c r="AY112" i="4"/>
  <c r="AX112" i="4"/>
  <c r="AW112" i="4"/>
  <c r="AV112" i="4"/>
  <c r="AU112" i="4"/>
  <c r="AT112" i="4"/>
  <c r="AS112" i="4"/>
  <c r="AR112" i="4"/>
  <c r="AQ112" i="4"/>
  <c r="AP112" i="4"/>
  <c r="AO112" i="4"/>
  <c r="AN112" i="4"/>
  <c r="AM112" i="4"/>
  <c r="AL112" i="4"/>
  <c r="AK112" i="4"/>
  <c r="AJ112" i="4"/>
  <c r="AI112" i="4"/>
  <c r="AH112" i="4"/>
  <c r="AG112" i="4"/>
  <c r="AF112" i="4"/>
  <c r="AE112" i="4"/>
  <c r="AD112" i="4"/>
  <c r="AC112" i="4"/>
  <c r="AB112" i="4"/>
  <c r="AA112" i="4"/>
  <c r="Z112" i="4"/>
  <c r="Y112" i="4"/>
  <c r="X112" i="4"/>
  <c r="W112" i="4"/>
  <c r="V112" i="4"/>
  <c r="U112" i="4"/>
  <c r="T112" i="4"/>
  <c r="S112" i="4"/>
  <c r="R112" i="4"/>
  <c r="Q112" i="4"/>
  <c r="P112" i="4"/>
  <c r="O112" i="4"/>
  <c r="N112" i="4"/>
  <c r="M112" i="4"/>
  <c r="BT111" i="4"/>
  <c r="BS111" i="4"/>
  <c r="BR111" i="4"/>
  <c r="BQ111" i="4"/>
  <c r="BO111" i="4"/>
  <c r="BN111" i="4"/>
  <c r="BM111" i="4"/>
  <c r="BL111" i="4"/>
  <c r="BJ111" i="4"/>
  <c r="BI111" i="4"/>
  <c r="BH111" i="4"/>
  <c r="BG111" i="4"/>
  <c r="BE111" i="4"/>
  <c r="BD111" i="4"/>
  <c r="BC111" i="4"/>
  <c r="BB111" i="4"/>
  <c r="AZ111" i="4"/>
  <c r="AY111" i="4"/>
  <c r="AX111" i="4"/>
  <c r="AW111" i="4"/>
  <c r="AU111" i="4"/>
  <c r="AT111" i="4"/>
  <c r="AS111" i="4"/>
  <c r="AR111" i="4"/>
  <c r="AP111" i="4"/>
  <c r="AO111" i="4"/>
  <c r="AN111" i="4"/>
  <c r="AM111" i="4"/>
  <c r="AK111" i="4"/>
  <c r="AJ111" i="4"/>
  <c r="AI111" i="4"/>
  <c r="AH111" i="4"/>
  <c r="AF111" i="4"/>
  <c r="AE111" i="4"/>
  <c r="AD111" i="4"/>
  <c r="AC111" i="4"/>
  <c r="AA111" i="4"/>
  <c r="Z111" i="4"/>
  <c r="Y111" i="4"/>
  <c r="X111" i="4"/>
  <c r="V111" i="4"/>
  <c r="U111" i="4"/>
  <c r="T111" i="4"/>
  <c r="S111" i="4"/>
  <c r="Q111" i="4"/>
  <c r="P111" i="4"/>
  <c r="O111" i="4"/>
  <c r="N111" i="4"/>
  <c r="BT110" i="4"/>
  <c r="BS110" i="4"/>
  <c r="BR110" i="4"/>
  <c r="BQ110" i="4"/>
  <c r="BO110" i="4"/>
  <c r="BN110" i="4"/>
  <c r="BM110" i="4"/>
  <c r="BL110" i="4"/>
  <c r="BJ110" i="4"/>
  <c r="BI110" i="4"/>
  <c r="BH110" i="4"/>
  <c r="BG110" i="4"/>
  <c r="BE110" i="4"/>
  <c r="BD110" i="4"/>
  <c r="BC110" i="4"/>
  <c r="BB110" i="4"/>
  <c r="AZ110" i="4"/>
  <c r="AY110" i="4"/>
  <c r="AX110" i="4"/>
  <c r="AW110" i="4"/>
  <c r="AU110" i="4"/>
  <c r="AT110" i="4"/>
  <c r="AS110" i="4"/>
  <c r="AR110" i="4"/>
  <c r="AP110" i="4"/>
  <c r="AO110" i="4"/>
  <c r="AN110" i="4"/>
  <c r="AM110" i="4"/>
  <c r="AK110" i="4"/>
  <c r="AJ110" i="4"/>
  <c r="AI110" i="4"/>
  <c r="AH110" i="4"/>
  <c r="AF110" i="4"/>
  <c r="AE110" i="4"/>
  <c r="AD110" i="4"/>
  <c r="AC110" i="4"/>
  <c r="AA110" i="4"/>
  <c r="Z110" i="4"/>
  <c r="Y110" i="4"/>
  <c r="X110" i="4"/>
  <c r="V110" i="4"/>
  <c r="U110" i="4"/>
  <c r="T110" i="4"/>
  <c r="S110" i="4"/>
  <c r="Q110" i="4"/>
  <c r="P110" i="4"/>
  <c r="O110" i="4"/>
  <c r="N110" i="4"/>
  <c r="BW109" i="4"/>
  <c r="BU109" i="4"/>
  <c r="BT109" i="4"/>
  <c r="BS109" i="4"/>
  <c r="BR109" i="4"/>
  <c r="BQ109" i="4"/>
  <c r="BP109" i="4"/>
  <c r="BO109" i="4"/>
  <c r="BN109" i="4"/>
  <c r="BM109" i="4"/>
  <c r="BL109" i="4"/>
  <c r="BK109" i="4"/>
  <c r="BJ109" i="4"/>
  <c r="BI109" i="4"/>
  <c r="BH109" i="4"/>
  <c r="BG109" i="4"/>
  <c r="BF109" i="4"/>
  <c r="BE109" i="4"/>
  <c r="BD109" i="4"/>
  <c r="BC109" i="4"/>
  <c r="BB109" i="4"/>
  <c r="BA109" i="4"/>
  <c r="AZ109" i="4"/>
  <c r="AY109" i="4"/>
  <c r="AX109" i="4"/>
  <c r="AW109" i="4"/>
  <c r="AV109" i="4"/>
  <c r="AU109" i="4"/>
  <c r="AT109" i="4"/>
  <c r="AS109" i="4"/>
  <c r="AR109" i="4"/>
  <c r="AQ109" i="4"/>
  <c r="AP109" i="4"/>
  <c r="AO109" i="4"/>
  <c r="AN109" i="4"/>
  <c r="AM109" i="4"/>
  <c r="AL109" i="4"/>
  <c r="AK109" i="4"/>
  <c r="AJ109" i="4"/>
  <c r="AI109" i="4"/>
  <c r="AH109" i="4"/>
  <c r="AG109" i="4"/>
  <c r="AF109" i="4"/>
  <c r="AE109" i="4"/>
  <c r="AD109" i="4"/>
  <c r="AC109" i="4"/>
  <c r="AB109" i="4"/>
  <c r="AA109" i="4"/>
  <c r="Z109" i="4"/>
  <c r="Y109" i="4"/>
  <c r="X109" i="4"/>
  <c r="W109" i="4"/>
  <c r="V109" i="4"/>
  <c r="U109" i="4"/>
  <c r="T109" i="4"/>
  <c r="S109" i="4"/>
  <c r="R109" i="4"/>
  <c r="Q109" i="4"/>
  <c r="P109" i="4"/>
  <c r="O109" i="4"/>
  <c r="N109" i="4"/>
  <c r="M109" i="4"/>
  <c r="BW108" i="4"/>
  <c r="BT108" i="4"/>
  <c r="BS108" i="4"/>
  <c r="BR108" i="4"/>
  <c r="BQ108" i="4"/>
  <c r="BO108" i="4"/>
  <c r="BN108" i="4"/>
  <c r="BM108" i="4"/>
  <c r="BL108" i="4"/>
  <c r="BJ108" i="4"/>
  <c r="BI108" i="4"/>
  <c r="BH108" i="4"/>
  <c r="BG108" i="4"/>
  <c r="BE108" i="4"/>
  <c r="BD108" i="4"/>
  <c r="BC108" i="4"/>
  <c r="BB108" i="4"/>
  <c r="AZ108" i="4"/>
  <c r="AY108" i="4"/>
  <c r="AX108" i="4"/>
  <c r="AW108" i="4"/>
  <c r="AU108" i="4"/>
  <c r="AT108" i="4"/>
  <c r="AS108" i="4"/>
  <c r="AR108" i="4"/>
  <c r="AP108" i="4"/>
  <c r="AO108" i="4"/>
  <c r="AN108" i="4"/>
  <c r="AM108" i="4"/>
  <c r="AK108" i="4"/>
  <c r="AJ108" i="4"/>
  <c r="AI108" i="4"/>
  <c r="AH108" i="4"/>
  <c r="AF108" i="4"/>
  <c r="AE108" i="4"/>
  <c r="AD108" i="4"/>
  <c r="AC108" i="4"/>
  <c r="AA108" i="4"/>
  <c r="Z108" i="4"/>
  <c r="Y108" i="4"/>
  <c r="X108" i="4"/>
  <c r="V108" i="4"/>
  <c r="U108" i="4"/>
  <c r="T108" i="4"/>
  <c r="S108" i="4"/>
  <c r="Q108" i="4"/>
  <c r="P108" i="4"/>
  <c r="O108" i="4"/>
  <c r="N108" i="4"/>
  <c r="BT107" i="4"/>
  <c r="BS107" i="4"/>
  <c r="BR107" i="4"/>
  <c r="BQ107" i="4"/>
  <c r="BO107" i="4"/>
  <c r="BN107" i="4"/>
  <c r="BM107" i="4"/>
  <c r="BL107" i="4"/>
  <c r="BJ107" i="4"/>
  <c r="BI107" i="4"/>
  <c r="BH107" i="4"/>
  <c r="BG107" i="4"/>
  <c r="BE107" i="4"/>
  <c r="BD107" i="4"/>
  <c r="BC107" i="4"/>
  <c r="BB107" i="4"/>
  <c r="AZ107" i="4"/>
  <c r="AY107" i="4"/>
  <c r="AX107" i="4"/>
  <c r="AW107" i="4"/>
  <c r="AU107" i="4"/>
  <c r="AT107" i="4"/>
  <c r="AS107" i="4"/>
  <c r="AR107" i="4"/>
  <c r="AP107" i="4"/>
  <c r="AO107" i="4"/>
  <c r="AN107" i="4"/>
  <c r="AM107" i="4"/>
  <c r="AK107" i="4"/>
  <c r="AJ107" i="4"/>
  <c r="AI107" i="4"/>
  <c r="AH107" i="4"/>
  <c r="AF107" i="4"/>
  <c r="AE107" i="4"/>
  <c r="AD107" i="4"/>
  <c r="AC107" i="4"/>
  <c r="AA107" i="4"/>
  <c r="Z107" i="4"/>
  <c r="Y107" i="4"/>
  <c r="X107" i="4"/>
  <c r="V107" i="4"/>
  <c r="U107" i="4"/>
  <c r="T107" i="4"/>
  <c r="S107" i="4"/>
  <c r="Q107" i="4"/>
  <c r="P107" i="4"/>
  <c r="O107" i="4"/>
  <c r="N107" i="4"/>
  <c r="BW106" i="4"/>
  <c r="BT106" i="4"/>
  <c r="BS106" i="4"/>
  <c r="BR106" i="4"/>
  <c r="BQ106" i="4"/>
  <c r="BO106" i="4"/>
  <c r="BN106" i="4"/>
  <c r="BM106" i="4"/>
  <c r="BL106" i="4"/>
  <c r="BJ106" i="4"/>
  <c r="BI106" i="4"/>
  <c r="BH106" i="4"/>
  <c r="BG106" i="4"/>
  <c r="BE106" i="4"/>
  <c r="BD106" i="4"/>
  <c r="BC106" i="4"/>
  <c r="BB106" i="4"/>
  <c r="AZ106" i="4"/>
  <c r="AY106" i="4"/>
  <c r="AX106" i="4"/>
  <c r="AW106" i="4"/>
  <c r="AU106" i="4"/>
  <c r="AT106" i="4"/>
  <c r="AS106" i="4"/>
  <c r="AR106" i="4"/>
  <c r="AP106" i="4"/>
  <c r="AO106" i="4"/>
  <c r="AN106" i="4"/>
  <c r="AM106" i="4"/>
  <c r="AK106" i="4"/>
  <c r="AJ106" i="4"/>
  <c r="AI106" i="4"/>
  <c r="AH106" i="4"/>
  <c r="AF106" i="4"/>
  <c r="AE106" i="4"/>
  <c r="AD106" i="4"/>
  <c r="AC106" i="4"/>
  <c r="AA106" i="4"/>
  <c r="Z106" i="4"/>
  <c r="Y106" i="4"/>
  <c r="X106" i="4"/>
  <c r="V106" i="4"/>
  <c r="U106" i="4"/>
  <c r="T106" i="4"/>
  <c r="S106" i="4"/>
  <c r="Q106" i="4"/>
  <c r="P106" i="4"/>
  <c r="O106" i="4"/>
  <c r="N106" i="4"/>
  <c r="BW105" i="4"/>
  <c r="BW104" i="4" s="1"/>
  <c r="BU105" i="4"/>
  <c r="BT105" i="4"/>
  <c r="BS105" i="4"/>
  <c r="BR105" i="4"/>
  <c r="BQ105" i="4"/>
  <c r="BP105" i="4"/>
  <c r="BO105" i="4"/>
  <c r="BN105" i="4"/>
  <c r="BM105" i="4"/>
  <c r="BL105" i="4"/>
  <c r="BK105" i="4"/>
  <c r="BJ105" i="4"/>
  <c r="BI105" i="4"/>
  <c r="BH105" i="4"/>
  <c r="BG105" i="4"/>
  <c r="BF105" i="4"/>
  <c r="BE105" i="4"/>
  <c r="BD105" i="4"/>
  <c r="BC105" i="4"/>
  <c r="BB105" i="4"/>
  <c r="BA105" i="4"/>
  <c r="AZ105" i="4"/>
  <c r="AY105" i="4"/>
  <c r="AX105" i="4"/>
  <c r="AW105" i="4"/>
  <c r="AV105" i="4"/>
  <c r="AU105" i="4"/>
  <c r="AT105" i="4"/>
  <c r="AS105" i="4"/>
  <c r="AR105" i="4"/>
  <c r="AQ105" i="4"/>
  <c r="AP105" i="4"/>
  <c r="AO105" i="4"/>
  <c r="AN105" i="4"/>
  <c r="AM105" i="4"/>
  <c r="AL105" i="4"/>
  <c r="AK105" i="4"/>
  <c r="AJ105" i="4"/>
  <c r="AI105" i="4"/>
  <c r="AH105" i="4"/>
  <c r="AG105" i="4"/>
  <c r="AF105" i="4"/>
  <c r="AE105" i="4"/>
  <c r="AD105" i="4"/>
  <c r="AC105" i="4"/>
  <c r="AB105" i="4"/>
  <c r="AA105" i="4"/>
  <c r="Z105" i="4"/>
  <c r="Y105" i="4"/>
  <c r="X105" i="4"/>
  <c r="W105" i="4"/>
  <c r="V105" i="4"/>
  <c r="U105" i="4"/>
  <c r="T105" i="4"/>
  <c r="S105" i="4"/>
  <c r="R105" i="4"/>
  <c r="Q105" i="4"/>
  <c r="P105" i="4"/>
  <c r="O105" i="4"/>
  <c r="N105" i="4"/>
  <c r="M105" i="4"/>
  <c r="BT104" i="4"/>
  <c r="BS104" i="4"/>
  <c r="BR104" i="4"/>
  <c r="BQ104" i="4"/>
  <c r="BO104" i="4"/>
  <c r="BN104" i="4"/>
  <c r="BM104" i="4"/>
  <c r="BL104" i="4"/>
  <c r="BJ104" i="4"/>
  <c r="BI104" i="4"/>
  <c r="BH104" i="4"/>
  <c r="BG104" i="4"/>
  <c r="BE104" i="4"/>
  <c r="BD104" i="4"/>
  <c r="BC104" i="4"/>
  <c r="BB104" i="4"/>
  <c r="AZ104" i="4"/>
  <c r="AY104" i="4"/>
  <c r="AX104" i="4"/>
  <c r="AW104" i="4"/>
  <c r="AU104" i="4"/>
  <c r="AT104" i="4"/>
  <c r="AS104" i="4"/>
  <c r="AR104" i="4"/>
  <c r="AP104" i="4"/>
  <c r="AO104" i="4"/>
  <c r="AN104" i="4"/>
  <c r="AM104" i="4"/>
  <c r="AK104" i="4"/>
  <c r="AJ104" i="4"/>
  <c r="AI104" i="4"/>
  <c r="AH104" i="4"/>
  <c r="AG104" i="4"/>
  <c r="AF104" i="4"/>
  <c r="AE104" i="4"/>
  <c r="AD104" i="4"/>
  <c r="AC104" i="4"/>
  <c r="AA104" i="4"/>
  <c r="Z104" i="4"/>
  <c r="Y104" i="4"/>
  <c r="X104" i="4"/>
  <c r="V104" i="4"/>
  <c r="U104" i="4"/>
  <c r="T104" i="4"/>
  <c r="S104" i="4"/>
  <c r="Q104" i="4"/>
  <c r="P104" i="4"/>
  <c r="O104" i="4"/>
  <c r="N104" i="4"/>
  <c r="BT103" i="4"/>
  <c r="BS103" i="4"/>
  <c r="BR103" i="4"/>
  <c r="BQ103" i="4"/>
  <c r="BO103" i="4"/>
  <c r="BN103" i="4"/>
  <c r="BM103" i="4"/>
  <c r="BL103" i="4"/>
  <c r="BJ103" i="4"/>
  <c r="BI103" i="4"/>
  <c r="BH103" i="4"/>
  <c r="BG103" i="4"/>
  <c r="BF103" i="4"/>
  <c r="BE103" i="4"/>
  <c r="BD103" i="4"/>
  <c r="BC103" i="4"/>
  <c r="BB103" i="4"/>
  <c r="AZ103" i="4"/>
  <c r="AY103" i="4"/>
  <c r="AX103" i="4"/>
  <c r="AW103" i="4"/>
  <c r="AU103" i="4"/>
  <c r="AT103" i="4"/>
  <c r="AS103" i="4"/>
  <c r="AR103" i="4"/>
  <c r="AP103" i="4"/>
  <c r="AO103" i="4"/>
  <c r="AN103" i="4"/>
  <c r="AM103" i="4"/>
  <c r="AK103" i="4"/>
  <c r="AJ103" i="4"/>
  <c r="AI103" i="4"/>
  <c r="AH103" i="4"/>
  <c r="AF103" i="4"/>
  <c r="AE103" i="4"/>
  <c r="AD103" i="4"/>
  <c r="AC103" i="4"/>
  <c r="AB103" i="4"/>
  <c r="AA103" i="4"/>
  <c r="Z103" i="4"/>
  <c r="Y103" i="4"/>
  <c r="X103" i="4"/>
  <c r="V103" i="4"/>
  <c r="U103" i="4"/>
  <c r="T103" i="4"/>
  <c r="S103" i="4"/>
  <c r="Q103" i="4"/>
  <c r="P103" i="4"/>
  <c r="O103" i="4"/>
  <c r="N103" i="4"/>
  <c r="BW102" i="4"/>
  <c r="BT102" i="4"/>
  <c r="BS102" i="4"/>
  <c r="BR102" i="4"/>
  <c r="BQ102" i="4"/>
  <c r="BO102" i="4"/>
  <c r="BN102" i="4"/>
  <c r="BM102" i="4"/>
  <c r="BL102" i="4"/>
  <c r="BJ102" i="4"/>
  <c r="BI102" i="4"/>
  <c r="BH102" i="4"/>
  <c r="BG102" i="4"/>
  <c r="BE102" i="4"/>
  <c r="BD102" i="4"/>
  <c r="BC102" i="4"/>
  <c r="BB102" i="4"/>
  <c r="AZ102" i="4"/>
  <c r="AY102" i="4"/>
  <c r="AX102" i="4"/>
  <c r="AW102" i="4"/>
  <c r="AU102" i="4"/>
  <c r="AT102" i="4"/>
  <c r="AS102" i="4"/>
  <c r="AR102" i="4"/>
  <c r="AP102" i="4"/>
  <c r="AO102" i="4"/>
  <c r="AN102" i="4"/>
  <c r="AM102" i="4"/>
  <c r="AK102" i="4"/>
  <c r="AJ102" i="4"/>
  <c r="AI102" i="4"/>
  <c r="AH102" i="4"/>
  <c r="AF102" i="4"/>
  <c r="AE102" i="4"/>
  <c r="AD102" i="4"/>
  <c r="AC102" i="4"/>
  <c r="AA102" i="4"/>
  <c r="Z102" i="4"/>
  <c r="Y102" i="4"/>
  <c r="X102" i="4"/>
  <c r="V102" i="4"/>
  <c r="U102" i="4"/>
  <c r="T102" i="4"/>
  <c r="S102" i="4"/>
  <c r="Q102" i="4"/>
  <c r="P102" i="4"/>
  <c r="O102" i="4"/>
  <c r="N102" i="4"/>
  <c r="BW101" i="4"/>
  <c r="BT101" i="4"/>
  <c r="BS101" i="4"/>
  <c r="BR101" i="4"/>
  <c r="BQ101" i="4"/>
  <c r="BO101" i="4"/>
  <c r="BN101" i="4"/>
  <c r="BM101" i="4"/>
  <c r="BL101" i="4"/>
  <c r="BJ101" i="4"/>
  <c r="BI101" i="4"/>
  <c r="BH101" i="4"/>
  <c r="BG101" i="4"/>
  <c r="BE101" i="4"/>
  <c r="BD101" i="4"/>
  <c r="BC101" i="4"/>
  <c r="BB101" i="4"/>
  <c r="AZ101" i="4"/>
  <c r="AY101" i="4"/>
  <c r="AX101" i="4"/>
  <c r="AW101" i="4"/>
  <c r="AU101" i="4"/>
  <c r="AT101" i="4"/>
  <c r="AS101" i="4"/>
  <c r="AR101" i="4"/>
  <c r="AP101" i="4"/>
  <c r="AO101" i="4"/>
  <c r="AN101" i="4"/>
  <c r="AM101" i="4"/>
  <c r="AK101" i="4"/>
  <c r="AJ101" i="4"/>
  <c r="AI101" i="4"/>
  <c r="AH101" i="4"/>
  <c r="AF101" i="4"/>
  <c r="AE101" i="4"/>
  <c r="AD101" i="4"/>
  <c r="AC101" i="4"/>
  <c r="AA101" i="4"/>
  <c r="Z101" i="4"/>
  <c r="Y101" i="4"/>
  <c r="X101" i="4"/>
  <c r="V101" i="4"/>
  <c r="U101" i="4"/>
  <c r="T101" i="4"/>
  <c r="S101" i="4"/>
  <c r="Q101" i="4"/>
  <c r="P101" i="4"/>
  <c r="O101" i="4"/>
  <c r="N101" i="4"/>
  <c r="BW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BT99" i="4"/>
  <c r="BS99" i="4"/>
  <c r="BR99" i="4"/>
  <c r="BQ99" i="4"/>
  <c r="BO99" i="4"/>
  <c r="BN99" i="4"/>
  <c r="BM99" i="4"/>
  <c r="BL99" i="4"/>
  <c r="BJ99" i="4"/>
  <c r="BI99" i="4"/>
  <c r="BH99" i="4"/>
  <c r="BG99" i="4"/>
  <c r="BE99" i="4"/>
  <c r="BD99" i="4"/>
  <c r="BC99" i="4"/>
  <c r="BB99" i="4"/>
  <c r="AZ99" i="4"/>
  <c r="AY99" i="4"/>
  <c r="AX99" i="4"/>
  <c r="AW99" i="4"/>
  <c r="AU99" i="4"/>
  <c r="AT99" i="4"/>
  <c r="AS99" i="4"/>
  <c r="AR99" i="4"/>
  <c r="AP99" i="4"/>
  <c r="AO99" i="4"/>
  <c r="AN99" i="4"/>
  <c r="AM99" i="4"/>
  <c r="AK99" i="4"/>
  <c r="AJ99" i="4"/>
  <c r="AI99" i="4"/>
  <c r="AH99" i="4"/>
  <c r="AF99" i="4"/>
  <c r="AE99" i="4"/>
  <c r="AD99" i="4"/>
  <c r="AC99" i="4"/>
  <c r="AA99" i="4"/>
  <c r="Z99" i="4"/>
  <c r="Y99" i="4"/>
  <c r="X99" i="4"/>
  <c r="V99" i="4"/>
  <c r="U99" i="4"/>
  <c r="T99" i="4"/>
  <c r="S99" i="4"/>
  <c r="Q99" i="4"/>
  <c r="P99" i="4"/>
  <c r="O99" i="4"/>
  <c r="N99" i="4"/>
  <c r="BT98" i="4"/>
  <c r="BS98" i="4"/>
  <c r="BR98" i="4"/>
  <c r="BQ98" i="4"/>
  <c r="BO98" i="4"/>
  <c r="BN98" i="4"/>
  <c r="BM98" i="4"/>
  <c r="BL98" i="4"/>
  <c r="BJ98" i="4"/>
  <c r="BI98" i="4"/>
  <c r="BH98" i="4"/>
  <c r="BG98" i="4"/>
  <c r="BE98" i="4"/>
  <c r="BD98" i="4"/>
  <c r="BC98" i="4"/>
  <c r="BB98" i="4"/>
  <c r="AZ98" i="4"/>
  <c r="AY98" i="4"/>
  <c r="AX98" i="4"/>
  <c r="AW98" i="4"/>
  <c r="AU98" i="4"/>
  <c r="AT98" i="4"/>
  <c r="AS98" i="4"/>
  <c r="AR98" i="4"/>
  <c r="AQ98" i="4"/>
  <c r="AP98" i="4"/>
  <c r="AO98" i="4"/>
  <c r="AN98" i="4"/>
  <c r="AM98" i="4"/>
  <c r="AK98" i="4"/>
  <c r="AJ98" i="4"/>
  <c r="AI98" i="4"/>
  <c r="AH98" i="4"/>
  <c r="AF98" i="4"/>
  <c r="AE98" i="4"/>
  <c r="AD98" i="4"/>
  <c r="AC98" i="4"/>
  <c r="AA98" i="4"/>
  <c r="Z98" i="4"/>
  <c r="Y98" i="4"/>
  <c r="X98" i="4"/>
  <c r="V98" i="4"/>
  <c r="U98" i="4"/>
  <c r="T98" i="4"/>
  <c r="S98" i="4"/>
  <c r="Q98" i="4"/>
  <c r="P98" i="4"/>
  <c r="O98" i="4"/>
  <c r="N98" i="4"/>
  <c r="BW97" i="4"/>
  <c r="BU97"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BW96" i="4"/>
  <c r="BT96" i="4"/>
  <c r="BS96" i="4"/>
  <c r="BR96" i="4"/>
  <c r="BQ96" i="4"/>
  <c r="BO96" i="4"/>
  <c r="BN96" i="4"/>
  <c r="BM96" i="4"/>
  <c r="BL96" i="4"/>
  <c r="BJ96" i="4"/>
  <c r="BI96" i="4"/>
  <c r="BH96" i="4"/>
  <c r="BG96" i="4"/>
  <c r="BE96" i="4"/>
  <c r="BD96" i="4"/>
  <c r="BC96" i="4"/>
  <c r="BB96" i="4"/>
  <c r="AZ96" i="4"/>
  <c r="AY96" i="4"/>
  <c r="AX96" i="4"/>
  <c r="AW96" i="4"/>
  <c r="AU96" i="4"/>
  <c r="AT96" i="4"/>
  <c r="AS96" i="4"/>
  <c r="AR96" i="4"/>
  <c r="AP96" i="4"/>
  <c r="AO96" i="4"/>
  <c r="AN96" i="4"/>
  <c r="AM96" i="4"/>
  <c r="AK96" i="4"/>
  <c r="AJ96" i="4"/>
  <c r="AI96" i="4"/>
  <c r="AH96" i="4"/>
  <c r="AF96" i="4"/>
  <c r="AE96" i="4"/>
  <c r="AD96" i="4"/>
  <c r="AC96" i="4"/>
  <c r="AA96" i="4"/>
  <c r="Z96" i="4"/>
  <c r="Y96" i="4"/>
  <c r="X96" i="4"/>
  <c r="V96" i="4"/>
  <c r="U96" i="4"/>
  <c r="T96" i="4"/>
  <c r="S96" i="4"/>
  <c r="Q96" i="4"/>
  <c r="P96" i="4"/>
  <c r="O96" i="4"/>
  <c r="N96" i="4"/>
  <c r="BT95" i="4"/>
  <c r="BS95" i="4"/>
  <c r="BR95" i="4"/>
  <c r="BQ95" i="4"/>
  <c r="BO95" i="4"/>
  <c r="BN95" i="4"/>
  <c r="BM95" i="4"/>
  <c r="BL95" i="4"/>
  <c r="BJ95" i="4"/>
  <c r="BI95" i="4"/>
  <c r="BH95" i="4"/>
  <c r="BG95" i="4"/>
  <c r="BE95" i="4"/>
  <c r="BD95" i="4"/>
  <c r="BC95" i="4"/>
  <c r="BB95" i="4"/>
  <c r="AZ95" i="4"/>
  <c r="AY95" i="4"/>
  <c r="AX95" i="4"/>
  <c r="AW95" i="4"/>
  <c r="AU95" i="4"/>
  <c r="AT95" i="4"/>
  <c r="AS95" i="4"/>
  <c r="AR95" i="4"/>
  <c r="AP95" i="4"/>
  <c r="AO95" i="4"/>
  <c r="AN95" i="4"/>
  <c r="AM95" i="4"/>
  <c r="AK95" i="4"/>
  <c r="AJ95" i="4"/>
  <c r="AI95" i="4"/>
  <c r="AH95" i="4"/>
  <c r="AF95" i="4"/>
  <c r="AE95" i="4"/>
  <c r="AD95" i="4"/>
  <c r="AC95" i="4"/>
  <c r="AA95" i="4"/>
  <c r="Z95" i="4"/>
  <c r="Y95" i="4"/>
  <c r="X95" i="4"/>
  <c r="V95" i="4"/>
  <c r="U95" i="4"/>
  <c r="T95" i="4"/>
  <c r="S95" i="4"/>
  <c r="Q95" i="4"/>
  <c r="P95" i="4"/>
  <c r="O95" i="4"/>
  <c r="N95" i="4"/>
  <c r="BT94" i="4"/>
  <c r="BS94" i="4"/>
  <c r="BR94" i="4"/>
  <c r="BQ94" i="4"/>
  <c r="BO94" i="4"/>
  <c r="BN94" i="4"/>
  <c r="BM94" i="4"/>
  <c r="BL94" i="4"/>
  <c r="BJ94" i="4"/>
  <c r="BI94" i="4"/>
  <c r="BH94" i="4"/>
  <c r="BG94" i="4"/>
  <c r="BE94" i="4"/>
  <c r="BD94" i="4"/>
  <c r="BC94" i="4"/>
  <c r="BB94" i="4"/>
  <c r="AZ94" i="4"/>
  <c r="AY94" i="4"/>
  <c r="AX94" i="4"/>
  <c r="AW94" i="4"/>
  <c r="AU94" i="4"/>
  <c r="AT94" i="4"/>
  <c r="AS94" i="4"/>
  <c r="AR94" i="4"/>
  <c r="AP94" i="4"/>
  <c r="AO94" i="4"/>
  <c r="AN94" i="4"/>
  <c r="AM94" i="4"/>
  <c r="AK94" i="4"/>
  <c r="AJ94" i="4"/>
  <c r="AI94" i="4"/>
  <c r="AH94" i="4"/>
  <c r="AF94" i="4"/>
  <c r="AE94" i="4"/>
  <c r="AD94" i="4"/>
  <c r="AC94" i="4"/>
  <c r="AA94" i="4"/>
  <c r="Z94" i="4"/>
  <c r="Y94" i="4"/>
  <c r="X94" i="4"/>
  <c r="V94" i="4"/>
  <c r="U94" i="4"/>
  <c r="T94" i="4"/>
  <c r="S94" i="4"/>
  <c r="Q94" i="4"/>
  <c r="P94" i="4"/>
  <c r="O94" i="4"/>
  <c r="N94" i="4"/>
  <c r="BT93" i="4"/>
  <c r="BS93" i="4"/>
  <c r="BR93" i="4"/>
  <c r="BQ93" i="4"/>
  <c r="BO93" i="4"/>
  <c r="BN93" i="4"/>
  <c r="BM93" i="4"/>
  <c r="BL93" i="4"/>
  <c r="BJ93" i="4"/>
  <c r="BI93" i="4"/>
  <c r="BH93" i="4"/>
  <c r="BG93" i="4"/>
  <c r="BE93" i="4"/>
  <c r="BD93" i="4"/>
  <c r="BC93" i="4"/>
  <c r="BB93" i="4"/>
  <c r="AZ93" i="4"/>
  <c r="AY93" i="4"/>
  <c r="AX93" i="4"/>
  <c r="AW93" i="4"/>
  <c r="AU93" i="4"/>
  <c r="AT93" i="4"/>
  <c r="AS93" i="4"/>
  <c r="AR93" i="4"/>
  <c r="AP93" i="4"/>
  <c r="AO93" i="4"/>
  <c r="AN93" i="4"/>
  <c r="AM93" i="4"/>
  <c r="AK93" i="4"/>
  <c r="AJ93" i="4"/>
  <c r="AI93" i="4"/>
  <c r="AH93" i="4"/>
  <c r="AF93" i="4"/>
  <c r="AE93" i="4"/>
  <c r="AD93" i="4"/>
  <c r="AC93" i="4"/>
  <c r="AA93" i="4"/>
  <c r="Z93" i="4"/>
  <c r="Y93" i="4"/>
  <c r="X93" i="4"/>
  <c r="V93" i="4"/>
  <c r="U93" i="4"/>
  <c r="T93" i="4"/>
  <c r="S93" i="4"/>
  <c r="Q93" i="4"/>
  <c r="P93" i="4"/>
  <c r="O93" i="4"/>
  <c r="N93" i="4"/>
  <c r="BU92"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BT91" i="4"/>
  <c r="BS91" i="4"/>
  <c r="BR91" i="4"/>
  <c r="BQ91" i="4"/>
  <c r="BP91" i="4"/>
  <c r="BO91" i="4"/>
  <c r="BN91" i="4"/>
  <c r="BM91" i="4"/>
  <c r="BL91" i="4"/>
  <c r="BK91" i="4"/>
  <c r="BJ91" i="4"/>
  <c r="BI91" i="4"/>
  <c r="BH91" i="4"/>
  <c r="BG91" i="4"/>
  <c r="BF91" i="4"/>
  <c r="BE91" i="4"/>
  <c r="BD91" i="4"/>
  <c r="BC91" i="4"/>
  <c r="BB91" i="4"/>
  <c r="BA91" i="4"/>
  <c r="AZ91" i="4"/>
  <c r="AY91" i="4"/>
  <c r="AX91" i="4"/>
  <c r="AW91" i="4"/>
  <c r="AV91" i="4"/>
  <c r="AU91" i="4"/>
  <c r="AT91" i="4"/>
  <c r="AS91" i="4"/>
  <c r="AR91" i="4"/>
  <c r="AQ91" i="4"/>
  <c r="AP91" i="4"/>
  <c r="AO91" i="4"/>
  <c r="AN91" i="4"/>
  <c r="AM91" i="4"/>
  <c r="AL91" i="4"/>
  <c r="AK91" i="4"/>
  <c r="AJ91" i="4"/>
  <c r="AI91" i="4"/>
  <c r="AH91" i="4"/>
  <c r="AG91" i="4"/>
  <c r="AF91" i="4"/>
  <c r="AE91" i="4"/>
  <c r="AD91" i="4"/>
  <c r="AC91" i="4"/>
  <c r="AB91" i="4"/>
  <c r="AA91" i="4"/>
  <c r="Z91" i="4"/>
  <c r="Y91" i="4"/>
  <c r="X91" i="4"/>
  <c r="W91" i="4"/>
  <c r="V91" i="4"/>
  <c r="U91" i="4"/>
  <c r="T91" i="4"/>
  <c r="S91" i="4"/>
  <c r="R91" i="4"/>
  <c r="Q91" i="4"/>
  <c r="P91" i="4"/>
  <c r="O91" i="4"/>
  <c r="N91" i="4"/>
  <c r="M91" i="4"/>
  <c r="BU90" i="4"/>
  <c r="BT90" i="4"/>
  <c r="BS90" i="4"/>
  <c r="BR90" i="4"/>
  <c r="BQ90" i="4"/>
  <c r="BP90" i="4"/>
  <c r="BO90" i="4"/>
  <c r="BN90" i="4"/>
  <c r="BM90" i="4"/>
  <c r="BL90" i="4"/>
  <c r="BK90" i="4"/>
  <c r="BJ90" i="4"/>
  <c r="BI90" i="4"/>
  <c r="BH90" i="4"/>
  <c r="BG90" i="4"/>
  <c r="BF90" i="4"/>
  <c r="BE90" i="4"/>
  <c r="BD90" i="4"/>
  <c r="BC90" i="4"/>
  <c r="BB90" i="4"/>
  <c r="BA90" i="4"/>
  <c r="AZ90" i="4"/>
  <c r="AY90" i="4"/>
  <c r="AX90" i="4"/>
  <c r="AW90" i="4"/>
  <c r="AV90" i="4"/>
  <c r="AU90" i="4"/>
  <c r="AT90" i="4"/>
  <c r="AS90" i="4"/>
  <c r="AR90" i="4"/>
  <c r="AQ90" i="4"/>
  <c r="AP90" i="4"/>
  <c r="AO90" i="4"/>
  <c r="AN90" i="4"/>
  <c r="AM90" i="4"/>
  <c r="AL90" i="4"/>
  <c r="AK90" i="4"/>
  <c r="AJ90" i="4"/>
  <c r="AI90" i="4"/>
  <c r="AH90" i="4"/>
  <c r="AG90" i="4"/>
  <c r="AF90" i="4"/>
  <c r="AE90" i="4"/>
  <c r="AD90" i="4"/>
  <c r="AC90" i="4"/>
  <c r="AB90" i="4"/>
  <c r="AA90" i="4"/>
  <c r="Z90" i="4"/>
  <c r="Y90" i="4"/>
  <c r="X90" i="4"/>
  <c r="W90" i="4"/>
  <c r="V90" i="4"/>
  <c r="U90" i="4"/>
  <c r="T90" i="4"/>
  <c r="S90" i="4"/>
  <c r="R90" i="4"/>
  <c r="Q90" i="4"/>
  <c r="P90" i="4"/>
  <c r="O90" i="4"/>
  <c r="N90" i="4"/>
  <c r="M90"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W89" i="4"/>
  <c r="V89" i="4"/>
  <c r="U89" i="4"/>
  <c r="T89" i="4"/>
  <c r="S89" i="4"/>
  <c r="R89" i="4"/>
  <c r="Q89" i="4"/>
  <c r="P89" i="4"/>
  <c r="O89" i="4"/>
  <c r="N89" i="4"/>
  <c r="M89" i="4"/>
  <c r="BT88" i="4"/>
  <c r="BS88" i="4"/>
  <c r="BR88" i="4"/>
  <c r="BQ88" i="4"/>
  <c r="BP88" i="4"/>
  <c r="BO88" i="4"/>
  <c r="BN88" i="4"/>
  <c r="BM88" i="4"/>
  <c r="BL88" i="4"/>
  <c r="BK88" i="4"/>
  <c r="BJ88" i="4"/>
  <c r="BI88" i="4"/>
  <c r="BH88" i="4"/>
  <c r="BG88" i="4"/>
  <c r="BF88" i="4"/>
  <c r="BE88" i="4"/>
  <c r="BD88" i="4"/>
  <c r="BC88" i="4"/>
  <c r="BB88" i="4"/>
  <c r="BA88" i="4"/>
  <c r="AZ88" i="4"/>
  <c r="AY88" i="4"/>
  <c r="AX88" i="4"/>
  <c r="AW88" i="4"/>
  <c r="AV88" i="4"/>
  <c r="AU88" i="4"/>
  <c r="AT88" i="4"/>
  <c r="AS88" i="4"/>
  <c r="AR88" i="4"/>
  <c r="AQ88" i="4"/>
  <c r="AP88" i="4"/>
  <c r="AO88" i="4"/>
  <c r="AN88" i="4"/>
  <c r="AM88" i="4"/>
  <c r="AL88" i="4"/>
  <c r="AK88" i="4"/>
  <c r="AJ88" i="4"/>
  <c r="AI88" i="4"/>
  <c r="AH88" i="4"/>
  <c r="AG88" i="4"/>
  <c r="AF88" i="4"/>
  <c r="AE88" i="4"/>
  <c r="AD88" i="4"/>
  <c r="AC88" i="4"/>
  <c r="AB88" i="4"/>
  <c r="AA88" i="4"/>
  <c r="Z88" i="4"/>
  <c r="Y88" i="4"/>
  <c r="X88" i="4"/>
  <c r="W88" i="4"/>
  <c r="V88" i="4"/>
  <c r="U88" i="4"/>
  <c r="T88" i="4"/>
  <c r="S88" i="4"/>
  <c r="R88" i="4"/>
  <c r="Q88" i="4"/>
  <c r="P88" i="4"/>
  <c r="O88" i="4"/>
  <c r="N88" i="4"/>
  <c r="M88" i="4"/>
  <c r="BT87" i="4"/>
  <c r="BS87" i="4"/>
  <c r="BR87" i="4"/>
  <c r="BQ87" i="4"/>
  <c r="BP87" i="4"/>
  <c r="BO87" i="4"/>
  <c r="BN87" i="4"/>
  <c r="BM87" i="4"/>
  <c r="BL87" i="4"/>
  <c r="BK87" i="4"/>
  <c r="BJ87" i="4"/>
  <c r="BI87" i="4"/>
  <c r="BH87" i="4"/>
  <c r="BG87" i="4"/>
  <c r="BF87" i="4"/>
  <c r="BE87" i="4"/>
  <c r="BD87" i="4"/>
  <c r="BC87" i="4"/>
  <c r="BB87" i="4"/>
  <c r="BA87" i="4"/>
  <c r="AZ87" i="4"/>
  <c r="AY87" i="4"/>
  <c r="AX87" i="4"/>
  <c r="AW87" i="4"/>
  <c r="AV87" i="4"/>
  <c r="AU87" i="4"/>
  <c r="AT87" i="4"/>
  <c r="AS87" i="4"/>
  <c r="AR87" i="4"/>
  <c r="AQ87" i="4"/>
  <c r="AP87" i="4"/>
  <c r="AO87" i="4"/>
  <c r="AN87" i="4"/>
  <c r="AM87" i="4"/>
  <c r="AL87" i="4"/>
  <c r="AK87" i="4"/>
  <c r="AJ87" i="4"/>
  <c r="AI87" i="4"/>
  <c r="AH87" i="4"/>
  <c r="AG87" i="4"/>
  <c r="AF87" i="4"/>
  <c r="AE87" i="4"/>
  <c r="AD87" i="4"/>
  <c r="AC87" i="4"/>
  <c r="AB87" i="4"/>
  <c r="AA87" i="4"/>
  <c r="Z87" i="4"/>
  <c r="Y87" i="4"/>
  <c r="X87" i="4"/>
  <c r="W87" i="4"/>
  <c r="V87" i="4"/>
  <c r="U87" i="4"/>
  <c r="T87" i="4"/>
  <c r="S87" i="4"/>
  <c r="R87" i="4"/>
  <c r="Q87" i="4"/>
  <c r="P87" i="4"/>
  <c r="O87" i="4"/>
  <c r="N87" i="4"/>
  <c r="M87" i="4"/>
  <c r="BT86" i="4"/>
  <c r="BS86" i="4"/>
  <c r="BR86" i="4"/>
  <c r="BQ86" i="4"/>
  <c r="BP86" i="4"/>
  <c r="BO86" i="4"/>
  <c r="BN86" i="4"/>
  <c r="BM86" i="4"/>
  <c r="BL86" i="4"/>
  <c r="BK86" i="4"/>
  <c r="BJ86" i="4"/>
  <c r="BI86" i="4"/>
  <c r="BH86" i="4"/>
  <c r="BG86" i="4"/>
  <c r="BF86" i="4"/>
  <c r="BE86" i="4"/>
  <c r="BD86" i="4"/>
  <c r="BC86" i="4"/>
  <c r="BB86" i="4"/>
  <c r="BA86" i="4"/>
  <c r="AZ86" i="4"/>
  <c r="AY86" i="4"/>
  <c r="AX86" i="4"/>
  <c r="AW86" i="4"/>
  <c r="AV86" i="4"/>
  <c r="AU86" i="4"/>
  <c r="AT86" i="4"/>
  <c r="AS86" i="4"/>
  <c r="AR86" i="4"/>
  <c r="AQ86" i="4"/>
  <c r="AP86" i="4"/>
  <c r="AO86" i="4"/>
  <c r="AN86" i="4"/>
  <c r="AM86" i="4"/>
  <c r="AL86" i="4"/>
  <c r="AK86" i="4"/>
  <c r="AJ86" i="4"/>
  <c r="AI86" i="4"/>
  <c r="AH86" i="4"/>
  <c r="AG86" i="4"/>
  <c r="AF86" i="4"/>
  <c r="AE86" i="4"/>
  <c r="AD86" i="4"/>
  <c r="AC86" i="4"/>
  <c r="AB86" i="4"/>
  <c r="AA86" i="4"/>
  <c r="Z86" i="4"/>
  <c r="Y86" i="4"/>
  <c r="X86" i="4"/>
  <c r="W86" i="4"/>
  <c r="V86" i="4"/>
  <c r="U86" i="4"/>
  <c r="T86" i="4"/>
  <c r="S86" i="4"/>
  <c r="R86" i="4"/>
  <c r="Q86" i="4"/>
  <c r="P86" i="4"/>
  <c r="O86" i="4"/>
  <c r="N86" i="4"/>
  <c r="M86" i="4"/>
  <c r="BT85" i="4"/>
  <c r="BS85" i="4"/>
  <c r="BR85" i="4"/>
  <c r="BQ85" i="4"/>
  <c r="BP85" i="4"/>
  <c r="BO85" i="4"/>
  <c r="BN85" i="4"/>
  <c r="BM85" i="4"/>
  <c r="BL85" i="4"/>
  <c r="BK85" i="4"/>
  <c r="BJ85" i="4"/>
  <c r="BI85" i="4"/>
  <c r="BH85" i="4"/>
  <c r="BG85" i="4"/>
  <c r="BF85" i="4"/>
  <c r="BE85" i="4"/>
  <c r="BD85" i="4"/>
  <c r="BC85" i="4"/>
  <c r="BB85" i="4"/>
  <c r="BA85" i="4"/>
  <c r="AZ85" i="4"/>
  <c r="AY85" i="4"/>
  <c r="AX85" i="4"/>
  <c r="AW85" i="4"/>
  <c r="AV85" i="4"/>
  <c r="AU85" i="4"/>
  <c r="AT85" i="4"/>
  <c r="AS85" i="4"/>
  <c r="AR85" i="4"/>
  <c r="AQ85" i="4"/>
  <c r="AP85" i="4"/>
  <c r="AO85" i="4"/>
  <c r="AN85" i="4"/>
  <c r="AM85" i="4"/>
  <c r="AL85" i="4"/>
  <c r="AK85" i="4"/>
  <c r="AJ85" i="4"/>
  <c r="AI85" i="4"/>
  <c r="AH85" i="4"/>
  <c r="AG85" i="4"/>
  <c r="AF85" i="4"/>
  <c r="AE85" i="4"/>
  <c r="AD85" i="4"/>
  <c r="AC85" i="4"/>
  <c r="AB85" i="4"/>
  <c r="AA85" i="4"/>
  <c r="Z85" i="4"/>
  <c r="Y85" i="4"/>
  <c r="X85" i="4"/>
  <c r="W85" i="4"/>
  <c r="V85" i="4"/>
  <c r="U85" i="4"/>
  <c r="T85" i="4"/>
  <c r="S85" i="4"/>
  <c r="R85" i="4"/>
  <c r="Q85" i="4"/>
  <c r="P85" i="4"/>
  <c r="O85" i="4"/>
  <c r="N85" i="4"/>
  <c r="M85" i="4"/>
  <c r="BT84" i="4"/>
  <c r="BS84" i="4"/>
  <c r="BR84" i="4"/>
  <c r="BQ84" i="4"/>
  <c r="BO84" i="4"/>
  <c r="BN84" i="4"/>
  <c r="BM84" i="4"/>
  <c r="BL84" i="4"/>
  <c r="BJ84" i="4"/>
  <c r="BI84" i="4"/>
  <c r="BH84" i="4"/>
  <c r="BG84" i="4"/>
  <c r="BE84" i="4"/>
  <c r="BD84" i="4"/>
  <c r="BC84" i="4"/>
  <c r="BB84" i="4"/>
  <c r="AZ84" i="4"/>
  <c r="AY84" i="4"/>
  <c r="AX84" i="4"/>
  <c r="AW84" i="4"/>
  <c r="AU84" i="4"/>
  <c r="AT84" i="4"/>
  <c r="AS84" i="4"/>
  <c r="AR84" i="4"/>
  <c r="AP84" i="4"/>
  <c r="AO84" i="4"/>
  <c r="AN84" i="4"/>
  <c r="AM84" i="4"/>
  <c r="AK84" i="4"/>
  <c r="AJ84" i="4"/>
  <c r="AI84" i="4"/>
  <c r="AH84" i="4"/>
  <c r="AF84" i="4"/>
  <c r="AE84" i="4"/>
  <c r="AD84" i="4"/>
  <c r="AC84" i="4"/>
  <c r="AA84" i="4"/>
  <c r="Z84" i="4"/>
  <c r="Y84" i="4"/>
  <c r="X84" i="4"/>
  <c r="V84" i="4"/>
  <c r="U84" i="4"/>
  <c r="T84" i="4"/>
  <c r="S84" i="4"/>
  <c r="Q84" i="4"/>
  <c r="P84" i="4"/>
  <c r="O84" i="4"/>
  <c r="N84" i="4"/>
  <c r="BT83" i="4"/>
  <c r="BS83" i="4"/>
  <c r="BR83" i="4"/>
  <c r="BQ83" i="4"/>
  <c r="BO83" i="4"/>
  <c r="BN83" i="4"/>
  <c r="BM83" i="4"/>
  <c r="BL83" i="4"/>
  <c r="BJ83" i="4"/>
  <c r="BI83" i="4"/>
  <c r="BH83" i="4"/>
  <c r="BG83" i="4"/>
  <c r="BE83" i="4"/>
  <c r="BD83" i="4"/>
  <c r="BC83" i="4"/>
  <c r="BB83" i="4"/>
  <c r="AZ83" i="4"/>
  <c r="AY83" i="4"/>
  <c r="AX83" i="4"/>
  <c r="AW83" i="4"/>
  <c r="AU83" i="4"/>
  <c r="AT83" i="4"/>
  <c r="AS83" i="4"/>
  <c r="AR83" i="4"/>
  <c r="AP83" i="4"/>
  <c r="AO83" i="4"/>
  <c r="AN83" i="4"/>
  <c r="AM83" i="4"/>
  <c r="AK83" i="4"/>
  <c r="AJ83" i="4"/>
  <c r="AI83" i="4"/>
  <c r="AH83" i="4"/>
  <c r="AF83" i="4"/>
  <c r="AE83" i="4"/>
  <c r="AD83" i="4"/>
  <c r="AC83" i="4"/>
  <c r="AA83" i="4"/>
  <c r="Z83" i="4"/>
  <c r="Y83" i="4"/>
  <c r="X83" i="4"/>
  <c r="V83" i="4"/>
  <c r="U83" i="4"/>
  <c r="T83" i="4"/>
  <c r="S83" i="4"/>
  <c r="Q83" i="4"/>
  <c r="P83" i="4"/>
  <c r="O83" i="4"/>
  <c r="N83" i="4"/>
  <c r="ET78" i="4"/>
  <c r="ET76" i="4"/>
  <c r="EM75" i="4"/>
  <c r="ET75" i="4" s="1"/>
  <c r="EH75" i="4"/>
  <c r="EC75" i="4"/>
  <c r="DX75" i="4"/>
  <c r="DS75" i="4"/>
  <c r="DN75" i="4"/>
  <c r="DI75" i="4"/>
  <c r="DD75" i="4"/>
  <c r="CY75" i="4"/>
  <c r="CT75" i="4"/>
  <c r="CO75" i="4"/>
  <c r="CJ75" i="4"/>
  <c r="CE75" i="4"/>
  <c r="BZ75" i="4"/>
  <c r="BU75" i="4"/>
  <c r="BP75" i="4"/>
  <c r="BK75" i="4"/>
  <c r="BF75" i="4"/>
  <c r="BA75" i="4"/>
  <c r="AV75" i="4"/>
  <c r="AQ75" i="4"/>
  <c r="AL75" i="4"/>
  <c r="AG75" i="4"/>
  <c r="AB75" i="4"/>
  <c r="W75" i="4"/>
  <c r="R75" i="4"/>
  <c r="M75" i="4"/>
  <c r="H75" i="4"/>
  <c r="ET74" i="4"/>
  <c r="EM73" i="4"/>
  <c r="ET73" i="4" s="1"/>
  <c r="EH73" i="4"/>
  <c r="EC73" i="4"/>
  <c r="DX73" i="4"/>
  <c r="DS73" i="4"/>
  <c r="DN73" i="4"/>
  <c r="DI73" i="4"/>
  <c r="DD73" i="4"/>
  <c r="CY73" i="4"/>
  <c r="CT73" i="4"/>
  <c r="CO73" i="4"/>
  <c r="CJ73" i="4"/>
  <c r="CE73" i="4"/>
  <c r="BZ73" i="4"/>
  <c r="BU73" i="4"/>
  <c r="BP73" i="4"/>
  <c r="BK73" i="4"/>
  <c r="BF73" i="4"/>
  <c r="BA73" i="4"/>
  <c r="AV73" i="4"/>
  <c r="AQ73" i="4"/>
  <c r="AL73" i="4"/>
  <c r="AG73" i="4"/>
  <c r="AB73" i="4"/>
  <c r="W73" i="4"/>
  <c r="R73" i="4"/>
  <c r="M73" i="4"/>
  <c r="H73" i="4"/>
  <c r="ET72" i="4"/>
  <c r="EM72" i="4"/>
  <c r="EH72" i="4"/>
  <c r="EC72" i="4"/>
  <c r="DX72" i="4"/>
  <c r="DS72" i="4"/>
  <c r="DS67" i="4" s="1"/>
  <c r="DN72" i="4"/>
  <c r="DI72" i="4"/>
  <c r="DD72" i="4"/>
  <c r="CY72" i="4"/>
  <c r="CT72" i="4"/>
  <c r="CO72" i="4"/>
  <c r="CO67" i="4" s="1"/>
  <c r="CJ72" i="4"/>
  <c r="CE72" i="4"/>
  <c r="BZ72" i="4"/>
  <c r="BU72" i="4"/>
  <c r="BP72" i="4"/>
  <c r="BK72" i="4"/>
  <c r="BK67" i="4" s="1"/>
  <c r="BF72" i="4"/>
  <c r="BA72" i="4"/>
  <c r="AV72" i="4"/>
  <c r="AQ72" i="4"/>
  <c r="AL72" i="4"/>
  <c r="AG72" i="4"/>
  <c r="AG67" i="4" s="1"/>
  <c r="AB72" i="4"/>
  <c r="W72" i="4"/>
  <c r="R72" i="4"/>
  <c r="M72" i="4"/>
  <c r="H72" i="4"/>
  <c r="EM71" i="4"/>
  <c r="ET71" i="4" s="1"/>
  <c r="EH71" i="4"/>
  <c r="EC71" i="4"/>
  <c r="DX71" i="4"/>
  <c r="DS71" i="4"/>
  <c r="DN71" i="4"/>
  <c r="DI71" i="4"/>
  <c r="DD71" i="4"/>
  <c r="CY71" i="4"/>
  <c r="CT71" i="4"/>
  <c r="CO71" i="4"/>
  <c r="CJ71" i="4"/>
  <c r="CE71" i="4"/>
  <c r="BZ71" i="4"/>
  <c r="BU71" i="4"/>
  <c r="BP71" i="4"/>
  <c r="BK71" i="4"/>
  <c r="BF71" i="4"/>
  <c r="BA71" i="4"/>
  <c r="AV71" i="4"/>
  <c r="AQ71" i="4"/>
  <c r="AL71" i="4"/>
  <c r="AG71" i="4"/>
  <c r="AB71" i="4"/>
  <c r="W71" i="4"/>
  <c r="R71" i="4"/>
  <c r="M71" i="4"/>
  <c r="H71" i="4"/>
  <c r="EM70" i="4"/>
  <c r="EH70" i="4"/>
  <c r="EC70" i="4"/>
  <c r="DX70" i="4"/>
  <c r="DS70" i="4"/>
  <c r="DN70" i="4"/>
  <c r="DI70" i="4"/>
  <c r="DD70" i="4"/>
  <c r="CY70" i="4"/>
  <c r="CT70" i="4"/>
  <c r="CO70" i="4"/>
  <c r="CJ70" i="4"/>
  <c r="CE70" i="4"/>
  <c r="BZ70" i="4"/>
  <c r="BU70" i="4"/>
  <c r="BP70" i="4"/>
  <c r="BK70" i="4"/>
  <c r="BF70" i="4"/>
  <c r="BA70" i="4"/>
  <c r="AV70" i="4"/>
  <c r="AQ70" i="4"/>
  <c r="AL70" i="4"/>
  <c r="AG70" i="4"/>
  <c r="AB70" i="4"/>
  <c r="W70" i="4"/>
  <c r="R70" i="4"/>
  <c r="M70" i="4"/>
  <c r="H70" i="4"/>
  <c r="ET69" i="4"/>
  <c r="EM68" i="4"/>
  <c r="EH68" i="4"/>
  <c r="EH67" i="4" s="1"/>
  <c r="EC68" i="4"/>
  <c r="DX68" i="4"/>
  <c r="DX67" i="4" s="1"/>
  <c r="DS68" i="4"/>
  <c r="DN68" i="4"/>
  <c r="DN67" i="4" s="1"/>
  <c r="DI68" i="4"/>
  <c r="DD68" i="4"/>
  <c r="DD67" i="4" s="1"/>
  <c r="CY68" i="4"/>
  <c r="CT68" i="4"/>
  <c r="CT67" i="4" s="1"/>
  <c r="CO68" i="4"/>
  <c r="CJ68" i="4"/>
  <c r="CJ67" i="4" s="1"/>
  <c r="CE68" i="4"/>
  <c r="BZ68" i="4"/>
  <c r="BU68" i="4"/>
  <c r="BP68" i="4"/>
  <c r="BP67" i="4" s="1"/>
  <c r="BK68" i="4"/>
  <c r="BF68" i="4"/>
  <c r="BF67" i="4" s="1"/>
  <c r="BA68" i="4"/>
  <c r="AV68" i="4"/>
  <c r="AV67" i="4" s="1"/>
  <c r="AQ68" i="4"/>
  <c r="AL68" i="4"/>
  <c r="AL67" i="4" s="1"/>
  <c r="AG68" i="4"/>
  <c r="AB68" i="4"/>
  <c r="AB67" i="4" s="1"/>
  <c r="W68" i="4"/>
  <c r="R68" i="4"/>
  <c r="R67" i="4" s="1"/>
  <c r="M68" i="4"/>
  <c r="H68" i="4"/>
  <c r="H67" i="4" s="1"/>
  <c r="EC67" i="4"/>
  <c r="CY67" i="4"/>
  <c r="BZ67" i="4"/>
  <c r="BU67" i="4"/>
  <c r="AQ67" i="4"/>
  <c r="M67" i="4"/>
  <c r="ET66" i="4"/>
  <c r="ET65" i="4"/>
  <c r="EM64" i="4"/>
  <c r="ET64" i="4" s="1"/>
  <c r="EH64" i="4"/>
  <c r="EC64" i="4"/>
  <c r="DX64" i="4"/>
  <c r="DS64" i="4"/>
  <c r="DN64" i="4"/>
  <c r="DI64" i="4"/>
  <c r="DD64" i="4"/>
  <c r="CY64" i="4"/>
  <c r="CT64" i="4"/>
  <c r="CO64" i="4"/>
  <c r="CJ64" i="4"/>
  <c r="CE64" i="4"/>
  <c r="BU64" i="4"/>
  <c r="BP64" i="4"/>
  <c r="BK64" i="4"/>
  <c r="BF64" i="4"/>
  <c r="BA64" i="4"/>
  <c r="AV64" i="4"/>
  <c r="AQ64" i="4"/>
  <c r="AL64" i="4"/>
  <c r="AG64" i="4"/>
  <c r="AB64" i="4"/>
  <c r="W64" i="4"/>
  <c r="R64" i="4"/>
  <c r="M64" i="4"/>
  <c r="EM63" i="4"/>
  <c r="ET63" i="4" s="1"/>
  <c r="EH63" i="4"/>
  <c r="EC63" i="4"/>
  <c r="DX63" i="4"/>
  <c r="DS63" i="4"/>
  <c r="DN63" i="4"/>
  <c r="DI63" i="4"/>
  <c r="DD63" i="4"/>
  <c r="CY63" i="4"/>
  <c r="CT63" i="4"/>
  <c r="CO63" i="4"/>
  <c r="CJ63" i="4"/>
  <c r="CE63" i="4"/>
  <c r="BU63" i="4"/>
  <c r="BP63" i="4"/>
  <c r="BK63" i="4"/>
  <c r="BF63" i="4"/>
  <c r="BA63" i="4"/>
  <c r="AV63" i="4"/>
  <c r="AQ63" i="4"/>
  <c r="AL63" i="4"/>
  <c r="AG63" i="4"/>
  <c r="AB63" i="4"/>
  <c r="W63" i="4"/>
  <c r="R63" i="4"/>
  <c r="M63" i="4"/>
  <c r="ET62" i="4"/>
  <c r="ET61" i="4"/>
  <c r="EM61" i="4"/>
  <c r="EH61" i="4"/>
  <c r="EC61" i="4"/>
  <c r="DX61" i="4"/>
  <c r="DS61" i="4"/>
  <c r="DN61" i="4"/>
  <c r="DN59" i="4" s="1"/>
  <c r="DI61" i="4"/>
  <c r="DD61" i="4"/>
  <c r="CY61" i="4"/>
  <c r="CT61" i="4"/>
  <c r="CO61" i="4"/>
  <c r="CJ61" i="4"/>
  <c r="CE61" i="4"/>
  <c r="BU61" i="4"/>
  <c r="BP61" i="4"/>
  <c r="BK61" i="4"/>
  <c r="BF61" i="4"/>
  <c r="BA61" i="4"/>
  <c r="BA59" i="4" s="1"/>
  <c r="AV61" i="4"/>
  <c r="AQ61" i="4"/>
  <c r="AL61" i="4"/>
  <c r="AG61" i="4"/>
  <c r="AB61" i="4"/>
  <c r="AB59" i="4" s="1"/>
  <c r="W61" i="4"/>
  <c r="W59" i="4" s="1"/>
  <c r="R61" i="4"/>
  <c r="M61" i="4"/>
  <c r="ET60" i="4"/>
  <c r="EM60" i="4"/>
  <c r="EH60" i="4"/>
  <c r="EH59" i="4" s="1"/>
  <c r="EC60" i="4"/>
  <c r="EC59" i="4" s="1"/>
  <c r="DX60" i="4"/>
  <c r="DS60" i="4"/>
  <c r="DN60" i="4"/>
  <c r="DI60" i="4"/>
  <c r="DD60" i="4"/>
  <c r="DD59" i="4" s="1"/>
  <c r="CY60" i="4"/>
  <c r="CY59" i="4" s="1"/>
  <c r="CT60" i="4"/>
  <c r="CO60" i="4"/>
  <c r="CJ60" i="4"/>
  <c r="CE60" i="4"/>
  <c r="BU60" i="4"/>
  <c r="BU59" i="4" s="1"/>
  <c r="BP60" i="4"/>
  <c r="BP59" i="4" s="1"/>
  <c r="BK60" i="4"/>
  <c r="BF60" i="4"/>
  <c r="BA60" i="4"/>
  <c r="AV60" i="4"/>
  <c r="AQ60" i="4"/>
  <c r="AQ59" i="4" s="1"/>
  <c r="AL60" i="4"/>
  <c r="AG60" i="4"/>
  <c r="AB60" i="4"/>
  <c r="W60" i="4"/>
  <c r="R60" i="4"/>
  <c r="M60" i="4"/>
  <c r="M59" i="4" s="1"/>
  <c r="ET59" i="4"/>
  <c r="EM59" i="4"/>
  <c r="DS59" i="4"/>
  <c r="DI59" i="4"/>
  <c r="CO59" i="4"/>
  <c r="CJ59" i="4"/>
  <c r="CE59" i="4"/>
  <c r="BF59" i="4"/>
  <c r="AV59" i="4"/>
  <c r="AL59" i="4"/>
  <c r="R59" i="4"/>
  <c r="ET58" i="4"/>
  <c r="EM57" i="4"/>
  <c r="EH57" i="4"/>
  <c r="EC57" i="4"/>
  <c r="DX57" i="4"/>
  <c r="DS57" i="4"/>
  <c r="DN57" i="4"/>
  <c r="DI57" i="4"/>
  <c r="DD57" i="4"/>
  <c r="CY57" i="4"/>
  <c r="CT57" i="4"/>
  <c r="CO57" i="4"/>
  <c r="CJ57" i="4"/>
  <c r="CE57" i="4"/>
  <c r="CE52" i="4" s="1"/>
  <c r="BZ57" i="4"/>
  <c r="BU57" i="4"/>
  <c r="BP57" i="4"/>
  <c r="BK57" i="4"/>
  <c r="BF57" i="4"/>
  <c r="BA57" i="4"/>
  <c r="AV57" i="4"/>
  <c r="AQ57" i="4"/>
  <c r="AL57" i="4"/>
  <c r="AG57" i="4"/>
  <c r="AB57" i="4"/>
  <c r="W57" i="4"/>
  <c r="R57" i="4"/>
  <c r="M57" i="4"/>
  <c r="H57" i="4"/>
  <c r="EM56" i="4"/>
  <c r="EH56" i="4"/>
  <c r="EC56" i="4"/>
  <c r="DX56" i="4"/>
  <c r="DS56" i="4"/>
  <c r="DN56" i="4"/>
  <c r="DI56" i="4"/>
  <c r="DD56" i="4"/>
  <c r="CY56" i="4"/>
  <c r="CT56" i="4"/>
  <c r="CO56" i="4"/>
  <c r="CJ56" i="4"/>
  <c r="CE56" i="4"/>
  <c r="BZ56" i="4"/>
  <c r="ET56" i="4" s="1"/>
  <c r="BU56" i="4"/>
  <c r="BP56" i="4"/>
  <c r="BK56" i="4"/>
  <c r="BF56" i="4"/>
  <c r="BA56" i="4"/>
  <c r="AV56" i="4"/>
  <c r="AQ56" i="4"/>
  <c r="AL56" i="4"/>
  <c r="AG56" i="4"/>
  <c r="AB56" i="4"/>
  <c r="W56" i="4"/>
  <c r="R56" i="4"/>
  <c r="M56" i="4"/>
  <c r="H56" i="4"/>
  <c r="ET55" i="4"/>
  <c r="ET54" i="4"/>
  <c r="EM54" i="4"/>
  <c r="EH54" i="4"/>
  <c r="EC54" i="4"/>
  <c r="EC52" i="4" s="1"/>
  <c r="DX54" i="4"/>
  <c r="DS54" i="4"/>
  <c r="DN54" i="4"/>
  <c r="DI54" i="4"/>
  <c r="DD54" i="4"/>
  <c r="CY54" i="4"/>
  <c r="CT54" i="4"/>
  <c r="CO54" i="4"/>
  <c r="CJ54" i="4"/>
  <c r="CE54" i="4"/>
  <c r="BU54" i="4"/>
  <c r="BU52" i="4" s="1"/>
  <c r="BP54" i="4"/>
  <c r="BK54" i="4"/>
  <c r="BF54" i="4"/>
  <c r="BA54" i="4"/>
  <c r="BA52" i="4" s="1"/>
  <c r="AV54" i="4"/>
  <c r="AQ54" i="4"/>
  <c r="AQ52" i="4" s="1"/>
  <c r="AL54" i="4"/>
  <c r="AG54" i="4"/>
  <c r="AB54" i="4"/>
  <c r="W54" i="4"/>
  <c r="R54" i="4"/>
  <c r="M54" i="4"/>
  <c r="H54" i="4"/>
  <c r="EM53" i="4"/>
  <c r="EH53" i="4"/>
  <c r="EC53" i="4"/>
  <c r="DX53" i="4"/>
  <c r="DX52" i="4" s="1"/>
  <c r="DS53" i="4"/>
  <c r="DS52" i="4" s="1"/>
  <c r="DN53" i="4"/>
  <c r="DI53" i="4"/>
  <c r="DD53" i="4"/>
  <c r="CY53" i="4"/>
  <c r="CT53" i="4"/>
  <c r="CT52" i="4" s="1"/>
  <c r="CO53" i="4"/>
  <c r="CO52" i="4" s="1"/>
  <c r="CJ53" i="4"/>
  <c r="CE53" i="4"/>
  <c r="BZ53" i="4"/>
  <c r="BU53" i="4"/>
  <c r="BP53" i="4"/>
  <c r="BK53" i="4"/>
  <c r="BK52" i="4" s="1"/>
  <c r="BF53" i="4"/>
  <c r="BA53" i="4"/>
  <c r="AV53" i="4"/>
  <c r="AQ53" i="4"/>
  <c r="AL53" i="4"/>
  <c r="AG53" i="4"/>
  <c r="AG52" i="4" s="1"/>
  <c r="AB53" i="4"/>
  <c r="W53" i="4"/>
  <c r="R53" i="4"/>
  <c r="M53" i="4"/>
  <c r="H53" i="4"/>
  <c r="DN52" i="4"/>
  <c r="DI52" i="4"/>
  <c r="CY52" i="4"/>
  <c r="CJ52" i="4"/>
  <c r="BF52" i="4"/>
  <c r="AB52" i="4"/>
  <c r="W52" i="4"/>
  <c r="M52" i="4"/>
  <c r="ET51" i="4"/>
  <c r="ET50" i="4"/>
  <c r="EM50" i="4"/>
  <c r="EH50" i="4"/>
  <c r="EC50" i="4"/>
  <c r="DX50" i="4"/>
  <c r="DS50" i="4"/>
  <c r="DN50" i="4"/>
  <c r="DI50" i="4"/>
  <c r="DD50" i="4"/>
  <c r="CY50" i="4"/>
  <c r="CT50" i="4"/>
  <c r="CO50" i="4"/>
  <c r="CJ50" i="4"/>
  <c r="CE50" i="4"/>
  <c r="BZ50" i="4"/>
  <c r="BU50" i="4"/>
  <c r="BU45" i="4" s="1"/>
  <c r="BU44" i="4" s="1"/>
  <c r="BP50" i="4"/>
  <c r="BK50" i="4"/>
  <c r="BF50" i="4"/>
  <c r="BF45" i="4" s="1"/>
  <c r="BA50" i="4"/>
  <c r="AV50" i="4"/>
  <c r="AQ50" i="4"/>
  <c r="AL50" i="4"/>
  <c r="AG50" i="4"/>
  <c r="AB50" i="4"/>
  <c r="W50" i="4"/>
  <c r="R50" i="4"/>
  <c r="M50" i="4"/>
  <c r="H50" i="4"/>
  <c r="EM49" i="4"/>
  <c r="ET49" i="4" s="1"/>
  <c r="EH49" i="4"/>
  <c r="EC49" i="4"/>
  <c r="DX49" i="4"/>
  <c r="DS49" i="4"/>
  <c r="DN49" i="4"/>
  <c r="DI49" i="4"/>
  <c r="DD49" i="4"/>
  <c r="CY49" i="4"/>
  <c r="CT49" i="4"/>
  <c r="CO49" i="4"/>
  <c r="CJ49" i="4"/>
  <c r="CE49" i="4"/>
  <c r="BZ49" i="4"/>
  <c r="BU49" i="4"/>
  <c r="BP49" i="4"/>
  <c r="BK49" i="4"/>
  <c r="BF49" i="4"/>
  <c r="BA49" i="4"/>
  <c r="AV49" i="4"/>
  <c r="AQ49" i="4"/>
  <c r="AL49" i="4"/>
  <c r="AG49" i="4"/>
  <c r="AB49" i="4"/>
  <c r="W49" i="4"/>
  <c r="R49" i="4"/>
  <c r="M49" i="4"/>
  <c r="H49" i="4"/>
  <c r="ET48" i="4"/>
  <c r="EM47" i="4"/>
  <c r="ET47" i="4" s="1"/>
  <c r="EH47" i="4"/>
  <c r="EC47" i="4"/>
  <c r="DX47" i="4"/>
  <c r="DX45" i="4" s="1"/>
  <c r="DS47" i="4"/>
  <c r="DN47" i="4"/>
  <c r="DI47" i="4"/>
  <c r="DD47" i="4"/>
  <c r="CY47" i="4"/>
  <c r="CT47" i="4"/>
  <c r="CO47" i="4"/>
  <c r="CJ47" i="4"/>
  <c r="CE47" i="4"/>
  <c r="BZ47" i="4"/>
  <c r="BZ45" i="4" s="1"/>
  <c r="BU47" i="4"/>
  <c r="BP47" i="4"/>
  <c r="BP45" i="4" s="1"/>
  <c r="BK47" i="4"/>
  <c r="BF47" i="4"/>
  <c r="BA47" i="4"/>
  <c r="AV47" i="4"/>
  <c r="AQ47" i="4"/>
  <c r="AL47" i="4"/>
  <c r="AL45" i="4" s="1"/>
  <c r="AG47" i="4"/>
  <c r="AB47" i="4"/>
  <c r="W47" i="4"/>
  <c r="R47" i="4"/>
  <c r="M47" i="4"/>
  <c r="H47" i="4"/>
  <c r="EM46" i="4"/>
  <c r="EH46" i="4"/>
  <c r="EC46" i="4"/>
  <c r="DX46" i="4"/>
  <c r="DS46" i="4"/>
  <c r="DS45" i="4" s="1"/>
  <c r="DN46" i="4"/>
  <c r="DI46" i="4"/>
  <c r="DI45" i="4" s="1"/>
  <c r="DD46" i="4"/>
  <c r="CY46" i="4"/>
  <c r="CY45" i="4" s="1"/>
  <c r="CY44" i="4" s="1"/>
  <c r="CT46" i="4"/>
  <c r="CO46" i="4"/>
  <c r="CO45" i="4" s="1"/>
  <c r="CJ46" i="4"/>
  <c r="CE46" i="4"/>
  <c r="CE45" i="4" s="1"/>
  <c r="BZ46" i="4"/>
  <c r="BU46" i="4"/>
  <c r="BP46" i="4"/>
  <c r="BK46" i="4"/>
  <c r="BK45" i="4" s="1"/>
  <c r="BF46" i="4"/>
  <c r="BA46" i="4"/>
  <c r="BA45" i="4" s="1"/>
  <c r="AV46" i="4"/>
  <c r="AQ46" i="4"/>
  <c r="AL46" i="4"/>
  <c r="AG46" i="4"/>
  <c r="AG45" i="4" s="1"/>
  <c r="AB46" i="4"/>
  <c r="W46" i="4"/>
  <c r="W45" i="4" s="1"/>
  <c r="R46" i="4"/>
  <c r="M46" i="4"/>
  <c r="M45" i="4" s="1"/>
  <c r="M44" i="4" s="1"/>
  <c r="H46" i="4"/>
  <c r="EH45" i="4"/>
  <c r="EC45" i="4"/>
  <c r="DN45" i="4"/>
  <c r="DD45" i="4"/>
  <c r="CT45" i="4"/>
  <c r="CJ45" i="4"/>
  <c r="CJ44" i="4" s="1"/>
  <c r="AV45" i="4"/>
  <c r="AQ45" i="4"/>
  <c r="AQ44" i="4" s="1"/>
  <c r="AB45" i="4"/>
  <c r="R45" i="4"/>
  <c r="H45" i="4"/>
  <c r="ET43" i="4"/>
  <c r="ET42" i="4"/>
  <c r="ET41" i="4"/>
  <c r="EM40" i="4"/>
  <c r="EH40" i="4"/>
  <c r="EH39" i="4" s="1"/>
  <c r="EC40" i="4"/>
  <c r="EC39" i="4" s="1"/>
  <c r="DX40" i="4"/>
  <c r="DS40" i="4"/>
  <c r="DS39" i="4" s="1"/>
  <c r="DN40" i="4"/>
  <c r="DI40" i="4"/>
  <c r="DI39" i="4" s="1"/>
  <c r="DD40" i="4"/>
  <c r="CY40" i="4"/>
  <c r="CY39" i="4" s="1"/>
  <c r="CT40" i="4"/>
  <c r="CO40" i="4"/>
  <c r="CO39" i="4" s="1"/>
  <c r="CJ40" i="4"/>
  <c r="CE40" i="4"/>
  <c r="CE39" i="4" s="1"/>
  <c r="BU40" i="4"/>
  <c r="BU111" i="4" s="1"/>
  <c r="BP40" i="4"/>
  <c r="BK40" i="4"/>
  <c r="BF40" i="4"/>
  <c r="BF111" i="4" s="1"/>
  <c r="BA40" i="4"/>
  <c r="AV40" i="4"/>
  <c r="AQ40" i="4"/>
  <c r="AQ111" i="4" s="1"/>
  <c r="AL40" i="4"/>
  <c r="AG40" i="4"/>
  <c r="AB40" i="4"/>
  <c r="AB111" i="4" s="1"/>
  <c r="W40" i="4"/>
  <c r="R40" i="4"/>
  <c r="M40" i="4"/>
  <c r="M111" i="4" s="1"/>
  <c r="DX39" i="4"/>
  <c r="DN39" i="4"/>
  <c r="DD39" i="4"/>
  <c r="CT39" i="4"/>
  <c r="CJ39" i="4"/>
  <c r="BK39" i="4"/>
  <c r="BF39" i="4"/>
  <c r="BF110" i="4" s="1"/>
  <c r="BA39" i="4"/>
  <c r="AG39" i="4"/>
  <c r="W39" i="4"/>
  <c r="M39" i="4"/>
  <c r="M110" i="4" s="1"/>
  <c r="ET38" i="4"/>
  <c r="EM37" i="4"/>
  <c r="ET37" i="4" s="1"/>
  <c r="EH37" i="4"/>
  <c r="EC37" i="4"/>
  <c r="DX37" i="4"/>
  <c r="DX35" i="4" s="1"/>
  <c r="DS37" i="4"/>
  <c r="DN37" i="4"/>
  <c r="DI37" i="4"/>
  <c r="DD37" i="4"/>
  <c r="CY37" i="4"/>
  <c r="CT37" i="4"/>
  <c r="CO37" i="4"/>
  <c r="CJ37" i="4"/>
  <c r="CE37" i="4"/>
  <c r="BZ37" i="4"/>
  <c r="BZ35" i="4" s="1"/>
  <c r="BU37" i="4"/>
  <c r="BP37" i="4"/>
  <c r="BP35" i="4" s="1"/>
  <c r="BP106" i="4" s="1"/>
  <c r="BK37" i="4"/>
  <c r="BK108" i="4" s="1"/>
  <c r="BF37" i="4"/>
  <c r="BA37" i="4"/>
  <c r="BA108" i="4" s="1"/>
  <c r="AV37" i="4"/>
  <c r="AV108" i="4" s="1"/>
  <c r="AQ37" i="4"/>
  <c r="AL37" i="4"/>
  <c r="AL35" i="4" s="1"/>
  <c r="AL106" i="4" s="1"/>
  <c r="AG37" i="4"/>
  <c r="AG108" i="4" s="1"/>
  <c r="AB37" i="4"/>
  <c r="W37" i="4"/>
  <c r="W108" i="4" s="1"/>
  <c r="R37" i="4"/>
  <c r="R108" i="4" s="1"/>
  <c r="M37" i="4"/>
  <c r="H37" i="4"/>
  <c r="EM36" i="4"/>
  <c r="EH36" i="4"/>
  <c r="EC36" i="4"/>
  <c r="DX36" i="4"/>
  <c r="DS36" i="4"/>
  <c r="DS35" i="4" s="1"/>
  <c r="DN36" i="4"/>
  <c r="DI36" i="4"/>
  <c r="DI35" i="4" s="1"/>
  <c r="DD36" i="4"/>
  <c r="CY36" i="4"/>
  <c r="CY35" i="4" s="1"/>
  <c r="CT36" i="4"/>
  <c r="CO36" i="4"/>
  <c r="CO35" i="4" s="1"/>
  <c r="CJ36" i="4"/>
  <c r="CE36" i="4"/>
  <c r="CE35" i="4" s="1"/>
  <c r="BZ36" i="4"/>
  <c r="BU36" i="4"/>
  <c r="BP36" i="4"/>
  <c r="BP107" i="4" s="1"/>
  <c r="BK36" i="4"/>
  <c r="BK35" i="4" s="1"/>
  <c r="BF36" i="4"/>
  <c r="BF107" i="4" s="1"/>
  <c r="BA36" i="4"/>
  <c r="AV36" i="4"/>
  <c r="AV107" i="4" s="1"/>
  <c r="AQ36" i="4"/>
  <c r="AL36" i="4"/>
  <c r="AL107" i="4" s="1"/>
  <c r="AG36" i="4"/>
  <c r="AG35" i="4" s="1"/>
  <c r="AB36" i="4"/>
  <c r="AB107" i="4" s="1"/>
  <c r="W36" i="4"/>
  <c r="R36" i="4"/>
  <c r="R107" i="4" s="1"/>
  <c r="M36" i="4"/>
  <c r="M35" i="4" s="1"/>
  <c r="M106" i="4" s="1"/>
  <c r="H36" i="4"/>
  <c r="EH35" i="4"/>
  <c r="EC35" i="4"/>
  <c r="DN35" i="4"/>
  <c r="DD35" i="4"/>
  <c r="CT35" i="4"/>
  <c r="CJ35" i="4"/>
  <c r="BU35" i="4"/>
  <c r="BF35" i="4"/>
  <c r="AV35" i="4"/>
  <c r="AV106" i="4" s="1"/>
  <c r="AQ35" i="4"/>
  <c r="AB35" i="4"/>
  <c r="R35" i="4"/>
  <c r="H35" i="4"/>
  <c r="ET34" i="4"/>
  <c r="EM33" i="4"/>
  <c r="EH33" i="4"/>
  <c r="EC33" i="4"/>
  <c r="BK104" i="4" s="1"/>
  <c r="DX33" i="4"/>
  <c r="DS33" i="4"/>
  <c r="DN33" i="4"/>
  <c r="DI33" i="4"/>
  <c r="DD33" i="4"/>
  <c r="CY33" i="4"/>
  <c r="CT33" i="4"/>
  <c r="CO33" i="4"/>
  <c r="CJ33" i="4"/>
  <c r="CE33" i="4"/>
  <c r="BZ33" i="4"/>
  <c r="ET33" i="4" s="1"/>
  <c r="BU33" i="4"/>
  <c r="BU104" i="4" s="1"/>
  <c r="BP33" i="4"/>
  <c r="BP104" i="4" s="1"/>
  <c r="BK33" i="4"/>
  <c r="BF33" i="4"/>
  <c r="BA33" i="4"/>
  <c r="BA104" i="4" s="1"/>
  <c r="AV33" i="4"/>
  <c r="AV104" i="4" s="1"/>
  <c r="AQ33" i="4"/>
  <c r="AQ104" i="4" s="1"/>
  <c r="AL33" i="4"/>
  <c r="AL104" i="4" s="1"/>
  <c r="AG33" i="4"/>
  <c r="AB33" i="4"/>
  <c r="W33" i="4"/>
  <c r="W104" i="4" s="1"/>
  <c r="R33" i="4"/>
  <c r="R104" i="4" s="1"/>
  <c r="M33" i="4"/>
  <c r="M104" i="4" s="1"/>
  <c r="H33" i="4"/>
  <c r="EM32" i="4"/>
  <c r="ET32" i="4" s="1"/>
  <c r="EH32" i="4"/>
  <c r="EC32" i="4"/>
  <c r="DX32" i="4"/>
  <c r="DS32" i="4"/>
  <c r="DN32" i="4"/>
  <c r="DI32" i="4"/>
  <c r="DI30" i="4" s="1"/>
  <c r="DD32" i="4"/>
  <c r="CY32" i="4"/>
  <c r="CY30" i="4" s="1"/>
  <c r="CT32" i="4"/>
  <c r="CO32" i="4"/>
  <c r="CJ32" i="4"/>
  <c r="CE32" i="4"/>
  <c r="CE30" i="4" s="1"/>
  <c r="BZ32" i="4"/>
  <c r="BU32" i="4"/>
  <c r="BU30" i="4" s="1"/>
  <c r="BP32" i="4"/>
  <c r="BP103" i="4" s="1"/>
  <c r="BK32" i="4"/>
  <c r="BF32" i="4"/>
  <c r="BA32" i="4"/>
  <c r="BA103" i="4" s="1"/>
  <c r="AV32" i="4"/>
  <c r="AV103" i="4" s="1"/>
  <c r="AQ32" i="4"/>
  <c r="AQ30" i="4" s="1"/>
  <c r="AL32" i="4"/>
  <c r="AL103" i="4" s="1"/>
  <c r="AG32" i="4"/>
  <c r="AB32" i="4"/>
  <c r="W32" i="4"/>
  <c r="W103" i="4" s="1"/>
  <c r="R32" i="4"/>
  <c r="R103" i="4" s="1"/>
  <c r="M32" i="4"/>
  <c r="M30" i="4" s="1"/>
  <c r="H32" i="4"/>
  <c r="EM31" i="4"/>
  <c r="EH31" i="4"/>
  <c r="EH30" i="4" s="1"/>
  <c r="EC31" i="4"/>
  <c r="DX31" i="4"/>
  <c r="DS31" i="4"/>
  <c r="DN31" i="4"/>
  <c r="DN30" i="4" s="1"/>
  <c r="DI31" i="4"/>
  <c r="DD31" i="4"/>
  <c r="DD30" i="4" s="1"/>
  <c r="CY31" i="4"/>
  <c r="CT31" i="4"/>
  <c r="CO31" i="4"/>
  <c r="CJ31" i="4"/>
  <c r="CE31" i="4"/>
  <c r="BZ31" i="4"/>
  <c r="BZ30" i="4" s="1"/>
  <c r="BU31" i="4"/>
  <c r="BU102" i="4" s="1"/>
  <c r="BP31" i="4"/>
  <c r="BP30" i="4" s="1"/>
  <c r="BK31" i="4"/>
  <c r="BK102" i="4" s="1"/>
  <c r="BF31" i="4"/>
  <c r="BA31" i="4"/>
  <c r="BA102" i="4" s="1"/>
  <c r="AV31" i="4"/>
  <c r="AV30" i="4" s="1"/>
  <c r="AV101" i="4" s="1"/>
  <c r="AQ31" i="4"/>
  <c r="AQ102" i="4" s="1"/>
  <c r="AL31" i="4"/>
  <c r="AL30" i="4" s="1"/>
  <c r="AG31" i="4"/>
  <c r="AG102" i="4" s="1"/>
  <c r="AB31" i="4"/>
  <c r="W31" i="4"/>
  <c r="W102" i="4" s="1"/>
  <c r="R31" i="4"/>
  <c r="R30" i="4" s="1"/>
  <c r="M31" i="4"/>
  <c r="M102" i="4" s="1"/>
  <c r="H31" i="4"/>
  <c r="H30" i="4" s="1"/>
  <c r="EC30" i="4"/>
  <c r="DS30" i="4"/>
  <c r="CO30" i="4"/>
  <c r="CJ30" i="4"/>
  <c r="BK30" i="4"/>
  <c r="BF30" i="4"/>
  <c r="AG30" i="4"/>
  <c r="AB30" i="4"/>
  <c r="ET29" i="4"/>
  <c r="ET28" i="4"/>
  <c r="EM28" i="4"/>
  <c r="EH28" i="4"/>
  <c r="EC28" i="4"/>
  <c r="DX28" i="4"/>
  <c r="DS28" i="4"/>
  <c r="DN28" i="4"/>
  <c r="AV99" i="4" s="1"/>
  <c r="DI28" i="4"/>
  <c r="DD28" i="4"/>
  <c r="CY28" i="4"/>
  <c r="CT28" i="4"/>
  <c r="CO28" i="4"/>
  <c r="CJ28" i="4"/>
  <c r="R99" i="4" s="1"/>
  <c r="CE28" i="4"/>
  <c r="BU28" i="4"/>
  <c r="BU99" i="4" s="1"/>
  <c r="BP28" i="4"/>
  <c r="BK28" i="4"/>
  <c r="BK99" i="4" s="1"/>
  <c r="BF28" i="4"/>
  <c r="BF99" i="4" s="1"/>
  <c r="BA28" i="4"/>
  <c r="BA99" i="4" s="1"/>
  <c r="AV28" i="4"/>
  <c r="AQ28" i="4"/>
  <c r="AQ99" i="4" s="1"/>
  <c r="AL28" i="4"/>
  <c r="AG28" i="4"/>
  <c r="AG99" i="4" s="1"/>
  <c r="AB28" i="4"/>
  <c r="AB99" i="4" s="1"/>
  <c r="W28" i="4"/>
  <c r="W99" i="4" s="1"/>
  <c r="R28" i="4"/>
  <c r="M28" i="4"/>
  <c r="M99" i="4" s="1"/>
  <c r="H28" i="4"/>
  <c r="EM27" i="4"/>
  <c r="EM24" i="4" s="1"/>
  <c r="EH27" i="4"/>
  <c r="EC27" i="4"/>
  <c r="DX27" i="4"/>
  <c r="DS27" i="4"/>
  <c r="DN27" i="4"/>
  <c r="DI27" i="4"/>
  <c r="DI24" i="4" s="1"/>
  <c r="DD27" i="4"/>
  <c r="CY27" i="4"/>
  <c r="CT27" i="4"/>
  <c r="CO27" i="4"/>
  <c r="CJ27" i="4"/>
  <c r="CE27" i="4"/>
  <c r="CE24" i="4" s="1"/>
  <c r="BZ27" i="4"/>
  <c r="BU27" i="4"/>
  <c r="BP27" i="4"/>
  <c r="BK27" i="4"/>
  <c r="BK98" i="4" s="1"/>
  <c r="BF27" i="4"/>
  <c r="BA27" i="4"/>
  <c r="BA98" i="4" s="1"/>
  <c r="AV27" i="4"/>
  <c r="AV98" i="4" s="1"/>
  <c r="AQ27" i="4"/>
  <c r="AL27" i="4"/>
  <c r="AG27" i="4"/>
  <c r="AG98" i="4" s="1"/>
  <c r="AB27" i="4"/>
  <c r="W27" i="4"/>
  <c r="W98" i="4" s="1"/>
  <c r="R27" i="4"/>
  <c r="R98" i="4" s="1"/>
  <c r="M27" i="4"/>
  <c r="M98" i="4" s="1"/>
  <c r="H27" i="4"/>
  <c r="EM26" i="4"/>
  <c r="ET26" i="4" s="1"/>
  <c r="EH26" i="4"/>
  <c r="EC26" i="4"/>
  <c r="DX26" i="4"/>
  <c r="DS26" i="4"/>
  <c r="DN26" i="4"/>
  <c r="DI26" i="4"/>
  <c r="DD26" i="4"/>
  <c r="CY26" i="4"/>
  <c r="CT26" i="4"/>
  <c r="CO26" i="4"/>
  <c r="CJ26" i="4"/>
  <c r="CE26" i="4"/>
  <c r="BZ26" i="4"/>
  <c r="BU26" i="4"/>
  <c r="BU96" i="4" s="1"/>
  <c r="BP26" i="4"/>
  <c r="BK26" i="4"/>
  <c r="BF26" i="4"/>
  <c r="BF96" i="4" s="1"/>
  <c r="BA26" i="4"/>
  <c r="BA96" i="4" s="1"/>
  <c r="AV26" i="4"/>
  <c r="AV96" i="4" s="1"/>
  <c r="AQ26" i="4"/>
  <c r="AQ96" i="4" s="1"/>
  <c r="AL26" i="4"/>
  <c r="AG26" i="4"/>
  <c r="AB26" i="4"/>
  <c r="AB96" i="4" s="1"/>
  <c r="W26" i="4"/>
  <c r="W96" i="4" s="1"/>
  <c r="R26" i="4"/>
  <c r="R96" i="4" s="1"/>
  <c r="M26" i="4"/>
  <c r="M96" i="4" s="1"/>
  <c r="H26" i="4"/>
  <c r="ET25" i="4"/>
  <c r="EM25" i="4"/>
  <c r="EH25" i="4"/>
  <c r="EH24" i="4" s="1"/>
  <c r="EC25" i="4"/>
  <c r="EC24" i="4" s="1"/>
  <c r="DX25" i="4"/>
  <c r="DX24" i="4" s="1"/>
  <c r="DS25" i="4"/>
  <c r="DN25" i="4"/>
  <c r="DN24" i="4" s="1"/>
  <c r="DN23" i="4" s="1"/>
  <c r="DI25" i="4"/>
  <c r="DD25" i="4"/>
  <c r="DD24" i="4" s="1"/>
  <c r="CY25" i="4"/>
  <c r="CY24" i="4" s="1"/>
  <c r="CT25" i="4"/>
  <c r="CT24" i="4" s="1"/>
  <c r="CO25" i="4"/>
  <c r="CJ25" i="4"/>
  <c r="CJ24" i="4" s="1"/>
  <c r="CJ23" i="4" s="1"/>
  <c r="CE25" i="4"/>
  <c r="BZ25" i="4"/>
  <c r="BZ24" i="4" s="1"/>
  <c r="BU25" i="4"/>
  <c r="BU95" i="4" s="1"/>
  <c r="BP25" i="4"/>
  <c r="BP95" i="4" s="1"/>
  <c r="BK25" i="4"/>
  <c r="BF25" i="4"/>
  <c r="BA25" i="4"/>
  <c r="BA95" i="4" s="1"/>
  <c r="AV25" i="4"/>
  <c r="AV95" i="4" s="1"/>
  <c r="AQ25" i="4"/>
  <c r="AQ95" i="4" s="1"/>
  <c r="AL25" i="4"/>
  <c r="AL95" i="4" s="1"/>
  <c r="AG25" i="4"/>
  <c r="AB25" i="4"/>
  <c r="W25" i="4"/>
  <c r="W95" i="4" s="1"/>
  <c r="R25" i="4"/>
  <c r="R24" i="4" s="1"/>
  <c r="M25" i="4"/>
  <c r="M95" i="4" s="1"/>
  <c r="H25" i="4"/>
  <c r="H24" i="4" s="1"/>
  <c r="DS24" i="4"/>
  <c r="DS23" i="4" s="1"/>
  <c r="CO24" i="4"/>
  <c r="BK24" i="4"/>
  <c r="AG24" i="4"/>
  <c r="ET22" i="4"/>
  <c r="EM21" i="4"/>
  <c r="ET21" i="4" s="1"/>
  <c r="BU21" i="4"/>
  <c r="ET20" i="4"/>
  <c r="EM19" i="4"/>
  <c r="ET19" i="4" s="1"/>
  <c r="BU19" i="4"/>
  <c r="BU89" i="4" s="1"/>
  <c r="EM18" i="4"/>
  <c r="ET18" i="4" s="1"/>
  <c r="BU18" i="4"/>
  <c r="BU88" i="4" s="1"/>
  <c r="EM17" i="4"/>
  <c r="ET17" i="4" s="1"/>
  <c r="BU17" i="4"/>
  <c r="EM16" i="4"/>
  <c r="ET16" i="4" s="1"/>
  <c r="BU16" i="4"/>
  <c r="EM15" i="4"/>
  <c r="BU15" i="4"/>
  <c r="BU85" i="4" s="1"/>
  <c r="EH14" i="4"/>
  <c r="EH13" i="4" s="1"/>
  <c r="EC14" i="4"/>
  <c r="EC13" i="4" s="1"/>
  <c r="DX14" i="4"/>
  <c r="DX13" i="4" s="1"/>
  <c r="DS14" i="4"/>
  <c r="DS13" i="4" s="1"/>
  <c r="DN14" i="4"/>
  <c r="DI14" i="4"/>
  <c r="DI13" i="4" s="1"/>
  <c r="DD14" i="4"/>
  <c r="DD13" i="4" s="1"/>
  <c r="CY14" i="4"/>
  <c r="CY13" i="4" s="1"/>
  <c r="CT14" i="4"/>
  <c r="CT13" i="4" s="1"/>
  <c r="CO14" i="4"/>
  <c r="CO13" i="4" s="1"/>
  <c r="CJ14" i="4"/>
  <c r="CE14" i="4"/>
  <c r="CE13" i="4" s="1"/>
  <c r="BZ14" i="4"/>
  <c r="BP14" i="4"/>
  <c r="BK14" i="4"/>
  <c r="BK84" i="4" s="1"/>
  <c r="BF14" i="4"/>
  <c r="BF13" i="4" s="1"/>
  <c r="BA14" i="4"/>
  <c r="AV14" i="4"/>
  <c r="AV84" i="4" s="1"/>
  <c r="AQ14" i="4"/>
  <c r="AQ13" i="4" s="1"/>
  <c r="AL14" i="4"/>
  <c r="AG14" i="4"/>
  <c r="AG84" i="4" s="1"/>
  <c r="AB14" i="4"/>
  <c r="W14" i="4"/>
  <c r="R14" i="4"/>
  <c r="R84" i="4" s="1"/>
  <c r="M14" i="4"/>
  <c r="H14" i="4"/>
  <c r="H13" i="4" s="1"/>
  <c r="DN13" i="4"/>
  <c r="CJ13" i="4"/>
  <c r="BZ13" i="4"/>
  <c r="AB13" i="4"/>
  <c r="BV76" i="3"/>
  <c r="BQ76" i="3"/>
  <c r="BL76" i="3"/>
  <c r="BG76" i="3"/>
  <c r="BB76" i="3"/>
  <c r="AW76" i="3"/>
  <c r="AR76" i="3"/>
  <c r="AM76" i="3"/>
  <c r="AH76" i="3"/>
  <c r="AC76" i="3"/>
  <c r="BV75" i="3"/>
  <c r="BQ75" i="3"/>
  <c r="BL75" i="3"/>
  <c r="BG75" i="3"/>
  <c r="BB75" i="3"/>
  <c r="AW75" i="3"/>
  <c r="AR75" i="3"/>
  <c r="AM75" i="3"/>
  <c r="AH75" i="3"/>
  <c r="AC75" i="3"/>
  <c r="BV74" i="3"/>
  <c r="BQ74" i="3"/>
  <c r="BL74" i="3"/>
  <c r="BG74" i="3"/>
  <c r="BB74" i="3"/>
  <c r="AW74" i="3"/>
  <c r="AR74" i="3"/>
  <c r="AM74" i="3"/>
  <c r="AH74" i="3"/>
  <c r="AC74" i="3"/>
  <c r="BU71" i="3"/>
  <c r="BT71" i="3"/>
  <c r="BS71" i="3"/>
  <c r="BR71" i="3"/>
  <c r="BV71" i="3" s="1"/>
  <c r="N71" i="3"/>
  <c r="BP68" i="3"/>
  <c r="BO68" i="3"/>
  <c r="BN68" i="3"/>
  <c r="BM68" i="3"/>
  <c r="BK68" i="3"/>
  <c r="AY68" i="3"/>
  <c r="AK68" i="3"/>
  <c r="Y68" i="3"/>
  <c r="V68" i="3"/>
  <c r="J68" i="3"/>
  <c r="H68" i="3"/>
  <c r="G68" i="3"/>
  <c r="F68" i="3"/>
  <c r="BU67" i="3"/>
  <c r="BT67" i="3"/>
  <c r="BS67" i="3"/>
  <c r="BR67" i="3"/>
  <c r="BQ67" i="3"/>
  <c r="BL67" i="3"/>
  <c r="BG67" i="3"/>
  <c r="BB67" i="3"/>
  <c r="AW67" i="3"/>
  <c r="AR67" i="3"/>
  <c r="AM67" i="3"/>
  <c r="AH67" i="3"/>
  <c r="AC67" i="3"/>
  <c r="X67" i="3"/>
  <c r="S67" i="3"/>
  <c r="N67" i="3"/>
  <c r="I67" i="3"/>
  <c r="BU66" i="3"/>
  <c r="BT66" i="3"/>
  <c r="BS66" i="3"/>
  <c r="BR66" i="3"/>
  <c r="BQ66" i="3"/>
  <c r="BL66" i="3"/>
  <c r="BG66" i="3"/>
  <c r="BB66" i="3"/>
  <c r="AW66" i="3"/>
  <c r="AR66" i="3"/>
  <c r="AM66" i="3"/>
  <c r="AH66" i="3"/>
  <c r="AC66" i="3"/>
  <c r="X66" i="3"/>
  <c r="S66" i="3"/>
  <c r="N66" i="3"/>
  <c r="I66" i="3"/>
  <c r="BU65" i="3"/>
  <c r="BT65" i="3"/>
  <c r="BS65" i="3"/>
  <c r="BR65" i="3"/>
  <c r="BV65" i="3" s="1"/>
  <c r="BQ65" i="3"/>
  <c r="BL65" i="3"/>
  <c r="BG65" i="3"/>
  <c r="BB65" i="3"/>
  <c r="AW65" i="3"/>
  <c r="AR65" i="3"/>
  <c r="AM65" i="3"/>
  <c r="AH65" i="3"/>
  <c r="AC65" i="3"/>
  <c r="X65" i="3"/>
  <c r="S65" i="3"/>
  <c r="N65" i="3"/>
  <c r="I65" i="3"/>
  <c r="BU64" i="3"/>
  <c r="BT64" i="3"/>
  <c r="BS64" i="3"/>
  <c r="BR64" i="3"/>
  <c r="BQ64" i="3"/>
  <c r="BL64" i="3"/>
  <c r="BG64" i="3"/>
  <c r="BB64" i="3"/>
  <c r="AW64" i="3"/>
  <c r="AR64" i="3"/>
  <c r="AM64" i="3"/>
  <c r="AH64" i="3"/>
  <c r="AC64" i="3"/>
  <c r="X64" i="3"/>
  <c r="S64" i="3"/>
  <c r="N64" i="3"/>
  <c r="I64" i="3"/>
  <c r="BU63" i="3"/>
  <c r="BT63" i="3"/>
  <c r="BS63" i="3"/>
  <c r="BV63" i="3" s="1"/>
  <c r="BR63" i="3"/>
  <c r="BQ63" i="3"/>
  <c r="BL63" i="3"/>
  <c r="BG63" i="3"/>
  <c r="BB63" i="3"/>
  <c r="AW63" i="3"/>
  <c r="AR63" i="3"/>
  <c r="AM63" i="3"/>
  <c r="AH63" i="3"/>
  <c r="AC63" i="3"/>
  <c r="X63" i="3"/>
  <c r="S63" i="3"/>
  <c r="N63" i="3"/>
  <c r="I63" i="3"/>
  <c r="BU62" i="3"/>
  <c r="BT62" i="3"/>
  <c r="BS62" i="3"/>
  <c r="BR62" i="3"/>
  <c r="BQ62" i="3"/>
  <c r="BL62" i="3"/>
  <c r="BG62" i="3"/>
  <c r="BB62" i="3"/>
  <c r="AW62" i="3"/>
  <c r="AR62" i="3"/>
  <c r="AM62" i="3"/>
  <c r="AH62" i="3"/>
  <c r="N62" i="3"/>
  <c r="I62" i="3"/>
  <c r="BU61" i="3"/>
  <c r="BT61" i="3"/>
  <c r="BV61" i="3" s="1"/>
  <c r="BS61" i="3"/>
  <c r="BR61" i="3"/>
  <c r="BQ61" i="3"/>
  <c r="BL61" i="3"/>
  <c r="BG61" i="3"/>
  <c r="BB61" i="3"/>
  <c r="AW61" i="3"/>
  <c r="AR61" i="3"/>
  <c r="AM61" i="3"/>
  <c r="AH61" i="3"/>
  <c r="AC61" i="3"/>
  <c r="X61" i="3"/>
  <c r="S61" i="3"/>
  <c r="N61" i="3"/>
  <c r="I61" i="3"/>
  <c r="BU60" i="3"/>
  <c r="BT60" i="3"/>
  <c r="BS60" i="3"/>
  <c r="BR60" i="3"/>
  <c r="BQ60" i="3"/>
  <c r="BL60" i="3"/>
  <c r="BG60" i="3"/>
  <c r="BB60" i="3"/>
  <c r="AW60" i="3"/>
  <c r="AR60" i="3"/>
  <c r="AM60" i="3"/>
  <c r="AH60" i="3"/>
  <c r="AC60" i="3"/>
  <c r="X60" i="3"/>
  <c r="S60" i="3"/>
  <c r="N60" i="3"/>
  <c r="I60" i="3"/>
  <c r="BQ59" i="3"/>
  <c r="BL59" i="3"/>
  <c r="BF59" i="3"/>
  <c r="BE59" i="3"/>
  <c r="BE68" i="3" s="1"/>
  <c r="BD59" i="3"/>
  <c r="BC59" i="3"/>
  <c r="BB59" i="3"/>
  <c r="AW59" i="3"/>
  <c r="AQ59" i="3"/>
  <c r="AQ68" i="3" s="1"/>
  <c r="AP59" i="3"/>
  <c r="AP68" i="3" s="1"/>
  <c r="AO59" i="3"/>
  <c r="AO68" i="3" s="1"/>
  <c r="AN59" i="3"/>
  <c r="AN68" i="3" s="1"/>
  <c r="AL59" i="3"/>
  <c r="AL68" i="3" s="1"/>
  <c r="AK59" i="3"/>
  <c r="AJ59" i="3"/>
  <c r="AJ68" i="3" s="1"/>
  <c r="AI59" i="3"/>
  <c r="AI68" i="3" s="1"/>
  <c r="AH59" i="3"/>
  <c r="AG59" i="3"/>
  <c r="AF59" i="3"/>
  <c r="AE59" i="3"/>
  <c r="AD59" i="3"/>
  <c r="BR59" i="3" s="1"/>
  <c r="AC59" i="3"/>
  <c r="X59" i="3"/>
  <c r="S59" i="3"/>
  <c r="N59" i="3"/>
  <c r="I59" i="3"/>
  <c r="BU58" i="3"/>
  <c r="BT58" i="3"/>
  <c r="BS58" i="3"/>
  <c r="BR58" i="3"/>
  <c r="BQ58" i="3"/>
  <c r="BL58" i="3"/>
  <c r="BG58" i="3"/>
  <c r="BB58" i="3"/>
  <c r="AW58" i="3"/>
  <c r="AR58" i="3"/>
  <c r="AM58" i="3"/>
  <c r="AH58" i="3"/>
  <c r="AC58" i="3"/>
  <c r="X58" i="3"/>
  <c r="S58" i="3"/>
  <c r="N58" i="3"/>
  <c r="I58" i="3"/>
  <c r="BT57" i="3"/>
  <c r="BS57" i="3"/>
  <c r="BR57" i="3"/>
  <c r="BQ57" i="3"/>
  <c r="BL57" i="3"/>
  <c r="BG57" i="3"/>
  <c r="BF57" i="3"/>
  <c r="BB57" i="3"/>
  <c r="BA57" i="3"/>
  <c r="AV57" i="3"/>
  <c r="AW57" i="3" s="1"/>
  <c r="AR57" i="3"/>
  <c r="AM57" i="3"/>
  <c r="AH57" i="3"/>
  <c r="AG57" i="3"/>
  <c r="AB57" i="3"/>
  <c r="AC57" i="3" s="1"/>
  <c r="X57" i="3"/>
  <c r="W57" i="3"/>
  <c r="S57" i="3"/>
  <c r="R57" i="3"/>
  <c r="M57" i="3"/>
  <c r="N57" i="3" s="1"/>
  <c r="I57" i="3"/>
  <c r="BU56" i="3"/>
  <c r="BT56" i="3"/>
  <c r="BS56" i="3"/>
  <c r="BR56" i="3"/>
  <c r="BV56" i="3" s="1"/>
  <c r="BQ56" i="3"/>
  <c r="BL56" i="3"/>
  <c r="BG56" i="3"/>
  <c r="BB56" i="3"/>
  <c r="AW56" i="3"/>
  <c r="AR56" i="3"/>
  <c r="AM56" i="3"/>
  <c r="AH56" i="3"/>
  <c r="AC56" i="3"/>
  <c r="X56" i="3"/>
  <c r="S56" i="3"/>
  <c r="N56" i="3"/>
  <c r="I56" i="3"/>
  <c r="BU55" i="3"/>
  <c r="BT55" i="3"/>
  <c r="BS55" i="3"/>
  <c r="BR55" i="3"/>
  <c r="BQ55" i="3"/>
  <c r="BL55" i="3"/>
  <c r="BG55" i="3"/>
  <c r="BB55" i="3"/>
  <c r="AW55" i="3"/>
  <c r="AR55" i="3"/>
  <c r="AM55" i="3"/>
  <c r="AH55" i="3"/>
  <c r="AC55" i="3"/>
  <c r="X55" i="3"/>
  <c r="S55" i="3"/>
  <c r="N55" i="3"/>
  <c r="I55" i="3"/>
  <c r="BU54" i="3"/>
  <c r="BT54" i="3"/>
  <c r="BS54" i="3"/>
  <c r="BR54" i="3"/>
  <c r="BQ54" i="3"/>
  <c r="BL54" i="3"/>
  <c r="BG54" i="3"/>
  <c r="BB54" i="3"/>
  <c r="AW54" i="3"/>
  <c r="AR54" i="3"/>
  <c r="AM54" i="3"/>
  <c r="AH54" i="3"/>
  <c r="AC54" i="3"/>
  <c r="X54" i="3"/>
  <c r="X52" i="3" s="1"/>
  <c r="S54" i="3"/>
  <c r="N54" i="3"/>
  <c r="I54" i="3"/>
  <c r="BU53" i="3"/>
  <c r="BU52" i="3" s="1"/>
  <c r="BT53" i="3"/>
  <c r="BT52" i="3" s="1"/>
  <c r="BS53" i="3"/>
  <c r="BR53" i="3"/>
  <c r="BQ53" i="3"/>
  <c r="BL53" i="3"/>
  <c r="BG53" i="3"/>
  <c r="BG52" i="3" s="1"/>
  <c r="BB53" i="3"/>
  <c r="AW53" i="3"/>
  <c r="AR53" i="3"/>
  <c r="AM53" i="3"/>
  <c r="AM52" i="3" s="1"/>
  <c r="AH53" i="3"/>
  <c r="AC53" i="3"/>
  <c r="AC52" i="3" s="1"/>
  <c r="X53" i="3"/>
  <c r="S53" i="3"/>
  <c r="N53" i="3"/>
  <c r="I53" i="3"/>
  <c r="BQ52" i="3"/>
  <c r="BK52" i="3"/>
  <c r="BJ52" i="3"/>
  <c r="BJ68" i="3" s="1"/>
  <c r="BI52" i="3"/>
  <c r="BI68" i="3" s="1"/>
  <c r="BH52" i="3"/>
  <c r="BH68" i="3" s="1"/>
  <c r="BF52" i="3"/>
  <c r="BE52" i="3"/>
  <c r="BD52" i="3"/>
  <c r="BD68" i="3" s="1"/>
  <c r="BC52" i="3"/>
  <c r="BC68" i="3" s="1"/>
  <c r="BB52" i="3"/>
  <c r="BA52" i="3"/>
  <c r="BA68" i="3" s="1"/>
  <c r="AZ52" i="3"/>
  <c r="AZ68" i="3" s="1"/>
  <c r="AY52" i="3"/>
  <c r="AX52" i="3"/>
  <c r="AX68" i="3" s="1"/>
  <c r="AV52" i="3"/>
  <c r="AV68" i="3" s="1"/>
  <c r="AU52" i="3"/>
  <c r="AU68" i="3" s="1"/>
  <c r="AT52" i="3"/>
  <c r="AT68" i="3" s="1"/>
  <c r="AS52" i="3"/>
  <c r="AS68" i="3" s="1"/>
  <c r="AG52" i="3"/>
  <c r="AF52" i="3"/>
  <c r="AF68" i="3" s="1"/>
  <c r="AE52" i="3"/>
  <c r="AE68" i="3" s="1"/>
  <c r="AD52" i="3"/>
  <c r="AB52" i="3"/>
  <c r="AB68" i="3" s="1"/>
  <c r="AA52" i="3"/>
  <c r="AA68" i="3" s="1"/>
  <c r="Z52" i="3"/>
  <c r="Z68" i="3" s="1"/>
  <c r="W52" i="3"/>
  <c r="W68" i="3" s="1"/>
  <c r="V52" i="3"/>
  <c r="U52" i="3"/>
  <c r="U68" i="3" s="1"/>
  <c r="T52" i="3"/>
  <c r="T68" i="3" s="1"/>
  <c r="R52" i="3"/>
  <c r="R68" i="3" s="1"/>
  <c r="Q52" i="3"/>
  <c r="Q68" i="3" s="1"/>
  <c r="P52" i="3"/>
  <c r="P68" i="3" s="1"/>
  <c r="O52" i="3"/>
  <c r="O68" i="3" s="1"/>
  <c r="M52" i="3"/>
  <c r="M68" i="3" s="1"/>
  <c r="L52" i="3"/>
  <c r="L68" i="3" s="1"/>
  <c r="K52" i="3"/>
  <c r="K68" i="3" s="1"/>
  <c r="J52" i="3"/>
  <c r="I52" i="3"/>
  <c r="E52" i="3"/>
  <c r="E68" i="3" s="1"/>
  <c r="BU51" i="3"/>
  <c r="BT51" i="3"/>
  <c r="BS51" i="3"/>
  <c r="BR51" i="3"/>
  <c r="BQ51" i="3"/>
  <c r="BL51" i="3"/>
  <c r="BG51" i="3"/>
  <c r="BB51" i="3"/>
  <c r="AW51" i="3"/>
  <c r="AR51" i="3"/>
  <c r="AM51" i="3"/>
  <c r="AH51" i="3"/>
  <c r="AC51" i="3"/>
  <c r="X51" i="3"/>
  <c r="S51" i="3"/>
  <c r="N51" i="3"/>
  <c r="I51" i="3"/>
  <c r="BU50" i="3"/>
  <c r="BT50" i="3"/>
  <c r="BS50" i="3"/>
  <c r="BV50" i="3" s="1"/>
  <c r="BR50" i="3"/>
  <c r="BQ50" i="3"/>
  <c r="BL50" i="3"/>
  <c r="BC50" i="3"/>
  <c r="BG50" i="3" s="1"/>
  <c r="BB50" i="3"/>
  <c r="AW50" i="3"/>
  <c r="AR50" i="3"/>
  <c r="AM50" i="3"/>
  <c r="AH50" i="3"/>
  <c r="AC50" i="3"/>
  <c r="X50" i="3"/>
  <c r="S50" i="3"/>
  <c r="N50" i="3"/>
  <c r="I50" i="3"/>
  <c r="BP47" i="3"/>
  <c r="BP73" i="3" s="1"/>
  <c r="BP77" i="3" s="1"/>
  <c r="BO47" i="3"/>
  <c r="BO73" i="3" s="1"/>
  <c r="BO77" i="3" s="1"/>
  <c r="BN47" i="3"/>
  <c r="BM47" i="3"/>
  <c r="BM73" i="3" s="1"/>
  <c r="BM77" i="3" s="1"/>
  <c r="BK47" i="3"/>
  <c r="BK73" i="3" s="1"/>
  <c r="BK77" i="3" s="1"/>
  <c r="BJ47" i="3"/>
  <c r="BJ73" i="3" s="1"/>
  <c r="BJ77" i="3" s="1"/>
  <c r="BI47" i="3"/>
  <c r="BH47" i="3"/>
  <c r="BF47" i="3"/>
  <c r="BE47" i="3"/>
  <c r="BD47" i="3"/>
  <c r="BA47" i="3"/>
  <c r="AZ47" i="3"/>
  <c r="AY47" i="3"/>
  <c r="AX47" i="3"/>
  <c r="AV47" i="3"/>
  <c r="AV73" i="3" s="1"/>
  <c r="AV77" i="3" s="1"/>
  <c r="AU47" i="3"/>
  <c r="AT47" i="3"/>
  <c r="AT73" i="3" s="1"/>
  <c r="AT77" i="3" s="1"/>
  <c r="AS47" i="3"/>
  <c r="AQ47" i="3"/>
  <c r="AP47" i="3"/>
  <c r="AO47" i="3"/>
  <c r="AO73" i="3" s="1"/>
  <c r="AO77" i="3" s="1"/>
  <c r="AN47" i="3"/>
  <c r="AL47" i="3"/>
  <c r="AL73" i="3" s="1"/>
  <c r="AL77" i="3" s="1"/>
  <c r="AK47" i="3"/>
  <c r="AJ47" i="3"/>
  <c r="AI47" i="3"/>
  <c r="AG47" i="3"/>
  <c r="AF47" i="3"/>
  <c r="AE47" i="3"/>
  <c r="AD47" i="3"/>
  <c r="AB47" i="3"/>
  <c r="AB73" i="3" s="1"/>
  <c r="AB77" i="3" s="1"/>
  <c r="AA47" i="3"/>
  <c r="Z47" i="3"/>
  <c r="Z73" i="3" s="1"/>
  <c r="Z77" i="3" s="1"/>
  <c r="Y47" i="3"/>
  <c r="Y73" i="3" s="1"/>
  <c r="Y77" i="3" s="1"/>
  <c r="W47" i="3"/>
  <c r="V47" i="3"/>
  <c r="U47" i="3"/>
  <c r="T47" i="3"/>
  <c r="T73" i="3" s="1"/>
  <c r="T77" i="3" s="1"/>
  <c r="R47" i="3"/>
  <c r="R73" i="3" s="1"/>
  <c r="R77" i="3" s="1"/>
  <c r="Q47" i="3"/>
  <c r="Q73" i="3" s="1"/>
  <c r="Q77" i="3" s="1"/>
  <c r="P47" i="3"/>
  <c r="O47" i="3"/>
  <c r="O73" i="3" s="1"/>
  <c r="O77" i="3" s="1"/>
  <c r="M47" i="3"/>
  <c r="L47" i="3"/>
  <c r="L73" i="3" s="1"/>
  <c r="L77" i="3" s="1"/>
  <c r="K47" i="3"/>
  <c r="K73" i="3" s="1"/>
  <c r="K77" i="3" s="1"/>
  <c r="J47" i="3"/>
  <c r="J73" i="3" s="1"/>
  <c r="J77" i="3" s="1"/>
  <c r="H47" i="3"/>
  <c r="H73" i="3" s="1"/>
  <c r="H77" i="3" s="1"/>
  <c r="BU46" i="3"/>
  <c r="BT46" i="3"/>
  <c r="BS46" i="3"/>
  <c r="BR46" i="3"/>
  <c r="BQ46" i="3"/>
  <c r="BL46" i="3"/>
  <c r="BG46" i="3"/>
  <c r="BB46" i="3"/>
  <c r="AW46" i="3"/>
  <c r="AR46" i="3"/>
  <c r="AM46" i="3"/>
  <c r="AH46" i="3"/>
  <c r="AC46" i="3"/>
  <c r="X46" i="3"/>
  <c r="S46" i="3"/>
  <c r="N46" i="3"/>
  <c r="I46" i="3"/>
  <c r="BU45" i="3"/>
  <c r="BT45" i="3"/>
  <c r="BS45" i="3"/>
  <c r="BR45" i="3"/>
  <c r="BQ45" i="3"/>
  <c r="BL45" i="3"/>
  <c r="BG45" i="3"/>
  <c r="BB45" i="3"/>
  <c r="AW45" i="3"/>
  <c r="AR45" i="3"/>
  <c r="AM45" i="3"/>
  <c r="AH45" i="3"/>
  <c r="AC45" i="3"/>
  <c r="X45" i="3"/>
  <c r="S45" i="3"/>
  <c r="N45" i="3"/>
  <c r="I45" i="3"/>
  <c r="BU44" i="3"/>
  <c r="BT44" i="3"/>
  <c r="BS44" i="3"/>
  <c r="BR44" i="3"/>
  <c r="BQ44" i="3"/>
  <c r="BL44" i="3"/>
  <c r="BG44" i="3"/>
  <c r="BB44" i="3"/>
  <c r="AW44" i="3"/>
  <c r="AR44" i="3"/>
  <c r="AM44" i="3"/>
  <c r="AH44" i="3"/>
  <c r="AC44" i="3"/>
  <c r="X44" i="3"/>
  <c r="S44" i="3"/>
  <c r="N44" i="3"/>
  <c r="I44" i="3"/>
  <c r="BU43" i="3"/>
  <c r="BT43" i="3"/>
  <c r="BS43" i="3"/>
  <c r="BR43" i="3"/>
  <c r="BQ43" i="3"/>
  <c r="BL43" i="3"/>
  <c r="BG43" i="3"/>
  <c r="BB43" i="3"/>
  <c r="AW43" i="3"/>
  <c r="AR43" i="3"/>
  <c r="AM43" i="3"/>
  <c r="AH43" i="3"/>
  <c r="AC43" i="3"/>
  <c r="X43" i="3"/>
  <c r="S43" i="3"/>
  <c r="N43" i="3"/>
  <c r="I43" i="3"/>
  <c r="BU42" i="3"/>
  <c r="BT42" i="3"/>
  <c r="BS42" i="3"/>
  <c r="BR42" i="3"/>
  <c r="BQ42" i="3"/>
  <c r="BL42" i="3"/>
  <c r="BG42" i="3"/>
  <c r="BB42" i="3"/>
  <c r="AW42" i="3"/>
  <c r="AR42" i="3"/>
  <c r="AM42" i="3"/>
  <c r="AH42" i="3"/>
  <c r="AC42" i="3"/>
  <c r="X42" i="3"/>
  <c r="S42" i="3"/>
  <c r="N42" i="3"/>
  <c r="I42" i="3"/>
  <c r="BU41" i="3"/>
  <c r="BT41" i="3"/>
  <c r="BV41" i="3" s="1"/>
  <c r="BS41" i="3"/>
  <c r="BR41" i="3"/>
  <c r="BQ41" i="3"/>
  <c r="BL41" i="3"/>
  <c r="BG41" i="3"/>
  <c r="BB41" i="3"/>
  <c r="AW41" i="3"/>
  <c r="AR41" i="3"/>
  <c r="AM41" i="3"/>
  <c r="AH41" i="3"/>
  <c r="AC41" i="3"/>
  <c r="X41" i="3"/>
  <c r="S41" i="3"/>
  <c r="N41" i="3"/>
  <c r="F41" i="3"/>
  <c r="I41" i="3" s="1"/>
  <c r="BU40" i="3"/>
  <c r="BT40" i="3"/>
  <c r="BS40" i="3"/>
  <c r="BR40" i="3"/>
  <c r="BQ40" i="3"/>
  <c r="BL40" i="3"/>
  <c r="BG40" i="3"/>
  <c r="BB40" i="3"/>
  <c r="AW40" i="3"/>
  <c r="AR40" i="3"/>
  <c r="AM40" i="3"/>
  <c r="AH40" i="3"/>
  <c r="AC40" i="3"/>
  <c r="X40" i="3"/>
  <c r="S40" i="3"/>
  <c r="N40" i="3"/>
  <c r="I40" i="3"/>
  <c r="BU39" i="3"/>
  <c r="BT39" i="3"/>
  <c r="BS39" i="3"/>
  <c r="BR39" i="3"/>
  <c r="BQ39" i="3"/>
  <c r="BL39" i="3"/>
  <c r="BG39" i="3"/>
  <c r="BB39" i="3"/>
  <c r="AW39" i="3"/>
  <c r="AR39" i="3"/>
  <c r="AM39" i="3"/>
  <c r="AH39" i="3"/>
  <c r="AC39" i="3"/>
  <c r="X39" i="3"/>
  <c r="S39" i="3"/>
  <c r="N39" i="3"/>
  <c r="I39" i="3"/>
  <c r="BU38" i="3"/>
  <c r="BT38" i="3"/>
  <c r="BV38" i="3" s="1"/>
  <c r="BS38" i="3"/>
  <c r="BR38" i="3"/>
  <c r="BQ38" i="3"/>
  <c r="BL38" i="3"/>
  <c r="BG38" i="3"/>
  <c r="BB38" i="3"/>
  <c r="AW38" i="3"/>
  <c r="AR38" i="3"/>
  <c r="AM38" i="3"/>
  <c r="AH38" i="3"/>
  <c r="AC38" i="3"/>
  <c r="X38" i="3"/>
  <c r="S38" i="3"/>
  <c r="N38" i="3"/>
  <c r="I38" i="3"/>
  <c r="BU37" i="3"/>
  <c r="BT37" i="3"/>
  <c r="BS37" i="3"/>
  <c r="BR37" i="3"/>
  <c r="BQ37" i="3"/>
  <c r="BL37" i="3"/>
  <c r="BG37" i="3"/>
  <c r="BB37" i="3"/>
  <c r="AW37" i="3"/>
  <c r="AR37" i="3"/>
  <c r="AM37" i="3"/>
  <c r="AH37" i="3"/>
  <c r="AC37" i="3"/>
  <c r="X37" i="3"/>
  <c r="S37" i="3"/>
  <c r="N37" i="3"/>
  <c r="I37" i="3"/>
  <c r="BV36" i="3"/>
  <c r="BU36" i="3"/>
  <c r="BT36" i="3"/>
  <c r="BS36" i="3"/>
  <c r="BR36" i="3"/>
  <c r="BQ36" i="3"/>
  <c r="BL36" i="3"/>
  <c r="BG36" i="3"/>
  <c r="BB36" i="3"/>
  <c r="AW36" i="3"/>
  <c r="AR36" i="3"/>
  <c r="AM36" i="3"/>
  <c r="AH36" i="3"/>
  <c r="AC36" i="3"/>
  <c r="X36" i="3"/>
  <c r="S36" i="3"/>
  <c r="N36" i="3"/>
  <c r="I36" i="3"/>
  <c r="BU35" i="3"/>
  <c r="BT35" i="3"/>
  <c r="BS35" i="3"/>
  <c r="BR35" i="3"/>
  <c r="BQ35" i="3"/>
  <c r="BL35" i="3"/>
  <c r="BG35" i="3"/>
  <c r="BB35" i="3"/>
  <c r="AW35" i="3"/>
  <c r="AR35" i="3"/>
  <c r="AM35" i="3"/>
  <c r="AH35" i="3"/>
  <c r="AC35" i="3"/>
  <c r="X35" i="3"/>
  <c r="S35" i="3"/>
  <c r="N35" i="3"/>
  <c r="I35" i="3"/>
  <c r="BU34" i="3"/>
  <c r="BT34" i="3"/>
  <c r="BS34" i="3"/>
  <c r="BR34" i="3"/>
  <c r="BQ34" i="3"/>
  <c r="BL34" i="3"/>
  <c r="BG34" i="3"/>
  <c r="BB34" i="3"/>
  <c r="AW34" i="3"/>
  <c r="AR34" i="3"/>
  <c r="AM34" i="3"/>
  <c r="AH34" i="3"/>
  <c r="AC34" i="3"/>
  <c r="X34" i="3"/>
  <c r="S34" i="3"/>
  <c r="N34" i="3"/>
  <c r="I34" i="3"/>
  <c r="BU33" i="3"/>
  <c r="BT33" i="3"/>
  <c r="BS33" i="3"/>
  <c r="BV33" i="3" s="1"/>
  <c r="BR33" i="3"/>
  <c r="BQ33" i="3"/>
  <c r="BL33" i="3"/>
  <c r="BG33" i="3"/>
  <c r="BB33" i="3"/>
  <c r="AW33" i="3"/>
  <c r="AR33" i="3"/>
  <c r="AM33" i="3"/>
  <c r="AH33" i="3"/>
  <c r="AC33" i="3"/>
  <c r="X33" i="3"/>
  <c r="S33" i="3"/>
  <c r="N33" i="3"/>
  <c r="I33" i="3"/>
  <c r="BU32" i="3"/>
  <c r="BT32" i="3"/>
  <c r="BS32" i="3"/>
  <c r="BR32" i="3"/>
  <c r="BQ32" i="3"/>
  <c r="BL32" i="3"/>
  <c r="BG32" i="3"/>
  <c r="BB32" i="3"/>
  <c r="AW32" i="3"/>
  <c r="AR32" i="3"/>
  <c r="AM32" i="3"/>
  <c r="AH32" i="3"/>
  <c r="AC32" i="3"/>
  <c r="X32" i="3"/>
  <c r="S32" i="3"/>
  <c r="N32" i="3"/>
  <c r="I32" i="3"/>
  <c r="BU31" i="3"/>
  <c r="BT31" i="3"/>
  <c r="BS31" i="3"/>
  <c r="BR31" i="3"/>
  <c r="BQ31" i="3"/>
  <c r="BL31" i="3"/>
  <c r="BG31" i="3"/>
  <c r="BB31" i="3"/>
  <c r="AW31" i="3"/>
  <c r="AR31" i="3"/>
  <c r="AM31" i="3"/>
  <c r="AH31" i="3"/>
  <c r="AC31" i="3"/>
  <c r="X31" i="3"/>
  <c r="S31" i="3"/>
  <c r="N31" i="3"/>
  <c r="I31" i="3"/>
  <c r="BU30" i="3"/>
  <c r="BT30" i="3"/>
  <c r="BS30" i="3"/>
  <c r="BV30" i="3" s="1"/>
  <c r="BR30" i="3"/>
  <c r="BQ30" i="3"/>
  <c r="BL30" i="3"/>
  <c r="BG30" i="3"/>
  <c r="BB30" i="3"/>
  <c r="AW30" i="3"/>
  <c r="AR30" i="3"/>
  <c r="AM30" i="3"/>
  <c r="AH30" i="3"/>
  <c r="AC30" i="3"/>
  <c r="X30" i="3"/>
  <c r="S30" i="3"/>
  <c r="N30" i="3"/>
  <c r="G30" i="3"/>
  <c r="I30" i="3" s="1"/>
  <c r="BU29" i="3"/>
  <c r="BT29" i="3"/>
  <c r="BS29" i="3"/>
  <c r="BR29" i="3"/>
  <c r="BV29" i="3" s="1"/>
  <c r="BQ29" i="3"/>
  <c r="BL29" i="3"/>
  <c r="BG29" i="3"/>
  <c r="BB29" i="3"/>
  <c r="AW29" i="3"/>
  <c r="AR29" i="3"/>
  <c r="AM29" i="3"/>
  <c r="AH29" i="3"/>
  <c r="AC29" i="3"/>
  <c r="X29" i="3"/>
  <c r="S29" i="3"/>
  <c r="N29" i="3"/>
  <c r="I29" i="3"/>
  <c r="BU28" i="3"/>
  <c r="BT28" i="3"/>
  <c r="BS28" i="3"/>
  <c r="BR28" i="3"/>
  <c r="BQ28" i="3"/>
  <c r="BL28" i="3"/>
  <c r="BG28" i="3"/>
  <c r="BB28" i="3"/>
  <c r="AW28" i="3"/>
  <c r="AR28" i="3"/>
  <c r="AM28" i="3"/>
  <c r="AH28" i="3"/>
  <c r="AC28" i="3"/>
  <c r="X28" i="3"/>
  <c r="S28" i="3"/>
  <c r="N28" i="3"/>
  <c r="F28" i="3"/>
  <c r="E28" i="3"/>
  <c r="I28" i="3" s="1"/>
  <c r="BV27" i="3"/>
  <c r="BU27" i="3"/>
  <c r="BT27" i="3"/>
  <c r="BS27" i="3"/>
  <c r="BR27" i="3"/>
  <c r="BQ27" i="3"/>
  <c r="BL27" i="3"/>
  <c r="BG27" i="3"/>
  <c r="BB27" i="3"/>
  <c r="AW27" i="3"/>
  <c r="AR27" i="3"/>
  <c r="AM27" i="3"/>
  <c r="AH27" i="3"/>
  <c r="AC27" i="3"/>
  <c r="X27" i="3"/>
  <c r="S27" i="3"/>
  <c r="N27" i="3"/>
  <c r="G27" i="3"/>
  <c r="F27" i="3"/>
  <c r="E27" i="3"/>
  <c r="BU26" i="3"/>
  <c r="BT26" i="3"/>
  <c r="BS26" i="3"/>
  <c r="BR26" i="3"/>
  <c r="BQ26" i="3"/>
  <c r="BL26" i="3"/>
  <c r="BG26" i="3"/>
  <c r="BB26" i="3"/>
  <c r="AW26" i="3"/>
  <c r="AR26" i="3"/>
  <c r="AM26" i="3"/>
  <c r="AH26" i="3"/>
  <c r="AC26" i="3"/>
  <c r="X26" i="3"/>
  <c r="S26" i="3"/>
  <c r="N26" i="3"/>
  <c r="I26" i="3"/>
  <c r="BU25" i="3"/>
  <c r="BT25" i="3"/>
  <c r="BS25" i="3"/>
  <c r="BR25" i="3"/>
  <c r="BV25" i="3" s="1"/>
  <c r="BQ25" i="3"/>
  <c r="BL25" i="3"/>
  <c r="BG25" i="3"/>
  <c r="BB25" i="3"/>
  <c r="AW25" i="3"/>
  <c r="AR25" i="3"/>
  <c r="AM25" i="3"/>
  <c r="AH25" i="3"/>
  <c r="AC25" i="3"/>
  <c r="X25" i="3"/>
  <c r="S25" i="3"/>
  <c r="N25" i="3"/>
  <c r="I25" i="3"/>
  <c r="BV24" i="3"/>
  <c r="BU24" i="3"/>
  <c r="BT24" i="3"/>
  <c r="BS24" i="3"/>
  <c r="BR24" i="3"/>
  <c r="BQ24" i="3"/>
  <c r="BL24" i="3"/>
  <c r="BG24" i="3"/>
  <c r="BB24" i="3"/>
  <c r="AW24" i="3"/>
  <c r="AR24" i="3"/>
  <c r="AM24" i="3"/>
  <c r="AH24" i="3"/>
  <c r="AC24" i="3"/>
  <c r="X24" i="3"/>
  <c r="S24" i="3"/>
  <c r="N24" i="3"/>
  <c r="I24" i="3"/>
  <c r="BU23" i="3"/>
  <c r="BT23" i="3"/>
  <c r="BS23" i="3"/>
  <c r="BR23" i="3"/>
  <c r="BQ23" i="3"/>
  <c r="BL23" i="3"/>
  <c r="BG23" i="3"/>
  <c r="BB23" i="3"/>
  <c r="AW23" i="3"/>
  <c r="AR23" i="3"/>
  <c r="AM23" i="3"/>
  <c r="AH23" i="3"/>
  <c r="AC23" i="3"/>
  <c r="X23" i="3"/>
  <c r="S23" i="3"/>
  <c r="N23" i="3"/>
  <c r="I23" i="3"/>
  <c r="G23" i="3"/>
  <c r="BU22" i="3"/>
  <c r="BT22" i="3"/>
  <c r="BS22" i="3"/>
  <c r="BR22" i="3"/>
  <c r="BQ22" i="3"/>
  <c r="BL22" i="3"/>
  <c r="BG22" i="3"/>
  <c r="BB22" i="3"/>
  <c r="AW22" i="3"/>
  <c r="AR22" i="3"/>
  <c r="AM22" i="3"/>
  <c r="AH22" i="3"/>
  <c r="AC22" i="3"/>
  <c r="X22" i="3"/>
  <c r="S22" i="3"/>
  <c r="N22" i="3"/>
  <c r="I22" i="3"/>
  <c r="BU21" i="3"/>
  <c r="BT21" i="3"/>
  <c r="BS21" i="3"/>
  <c r="BR21" i="3"/>
  <c r="BQ21" i="3"/>
  <c r="BL21" i="3"/>
  <c r="BG21" i="3"/>
  <c r="BB21" i="3"/>
  <c r="AW21" i="3"/>
  <c r="AR21" i="3"/>
  <c r="AM21" i="3"/>
  <c r="AH21" i="3"/>
  <c r="AC21" i="3"/>
  <c r="X21" i="3"/>
  <c r="S21" i="3"/>
  <c r="N21" i="3"/>
  <c r="I21" i="3"/>
  <c r="F21" i="3"/>
  <c r="BU20" i="3"/>
  <c r="BT20" i="3"/>
  <c r="BS20" i="3"/>
  <c r="BR20" i="3"/>
  <c r="BQ20" i="3"/>
  <c r="BL20" i="3"/>
  <c r="BG20" i="3"/>
  <c r="BB20" i="3"/>
  <c r="AW20" i="3"/>
  <c r="AR20" i="3"/>
  <c r="AM20" i="3"/>
  <c r="AH20" i="3"/>
  <c r="AC20" i="3"/>
  <c r="X20" i="3"/>
  <c r="S20" i="3"/>
  <c r="N20" i="3"/>
  <c r="G20" i="3"/>
  <c r="I20" i="3" s="1"/>
  <c r="BU19" i="3"/>
  <c r="BT19" i="3"/>
  <c r="BS19" i="3"/>
  <c r="BR19" i="3"/>
  <c r="BQ19" i="3"/>
  <c r="BL19" i="3"/>
  <c r="BG19" i="3"/>
  <c r="BB19" i="3"/>
  <c r="AW19" i="3"/>
  <c r="AR19" i="3"/>
  <c r="AM19" i="3"/>
  <c r="AH19" i="3"/>
  <c r="AC19" i="3"/>
  <c r="X19" i="3"/>
  <c r="S19" i="3"/>
  <c r="N19" i="3"/>
  <c r="I19" i="3"/>
  <c r="BU18" i="3"/>
  <c r="BT18" i="3"/>
  <c r="BS18" i="3"/>
  <c r="BV18" i="3" s="1"/>
  <c r="BR18" i="3"/>
  <c r="BQ18" i="3"/>
  <c r="BL18" i="3"/>
  <c r="BG18" i="3"/>
  <c r="BB18" i="3"/>
  <c r="AW18" i="3"/>
  <c r="AR18" i="3"/>
  <c r="AM18" i="3"/>
  <c r="AH18" i="3"/>
  <c r="AC18" i="3"/>
  <c r="X18" i="3"/>
  <c r="S18" i="3"/>
  <c r="N18" i="3"/>
  <c r="I18" i="3"/>
  <c r="BU17" i="3"/>
  <c r="BT17" i="3"/>
  <c r="BS17" i="3"/>
  <c r="BR17" i="3"/>
  <c r="BQ17" i="3"/>
  <c r="BL17" i="3"/>
  <c r="BG17" i="3"/>
  <c r="BB17" i="3"/>
  <c r="AW17" i="3"/>
  <c r="AR17" i="3"/>
  <c r="AM17" i="3"/>
  <c r="AH17" i="3"/>
  <c r="AC17" i="3"/>
  <c r="X17" i="3"/>
  <c r="S17" i="3"/>
  <c r="N17" i="3"/>
  <c r="I17" i="3"/>
  <c r="BU16" i="3"/>
  <c r="BT16" i="3"/>
  <c r="BS16" i="3"/>
  <c r="BR16" i="3"/>
  <c r="BQ16" i="3"/>
  <c r="BL16" i="3"/>
  <c r="BG16" i="3"/>
  <c r="BB16" i="3"/>
  <c r="AW16" i="3"/>
  <c r="AR16" i="3"/>
  <c r="AM16" i="3"/>
  <c r="AH16" i="3"/>
  <c r="AC16" i="3"/>
  <c r="X16" i="3"/>
  <c r="S16" i="3"/>
  <c r="N16" i="3"/>
  <c r="I16" i="3"/>
  <c r="BT15" i="3"/>
  <c r="BS15" i="3"/>
  <c r="BR15" i="3"/>
  <c r="BQ15" i="3"/>
  <c r="BL15" i="3"/>
  <c r="BF15" i="3"/>
  <c r="BU15" i="3" s="1"/>
  <c r="BB15" i="3"/>
  <c r="AW15" i="3"/>
  <c r="AR15" i="3"/>
  <c r="AM15" i="3"/>
  <c r="AH15" i="3"/>
  <c r="AC15" i="3"/>
  <c r="X15" i="3"/>
  <c r="S15" i="3"/>
  <c r="N15" i="3"/>
  <c r="I15" i="3"/>
  <c r="BU14" i="3"/>
  <c r="BT14" i="3"/>
  <c r="BS14" i="3"/>
  <c r="BR14" i="3"/>
  <c r="BQ14" i="3"/>
  <c r="BL14" i="3"/>
  <c r="BG14" i="3"/>
  <c r="BB14" i="3"/>
  <c r="AW14" i="3"/>
  <c r="AR14" i="3"/>
  <c r="AM14" i="3"/>
  <c r="AH14" i="3"/>
  <c r="AC14" i="3"/>
  <c r="X14" i="3"/>
  <c r="S14" i="3"/>
  <c r="N14" i="3"/>
  <c r="G14" i="3"/>
  <c r="BU13" i="3"/>
  <c r="BT13" i="3"/>
  <c r="BS13" i="3"/>
  <c r="BR13" i="3"/>
  <c r="BQ13" i="3"/>
  <c r="BL13" i="3"/>
  <c r="BG13" i="3"/>
  <c r="BB13" i="3"/>
  <c r="AW13" i="3"/>
  <c r="AR13" i="3"/>
  <c r="AM13" i="3"/>
  <c r="AH13" i="3"/>
  <c r="AC13" i="3"/>
  <c r="X13" i="3"/>
  <c r="S13" i="3"/>
  <c r="N13" i="3"/>
  <c r="I13" i="3"/>
  <c r="BU12" i="3"/>
  <c r="BT12" i="3"/>
  <c r="BS12" i="3"/>
  <c r="BR12" i="3"/>
  <c r="BQ12" i="3"/>
  <c r="BL12" i="3"/>
  <c r="BG12" i="3"/>
  <c r="BB12" i="3"/>
  <c r="AW12" i="3"/>
  <c r="AR12" i="3"/>
  <c r="AM12" i="3"/>
  <c r="AH12" i="3"/>
  <c r="AC12" i="3"/>
  <c r="X12" i="3"/>
  <c r="S12" i="3"/>
  <c r="N12" i="3"/>
  <c r="I12" i="3"/>
  <c r="BU11" i="3"/>
  <c r="BT11" i="3"/>
  <c r="BS11" i="3"/>
  <c r="BV11" i="3" s="1"/>
  <c r="BR11" i="3"/>
  <c r="BQ11" i="3"/>
  <c r="BL11" i="3"/>
  <c r="BG11" i="3"/>
  <c r="BB11" i="3"/>
  <c r="AW11" i="3"/>
  <c r="AR11" i="3"/>
  <c r="AM11" i="3"/>
  <c r="AH11" i="3"/>
  <c r="AC11" i="3"/>
  <c r="X11" i="3"/>
  <c r="S11" i="3"/>
  <c r="N11" i="3"/>
  <c r="F11" i="3"/>
  <c r="BU10" i="3"/>
  <c r="BT10" i="3"/>
  <c r="BS10" i="3"/>
  <c r="BR10" i="3"/>
  <c r="BQ10" i="3"/>
  <c r="BL10" i="3"/>
  <c r="BG10" i="3"/>
  <c r="BB10" i="3"/>
  <c r="AW10" i="3"/>
  <c r="AR10" i="3"/>
  <c r="AM10" i="3"/>
  <c r="AH10" i="3"/>
  <c r="AC10" i="3"/>
  <c r="X10" i="3"/>
  <c r="S10" i="3"/>
  <c r="N10" i="3"/>
  <c r="I10" i="3"/>
  <c r="BU9" i="3"/>
  <c r="BV9" i="3" s="1"/>
  <c r="BT9" i="3"/>
  <c r="BS9" i="3"/>
  <c r="BR9" i="3"/>
  <c r="BQ9" i="3"/>
  <c r="BL9" i="3"/>
  <c r="BG9" i="3"/>
  <c r="BF9" i="3"/>
  <c r="BB9" i="3"/>
  <c r="AW9" i="3"/>
  <c r="AR9" i="3"/>
  <c r="AM9" i="3"/>
  <c r="AH9" i="3"/>
  <c r="AH47" i="3" s="1"/>
  <c r="AC9" i="3"/>
  <c r="X9" i="3"/>
  <c r="S9" i="3"/>
  <c r="N9" i="3"/>
  <c r="I9" i="3"/>
  <c r="BU8" i="3"/>
  <c r="BT8" i="3"/>
  <c r="BS8" i="3"/>
  <c r="BR8" i="3"/>
  <c r="BQ8" i="3"/>
  <c r="BL8" i="3"/>
  <c r="BG8" i="3"/>
  <c r="BB8" i="3"/>
  <c r="AW8" i="3"/>
  <c r="AR8" i="3"/>
  <c r="AM8" i="3"/>
  <c r="AH8" i="3"/>
  <c r="AC8" i="3"/>
  <c r="X8" i="3"/>
  <c r="S8" i="3"/>
  <c r="N8" i="3"/>
  <c r="I8" i="3"/>
  <c r="BU7" i="3"/>
  <c r="BT7" i="3"/>
  <c r="BS7" i="3"/>
  <c r="BQ7" i="3"/>
  <c r="BL7" i="3"/>
  <c r="BC7" i="3"/>
  <c r="BB7" i="3"/>
  <c r="AW7" i="3"/>
  <c r="AR7" i="3"/>
  <c r="AM7" i="3"/>
  <c r="AH7" i="3"/>
  <c r="AC7" i="3"/>
  <c r="X7" i="3"/>
  <c r="S7" i="3"/>
  <c r="N7" i="3"/>
  <c r="I7" i="3"/>
  <c r="E7" i="3"/>
  <c r="E47" i="3" s="1"/>
  <c r="E73" i="3" s="1"/>
  <c r="E77" i="3" s="1"/>
  <c r="DH13" i="6" l="1"/>
  <c r="DH12" i="6" s="1"/>
  <c r="DH7" i="6" s="1"/>
  <c r="DC207" i="6"/>
  <c r="DC8" i="6" s="1"/>
  <c r="BJ207" i="6"/>
  <c r="CS207" i="6"/>
  <c r="CS8" i="6" s="1"/>
  <c r="DW207" i="6"/>
  <c r="DW8" i="6" s="1"/>
  <c r="BT223" i="6"/>
  <c r="V13" i="6"/>
  <c r="V12" i="6" s="1"/>
  <c r="BJ12" i="6"/>
  <c r="DM10" i="6"/>
  <c r="EL210" i="6"/>
  <c r="CS278" i="6"/>
  <c r="CS277" i="6" s="1"/>
  <c r="CS9" i="6" s="1"/>
  <c r="CS10" i="6"/>
  <c r="DH278" i="6"/>
  <c r="DH277" i="6" s="1"/>
  <c r="DH9" i="6" s="1"/>
  <c r="DH10" i="6"/>
  <c r="EL89" i="6"/>
  <c r="EL153" i="6"/>
  <c r="EL158" i="6"/>
  <c r="BE207" i="6"/>
  <c r="BE8" i="6" s="1"/>
  <c r="DR207" i="6"/>
  <c r="DR8" i="6" s="1"/>
  <c r="BT229" i="6"/>
  <c r="CX13" i="6"/>
  <c r="CX12" i="6" s="1"/>
  <c r="CX7" i="6" s="1"/>
  <c r="CX6" i="6" s="1"/>
  <c r="Q207" i="6"/>
  <c r="Q8" i="6" s="1"/>
  <c r="CD207" i="6"/>
  <c r="CD8" i="6" s="1"/>
  <c r="DM207" i="6"/>
  <c r="DM8" i="6" s="1"/>
  <c r="L207" i="6"/>
  <c r="L8" i="6" s="1"/>
  <c r="AP207" i="6"/>
  <c r="AP8" i="6" s="1"/>
  <c r="BT250" i="6"/>
  <c r="CI10" i="6"/>
  <c r="EL46" i="6"/>
  <c r="EL45" i="6" s="1"/>
  <c r="BE13" i="6"/>
  <c r="BE12" i="6" s="1"/>
  <c r="CN13" i="6"/>
  <c r="CN12" i="6" s="1"/>
  <c r="CN7" i="6" s="1"/>
  <c r="CN6" i="6" s="1"/>
  <c r="CD13" i="6"/>
  <c r="CD12" i="6" s="1"/>
  <c r="CD7" i="6" s="1"/>
  <c r="DH33" i="6"/>
  <c r="EL148" i="6"/>
  <c r="AA13" i="6"/>
  <c r="EL61" i="6"/>
  <c r="EB207" i="6"/>
  <c r="EB8" i="6" s="1"/>
  <c r="EL209" i="6"/>
  <c r="S40" i="11"/>
  <c r="AG40" i="11"/>
  <c r="BA73" i="3"/>
  <c r="BA77" i="3" s="1"/>
  <c r="AQ54" i="9"/>
  <c r="AG12" i="9"/>
  <c r="AG40" i="9" s="1"/>
  <c r="AG81" i="9" s="1"/>
  <c r="AL13" i="9"/>
  <c r="AL12" i="9" s="1"/>
  <c r="M58" i="9"/>
  <c r="AQ58" i="9"/>
  <c r="BZ12" i="9"/>
  <c r="BZ40" i="9" s="1"/>
  <c r="AG68" i="9"/>
  <c r="BK68" i="9"/>
  <c r="AQ55" i="9"/>
  <c r="BK12" i="9"/>
  <c r="BK40" i="9" s="1"/>
  <c r="CY12" i="9"/>
  <c r="CY40" i="9" s="1"/>
  <c r="DD13" i="9"/>
  <c r="DD12" i="9" s="1"/>
  <c r="DD40" i="9" s="1"/>
  <c r="EH13" i="9"/>
  <c r="EH12" i="9" s="1"/>
  <c r="EH40" i="9" s="1"/>
  <c r="BU59" i="9"/>
  <c r="EC12" i="9"/>
  <c r="EC40" i="9" s="1"/>
  <c r="EM17" i="9"/>
  <c r="BU27" i="9"/>
  <c r="BU68" i="9" s="1"/>
  <c r="H12" i="9"/>
  <c r="H40" i="9" s="1"/>
  <c r="BP13" i="9"/>
  <c r="BP54" i="9" s="1"/>
  <c r="CJ12" i="9"/>
  <c r="CJ40" i="9" s="1"/>
  <c r="DN12" i="9"/>
  <c r="DN40" i="9" s="1"/>
  <c r="DI13" i="9"/>
  <c r="DI12" i="9" s="1"/>
  <c r="DI40" i="9" s="1"/>
  <c r="EM13" i="9"/>
  <c r="BU54" i="9" s="1"/>
  <c r="W58" i="9"/>
  <c r="BA58" i="9"/>
  <c r="M68" i="9"/>
  <c r="AQ68" i="9"/>
  <c r="R73" i="9"/>
  <c r="AV73" i="9"/>
  <c r="BU55" i="9"/>
  <c r="CO13" i="9"/>
  <c r="CO12" i="9" s="1"/>
  <c r="CO40" i="9" s="1"/>
  <c r="DS13" i="9"/>
  <c r="DS12" i="9" s="1"/>
  <c r="DS40" i="9" s="1"/>
  <c r="AG58" i="9"/>
  <c r="BK58" i="9"/>
  <c r="BU60" i="9"/>
  <c r="W68" i="9"/>
  <c r="BA68" i="9"/>
  <c r="BU79" i="9"/>
  <c r="AB54" i="9"/>
  <c r="AB12" i="9"/>
  <c r="BF54" i="9"/>
  <c r="BF12" i="9"/>
  <c r="AL54" i="9"/>
  <c r="EM12" i="9"/>
  <c r="R13" i="9"/>
  <c r="AV13" i="9"/>
  <c r="BU17" i="9"/>
  <c r="BU58" i="9" s="1"/>
  <c r="AB55" i="9"/>
  <c r="BF55" i="9"/>
  <c r="BU70" i="9"/>
  <c r="M12" i="9"/>
  <c r="AQ12" i="9"/>
  <c r="BU12" i="9"/>
  <c r="W13" i="9"/>
  <c r="BA13" i="9"/>
  <c r="EM23" i="9"/>
  <c r="EM32" i="9"/>
  <c r="BK53" i="9"/>
  <c r="BO15" i="8"/>
  <c r="V18" i="8"/>
  <c r="AK17" i="8"/>
  <c r="EB17" i="8"/>
  <c r="EB13" i="8" s="1"/>
  <c r="EL22" i="8"/>
  <c r="BT32" i="8"/>
  <c r="EL47" i="8"/>
  <c r="BT52" i="8"/>
  <c r="CS17" i="8"/>
  <c r="CS13" i="8" s="1"/>
  <c r="AA62" i="8"/>
  <c r="BT63" i="8"/>
  <c r="BT62" i="8" s="1"/>
  <c r="BT14" i="8" s="1"/>
  <c r="BY68" i="8"/>
  <c r="BY63" i="8" s="1"/>
  <c r="BY62" i="8" s="1"/>
  <c r="BY14" i="8" s="1"/>
  <c r="CS72" i="8"/>
  <c r="CS15" i="8" s="1"/>
  <c r="DW72" i="8"/>
  <c r="DW15" i="8" s="1"/>
  <c r="EL77" i="8"/>
  <c r="G107" i="8"/>
  <c r="G103" i="8" s="1"/>
  <c r="CI102" i="8"/>
  <c r="EL42" i="8"/>
  <c r="EL52" i="8"/>
  <c r="BT64" i="8"/>
  <c r="DC72" i="8"/>
  <c r="DC15" i="8" s="1"/>
  <c r="EG72" i="8"/>
  <c r="EG15" i="8" s="1"/>
  <c r="CX72" i="8"/>
  <c r="CX15" i="8" s="1"/>
  <c r="CX12" i="8" s="1"/>
  <c r="EB72" i="8"/>
  <c r="EB15" i="8" s="1"/>
  <c r="EL82" i="8"/>
  <c r="AP107" i="8"/>
  <c r="AP103" i="8" s="1"/>
  <c r="BT123" i="8"/>
  <c r="EL155" i="8"/>
  <c r="EL104" i="8" s="1"/>
  <c r="DM155" i="8"/>
  <c r="DM104" i="8" s="1"/>
  <c r="DC155" i="8"/>
  <c r="DC104" i="8" s="1"/>
  <c r="BO167" i="8"/>
  <c r="BO105" i="8" s="1"/>
  <c r="EL183" i="8"/>
  <c r="AK72" i="8"/>
  <c r="DW102" i="8"/>
  <c r="BT109" i="8"/>
  <c r="BT135" i="8"/>
  <c r="BT151" i="8"/>
  <c r="AF155" i="8"/>
  <c r="AF104" i="8" s="1"/>
  <c r="BT168" i="8"/>
  <c r="EL57" i="8"/>
  <c r="DM62" i="8"/>
  <c r="DM14" i="8" s="1"/>
  <c r="CS107" i="8"/>
  <c r="CS103" i="8" s="1"/>
  <c r="EB107" i="8"/>
  <c r="EB103" i="8" s="1"/>
  <c r="BT127" i="8"/>
  <c r="EL135" i="8"/>
  <c r="BT169" i="8"/>
  <c r="BT167" i="8" s="1"/>
  <c r="BT105" i="8" s="1"/>
  <c r="BO18" i="8"/>
  <c r="BO17" i="8" s="1"/>
  <c r="DM17" i="8"/>
  <c r="DM13" i="8" s="1"/>
  <c r="DM12" i="8" s="1"/>
  <c r="CI17" i="8"/>
  <c r="CI13" i="8" s="1"/>
  <c r="BJ62" i="8"/>
  <c r="CS62" i="8"/>
  <c r="CS14" i="8" s="1"/>
  <c r="DW62" i="8"/>
  <c r="DW14" i="8" s="1"/>
  <c r="DW12" i="8" s="1"/>
  <c r="DR62" i="8"/>
  <c r="DR14" i="8" s="1"/>
  <c r="CN72" i="8"/>
  <c r="CN15" i="8" s="1"/>
  <c r="CN12" i="8" s="1"/>
  <c r="BT77" i="8"/>
  <c r="BT87" i="8"/>
  <c r="V107" i="8"/>
  <c r="V103" i="8" s="1"/>
  <c r="BY128" i="8"/>
  <c r="BY47" i="8"/>
  <c r="AK13" i="8"/>
  <c r="AK15" i="8"/>
  <c r="EL18" i="8"/>
  <c r="CI12" i="8"/>
  <c r="BJ14" i="8"/>
  <c r="AF14" i="8"/>
  <c r="Q17" i="8"/>
  <c r="BO13" i="8"/>
  <c r="EG17" i="8"/>
  <c r="EG13" i="8" s="1"/>
  <c r="EG12" i="8" s="1"/>
  <c r="BT37" i="8"/>
  <c r="AA18" i="8"/>
  <c r="BE18" i="8"/>
  <c r="AZ62" i="8"/>
  <c r="BT75" i="8"/>
  <c r="BY80" i="8"/>
  <c r="BY75" i="8" s="1"/>
  <c r="BY85" i="8"/>
  <c r="BY82" i="8" s="1"/>
  <c r="CD102" i="8"/>
  <c r="CX102" i="8"/>
  <c r="BY127" i="8"/>
  <c r="AA105" i="8"/>
  <c r="DR12" i="8"/>
  <c r="EL179" i="8"/>
  <c r="BT47" i="8"/>
  <c r="AF18" i="8"/>
  <c r="BJ18" i="8"/>
  <c r="BE62" i="8"/>
  <c r="AF72" i="8"/>
  <c r="AA107" i="8"/>
  <c r="AF107" i="8"/>
  <c r="BJ107" i="8"/>
  <c r="DC102" i="8"/>
  <c r="EL139" i="8"/>
  <c r="V167" i="8"/>
  <c r="AZ167" i="8"/>
  <c r="EL175" i="8"/>
  <c r="L17" i="8"/>
  <c r="EL27" i="8"/>
  <c r="BT57" i="8"/>
  <c r="BY58" i="8"/>
  <c r="BY57" i="8" s="1"/>
  <c r="L62" i="8"/>
  <c r="EL113" i="8"/>
  <c r="AZ18" i="8"/>
  <c r="DC17" i="8"/>
  <c r="DC13" i="8" s="1"/>
  <c r="BT19" i="8"/>
  <c r="BT17" i="8" s="1"/>
  <c r="BT13" i="8" s="1"/>
  <c r="BY67" i="8"/>
  <c r="Q72" i="8"/>
  <c r="AU15" i="8"/>
  <c r="BY73" i="8"/>
  <c r="EL92" i="8"/>
  <c r="BT97" i="8"/>
  <c r="BY98" i="8"/>
  <c r="BY97" i="8" s="1"/>
  <c r="G102" i="8"/>
  <c r="AZ103" i="8"/>
  <c r="DM109" i="8"/>
  <c r="BT111" i="8"/>
  <c r="EL143" i="8"/>
  <c r="AA155" i="8"/>
  <c r="BJ155" i="8"/>
  <c r="AU13" i="8"/>
  <c r="AA14" i="8"/>
  <c r="AP14" i="8"/>
  <c r="AP17" i="8"/>
  <c r="DH17" i="8"/>
  <c r="DH13" i="8" s="1"/>
  <c r="EL32" i="8"/>
  <c r="EL19" i="8"/>
  <c r="V62" i="8"/>
  <c r="EL67" i="8"/>
  <c r="AP72" i="8"/>
  <c r="V72" i="8"/>
  <c r="AZ72" i="8"/>
  <c r="CD72" i="8"/>
  <c r="CD15" i="8" s="1"/>
  <c r="CD12" i="8" s="1"/>
  <c r="DH72" i="8"/>
  <c r="DH15" i="8" s="1"/>
  <c r="EL73" i="8"/>
  <c r="BY19" i="8"/>
  <c r="BY17" i="8" s="1"/>
  <c r="BY13" i="8" s="1"/>
  <c r="EL97" i="8"/>
  <c r="BE107" i="8"/>
  <c r="DH102" i="8"/>
  <c r="AU107" i="8"/>
  <c r="BT115" i="8"/>
  <c r="BT108" i="8"/>
  <c r="BT107" i="8" s="1"/>
  <c r="BT103" i="8" s="1"/>
  <c r="BO155" i="8"/>
  <c r="V17" i="8"/>
  <c r="AK62" i="8"/>
  <c r="BO62" i="8"/>
  <c r="EL131" i="8"/>
  <c r="V104" i="8"/>
  <c r="EL115" i="8"/>
  <c r="EL169" i="8"/>
  <c r="BY93" i="8"/>
  <c r="BY92" i="8" s="1"/>
  <c r="AK107" i="8"/>
  <c r="EL119" i="8"/>
  <c r="EL151" i="8"/>
  <c r="BY53" i="8"/>
  <c r="EL63" i="8"/>
  <c r="BT65" i="8"/>
  <c r="BT74" i="8"/>
  <c r="BT72" i="8" s="1"/>
  <c r="BT15" i="8" s="1"/>
  <c r="EL75" i="8"/>
  <c r="BY88" i="8"/>
  <c r="AK105" i="8"/>
  <c r="L107" i="8"/>
  <c r="DM108" i="8"/>
  <c r="EL112" i="8"/>
  <c r="BY123" i="8"/>
  <c r="EL163" i="8"/>
  <c r="BE167" i="8"/>
  <c r="L167" i="8"/>
  <c r="AP167" i="8"/>
  <c r="Q62" i="8"/>
  <c r="AU62" i="8"/>
  <c r="AA72" i="8"/>
  <c r="BE72" i="8"/>
  <c r="Q107" i="8"/>
  <c r="EG107" i="8"/>
  <c r="EG103" i="8" s="1"/>
  <c r="EG102" i="8" s="1"/>
  <c r="CS155" i="8"/>
  <c r="CS104" i="8" s="1"/>
  <c r="CS102" i="8" s="1"/>
  <c r="EB155" i="8"/>
  <c r="EB104" i="8" s="1"/>
  <c r="BE155" i="8"/>
  <c r="BT163" i="8"/>
  <c r="BT156" i="8"/>
  <c r="BT155" i="8" s="1"/>
  <c r="BT104" i="8" s="1"/>
  <c r="EL168" i="8"/>
  <c r="AK155" i="8"/>
  <c r="Q167" i="8"/>
  <c r="AU167" i="8"/>
  <c r="BE15" i="7"/>
  <c r="BY113" i="7"/>
  <c r="BY66" i="7"/>
  <c r="BY65" i="7" s="1"/>
  <c r="BY15" i="7" s="1"/>
  <c r="AA16" i="7"/>
  <c r="BT18" i="7"/>
  <c r="EL32" i="7"/>
  <c r="EL116" i="7"/>
  <c r="DC122" i="7"/>
  <c r="DC16" i="7" s="1"/>
  <c r="EG122" i="7"/>
  <c r="EG16" i="7" s="1"/>
  <c r="EL142" i="7"/>
  <c r="CX12" i="7"/>
  <c r="EL18" i="7"/>
  <c r="DM12" i="7"/>
  <c r="CI122" i="7"/>
  <c r="CI16" i="7" s="1"/>
  <c r="CI12" i="7" s="1"/>
  <c r="CS12" i="7"/>
  <c r="AK16" i="7"/>
  <c r="DC12" i="7"/>
  <c r="EL45" i="7"/>
  <c r="EL83" i="7"/>
  <c r="BT92" i="7"/>
  <c r="DW12" i="7"/>
  <c r="CN12" i="7"/>
  <c r="BE13" i="7"/>
  <c r="V15" i="7"/>
  <c r="CD12" i="7"/>
  <c r="BY28" i="7"/>
  <c r="BY18" i="7" s="1"/>
  <c r="BY13" i="7" s="1"/>
  <c r="BT31" i="7"/>
  <c r="BT60" i="7"/>
  <c r="CD122" i="7"/>
  <c r="CD16" i="7" s="1"/>
  <c r="DH122" i="7"/>
  <c r="DH16" i="7" s="1"/>
  <c r="DH12" i="7" s="1"/>
  <c r="AA15" i="7"/>
  <c r="AA12" i="7" s="1"/>
  <c r="EL31" i="7"/>
  <c r="EL40" i="7"/>
  <c r="L65" i="7"/>
  <c r="DW122" i="7"/>
  <c r="DW16" i="7" s="1"/>
  <c r="V122" i="7"/>
  <c r="BT125" i="7"/>
  <c r="EB122" i="7"/>
  <c r="EB16" i="7" s="1"/>
  <c r="EB12" i="7" s="1"/>
  <c r="EL132" i="7"/>
  <c r="EL147" i="7"/>
  <c r="BT13" i="7"/>
  <c r="EL13" i="7"/>
  <c r="EG12" i="7"/>
  <c r="V16" i="7"/>
  <c r="Q14" i="7"/>
  <c r="AU14" i="7"/>
  <c r="AZ15" i="7"/>
  <c r="BE16" i="7"/>
  <c r="BT33" i="7"/>
  <c r="BY37" i="7"/>
  <c r="BY42" i="7"/>
  <c r="BT45" i="7"/>
  <c r="AU65" i="7"/>
  <c r="EL66" i="7"/>
  <c r="BT68" i="7"/>
  <c r="BO122" i="7"/>
  <c r="AP122" i="7"/>
  <c r="BT142" i="7"/>
  <c r="BT83" i="7"/>
  <c r="Q13" i="7"/>
  <c r="AU13" i="7"/>
  <c r="EL33" i="7"/>
  <c r="BT40" i="7"/>
  <c r="Q65" i="7"/>
  <c r="BT104" i="7"/>
  <c r="EL110" i="7"/>
  <c r="AF122" i="7"/>
  <c r="BJ122" i="7"/>
  <c r="EL124" i="7"/>
  <c r="V13" i="7"/>
  <c r="AZ13" i="7"/>
  <c r="BT32" i="7"/>
  <c r="BT98" i="7"/>
  <c r="EL113" i="7"/>
  <c r="EL35" i="7"/>
  <c r="AK65" i="7"/>
  <c r="BT77" i="7"/>
  <c r="BT89" i="7"/>
  <c r="EL119" i="7"/>
  <c r="L15" i="7"/>
  <c r="BT35" i="7"/>
  <c r="AP65" i="7"/>
  <c r="BT66" i="7"/>
  <c r="BT74" i="7"/>
  <c r="BT116" i="7"/>
  <c r="BT119" i="7"/>
  <c r="Q122" i="7"/>
  <c r="AU122" i="7"/>
  <c r="EL127" i="7"/>
  <c r="EL123" i="7"/>
  <c r="L122" i="7"/>
  <c r="BT124" i="7"/>
  <c r="BT123" i="7"/>
  <c r="BT152" i="7"/>
  <c r="BY281" i="6"/>
  <c r="AZ12" i="6"/>
  <c r="AZ7" i="6" s="1"/>
  <c r="EL16" i="6"/>
  <c r="CN207" i="6"/>
  <c r="CN8" i="6" s="1"/>
  <c r="DH207" i="6"/>
  <c r="DH8" i="6" s="1"/>
  <c r="DH6" i="6" s="1"/>
  <c r="EL283" i="6"/>
  <c r="AA307" i="6"/>
  <c r="AA10" i="6" s="1"/>
  <c r="EL315" i="6"/>
  <c r="EL339" i="6"/>
  <c r="AU207" i="6"/>
  <c r="BY260" i="6"/>
  <c r="AP278" i="6"/>
  <c r="BO12" i="6"/>
  <c r="BO7" i="6" s="1"/>
  <c r="BT137" i="6"/>
  <c r="BT198" i="6"/>
  <c r="AA207" i="6"/>
  <c r="AA8" i="6" s="1"/>
  <c r="BJ8" i="6"/>
  <c r="BY65" i="6"/>
  <c r="EL99" i="6"/>
  <c r="EL104" i="6"/>
  <c r="BY112" i="6"/>
  <c r="EG207" i="6"/>
  <c r="EG8" i="6" s="1"/>
  <c r="AF207" i="6"/>
  <c r="EL125" i="6"/>
  <c r="EL137" i="6"/>
  <c r="EL213" i="6"/>
  <c r="EL239" i="6"/>
  <c r="BT267" i="6"/>
  <c r="BT292" i="6"/>
  <c r="EL333" i="6"/>
  <c r="EL147" i="6"/>
  <c r="BT18" i="6"/>
  <c r="DC13" i="6"/>
  <c r="DC12" i="6" s="1"/>
  <c r="DC7" i="6" s="1"/>
  <c r="DC6" i="6" s="1"/>
  <c r="EL15" i="6"/>
  <c r="EL94" i="6"/>
  <c r="BT125" i="6"/>
  <c r="Q152" i="6"/>
  <c r="BT153" i="6"/>
  <c r="AU152" i="6"/>
  <c r="EL157" i="6"/>
  <c r="CI167" i="6"/>
  <c r="EL168" i="6"/>
  <c r="AK172" i="6"/>
  <c r="CI172" i="6"/>
  <c r="EB13" i="6"/>
  <c r="EB12" i="6" s="1"/>
  <c r="EB7" i="6" s="1"/>
  <c r="EB6" i="6" s="1"/>
  <c r="EL289" i="6"/>
  <c r="BT304" i="6"/>
  <c r="L278" i="6"/>
  <c r="EL22" i="6"/>
  <c r="BT46" i="6"/>
  <c r="V45" i="6"/>
  <c r="AZ45" i="6"/>
  <c r="EL52" i="6"/>
  <c r="EL14" i="6"/>
  <c r="BY16" i="6"/>
  <c r="AK67" i="6"/>
  <c r="CI67" i="6"/>
  <c r="DR67" i="6"/>
  <c r="DR13" i="6"/>
  <c r="DR12" i="6" s="1"/>
  <c r="DR7" i="6" s="1"/>
  <c r="BT119" i="6"/>
  <c r="BY120" i="6"/>
  <c r="V207" i="6"/>
  <c r="AZ207" i="6"/>
  <c r="BT244" i="6"/>
  <c r="EL28" i="6"/>
  <c r="CI27" i="6"/>
  <c r="AF13" i="6"/>
  <c r="AF33" i="6"/>
  <c r="BT34" i="6"/>
  <c r="EG33" i="6"/>
  <c r="Q39" i="6"/>
  <c r="BT40" i="6"/>
  <c r="DC39" i="6"/>
  <c r="EG39" i="6"/>
  <c r="AA12" i="6"/>
  <c r="CI13" i="6"/>
  <c r="CI12" i="6" s="1"/>
  <c r="CI7" i="6" s="1"/>
  <c r="DM13" i="6"/>
  <c r="DM12" i="6" s="1"/>
  <c r="DM7" i="6" s="1"/>
  <c r="DM6" i="6" s="1"/>
  <c r="BT84" i="6"/>
  <c r="BY85" i="6"/>
  <c r="BY102" i="6"/>
  <c r="BT28" i="6"/>
  <c r="L27" i="6"/>
  <c r="AP13" i="6"/>
  <c r="AP27" i="6"/>
  <c r="EL34" i="6"/>
  <c r="EL40" i="6"/>
  <c r="EL57" i="6"/>
  <c r="CD56" i="6"/>
  <c r="BT15" i="6"/>
  <c r="BY64" i="6"/>
  <c r="BY91" i="6"/>
  <c r="BY105" i="6"/>
  <c r="BT104" i="6"/>
  <c r="CD114" i="6"/>
  <c r="EL115" i="6"/>
  <c r="EL152" i="6"/>
  <c r="Q157" i="6"/>
  <c r="AU157" i="6"/>
  <c r="CS13" i="6"/>
  <c r="CS12" i="6" s="1"/>
  <c r="CS7" i="6" s="1"/>
  <c r="CS6" i="6" s="1"/>
  <c r="DW13" i="6"/>
  <c r="DW12" i="6" s="1"/>
  <c r="DW7" i="6" s="1"/>
  <c r="DW6" i="6" s="1"/>
  <c r="AK56" i="6"/>
  <c r="BT73" i="6"/>
  <c r="BT132" i="6"/>
  <c r="L131" i="6"/>
  <c r="V162" i="6"/>
  <c r="BE162" i="6"/>
  <c r="EL198" i="6"/>
  <c r="BJ7" i="6"/>
  <c r="AK13" i="6"/>
  <c r="BT22" i="6"/>
  <c r="V21" i="6"/>
  <c r="AZ21" i="6"/>
  <c r="L13" i="6"/>
  <c r="BT52" i="6"/>
  <c r="L51" i="6"/>
  <c r="AZ51" i="6"/>
  <c r="BT14" i="6"/>
  <c r="BT16" i="6"/>
  <c r="CD21" i="6"/>
  <c r="CX27" i="6"/>
  <c r="EB27" i="6"/>
  <c r="CD45" i="6"/>
  <c r="EL74" i="6"/>
  <c r="EL78" i="6"/>
  <c r="BT94" i="6"/>
  <c r="CD147" i="6"/>
  <c r="DH147" i="6"/>
  <c r="AA152" i="6"/>
  <c r="EB152" i="6"/>
  <c r="EB157" i="6"/>
  <c r="CI162" i="6"/>
  <c r="EL163" i="6"/>
  <c r="AF167" i="6"/>
  <c r="BT168" i="6"/>
  <c r="BT208" i="6"/>
  <c r="BT210" i="6"/>
  <c r="EL311" i="6"/>
  <c r="BY63" i="6"/>
  <c r="AU67" i="6"/>
  <c r="EL84" i="6"/>
  <c r="BY101" i="6"/>
  <c r="BY99" i="6" s="1"/>
  <c r="EL119" i="6"/>
  <c r="AA157" i="6"/>
  <c r="BE157" i="6"/>
  <c r="BT213" i="6"/>
  <c r="Q278" i="6"/>
  <c r="BT318" i="6"/>
  <c r="BT68" i="6"/>
  <c r="EG67" i="6"/>
  <c r="BY87" i="6"/>
  <c r="BY90" i="6"/>
  <c r="BY97" i="6"/>
  <c r="BY94" i="6" s="1"/>
  <c r="BY110" i="6"/>
  <c r="CN114" i="6"/>
  <c r="BT115" i="6"/>
  <c r="BY122" i="6"/>
  <c r="EL142" i="6"/>
  <c r="EG152" i="6"/>
  <c r="AF162" i="6"/>
  <c r="AK162" i="6"/>
  <c r="AP167" i="6"/>
  <c r="DR167" i="6"/>
  <c r="BT173" i="6"/>
  <c r="EL184" i="6"/>
  <c r="EL218" i="6"/>
  <c r="BT262" i="6"/>
  <c r="BO277" i="6"/>
  <c r="BY280" i="6"/>
  <c r="BY278" i="6"/>
  <c r="BY277" i="6" s="1"/>
  <c r="BY9" i="6" s="1"/>
  <c r="BE278" i="6"/>
  <c r="AK21" i="6"/>
  <c r="AA27" i="6"/>
  <c r="BE27" i="6"/>
  <c r="Q33" i="6"/>
  <c r="AU33" i="6"/>
  <c r="AF39" i="6"/>
  <c r="AK45" i="6"/>
  <c r="AA51" i="6"/>
  <c r="V56" i="6"/>
  <c r="AZ56" i="6"/>
  <c r="BT61" i="6"/>
  <c r="BT78" i="6"/>
  <c r="BT89" i="6"/>
  <c r="BT99" i="6"/>
  <c r="BY107" i="6"/>
  <c r="BT109" i="6"/>
  <c r="CS114" i="6"/>
  <c r="EL131" i="6"/>
  <c r="BT148" i="6"/>
  <c r="AK152" i="6"/>
  <c r="BY186" i="6"/>
  <c r="BY196" i="6"/>
  <c r="BT218" i="6"/>
  <c r="BT239" i="6"/>
  <c r="Q13" i="6"/>
  <c r="AU13" i="6"/>
  <c r="EG13" i="6"/>
  <c r="EG12" i="6" s="1"/>
  <c r="EG7" i="6" s="1"/>
  <c r="EG6" i="6" s="1"/>
  <c r="AP21" i="6"/>
  <c r="AF27" i="6"/>
  <c r="V33" i="6"/>
  <c r="AZ33" i="6"/>
  <c r="CS39" i="6"/>
  <c r="DW39" i="6"/>
  <c r="AP45" i="6"/>
  <c r="AA56" i="6"/>
  <c r="BE56" i="6"/>
  <c r="BT57" i="6"/>
  <c r="BY61" i="6"/>
  <c r="EB67" i="6"/>
  <c r="EL68" i="6"/>
  <c r="BY86" i="6"/>
  <c r="BY106" i="6"/>
  <c r="EL109" i="6"/>
  <c r="AK114" i="6"/>
  <c r="CX114" i="6"/>
  <c r="EB114" i="6"/>
  <c r="BY121" i="6"/>
  <c r="BT142" i="6"/>
  <c r="DM147" i="6"/>
  <c r="BE152" i="6"/>
  <c r="AK157" i="6"/>
  <c r="BT158" i="6"/>
  <c r="BT163" i="6"/>
  <c r="EG162" i="6"/>
  <c r="EL173" i="6"/>
  <c r="G207" i="6"/>
  <c r="AK207" i="6"/>
  <c r="BO207" i="6"/>
  <c r="BT256" i="6"/>
  <c r="BT209" i="6"/>
  <c r="AU278" i="6"/>
  <c r="EL330" i="6"/>
  <c r="EB167" i="6"/>
  <c r="EG172" i="6"/>
  <c r="BT211" i="6"/>
  <c r="CI234" i="6"/>
  <c r="CI272" i="6"/>
  <c r="BT280" i="6"/>
  <c r="EL280" i="6"/>
  <c r="EL292" i="6"/>
  <c r="BT298" i="6"/>
  <c r="EL304" i="6"/>
  <c r="EL318" i="6"/>
  <c r="BT336" i="6"/>
  <c r="AA278" i="6"/>
  <c r="CD307" i="6"/>
  <c r="EL308" i="6"/>
  <c r="BT295" i="6"/>
  <c r="BT308" i="6"/>
  <c r="EL324" i="6"/>
  <c r="BT327" i="6"/>
  <c r="CI208" i="6"/>
  <c r="CI207" i="6" s="1"/>
  <c r="CI8" i="6" s="1"/>
  <c r="EL224" i="6"/>
  <c r="BY227" i="6"/>
  <c r="EL230" i="6"/>
  <c r="BT234" i="6"/>
  <c r="EL251" i="6"/>
  <c r="BY254" i="6"/>
  <c r="EL256" i="6"/>
  <c r="EL262" i="6"/>
  <c r="EL268" i="6"/>
  <c r="BT272" i="6"/>
  <c r="G277" i="6"/>
  <c r="EL286" i="6"/>
  <c r="AZ307" i="6"/>
  <c r="CI218" i="6"/>
  <c r="CI223" i="6"/>
  <c r="EL235" i="6"/>
  <c r="EL245" i="6"/>
  <c r="BY248" i="6"/>
  <c r="CI256" i="6"/>
  <c r="CI262" i="6"/>
  <c r="EL273" i="6"/>
  <c r="AP277" i="6"/>
  <c r="BT286" i="6"/>
  <c r="EL298" i="6"/>
  <c r="V307" i="6"/>
  <c r="EL321" i="6"/>
  <c r="BT324" i="6"/>
  <c r="BT333" i="6"/>
  <c r="EL295" i="6"/>
  <c r="BJ307" i="6"/>
  <c r="EL336" i="6"/>
  <c r="R13" i="4"/>
  <c r="EM14" i="4"/>
  <c r="ET14" i="4" s="1"/>
  <c r="AQ106" i="4"/>
  <c r="AQ84" i="4"/>
  <c r="EC23" i="4"/>
  <c r="DI44" i="4"/>
  <c r="AV13" i="4"/>
  <c r="AG23" i="4"/>
  <c r="BZ23" i="4"/>
  <c r="DD23" i="4"/>
  <c r="EH23" i="4"/>
  <c r="AL101" i="4"/>
  <c r="BP101" i="4"/>
  <c r="AL84" i="4"/>
  <c r="BP84" i="4"/>
  <c r="BU87" i="4"/>
  <c r="BK101" i="4"/>
  <c r="CO44" i="4"/>
  <c r="DS44" i="4"/>
  <c r="DS77" i="4" s="1"/>
  <c r="BF44" i="4"/>
  <c r="M84" i="4"/>
  <c r="BU91" i="4"/>
  <c r="R101" i="4"/>
  <c r="EM13" i="4"/>
  <c r="H23" i="4"/>
  <c r="DX23" i="4"/>
  <c r="CE23" i="4"/>
  <c r="DI23" i="4"/>
  <c r="ET24" i="4"/>
  <c r="CY23" i="4"/>
  <c r="M101" i="4"/>
  <c r="AQ101" i="4"/>
  <c r="W44" i="4"/>
  <c r="CE44" i="4"/>
  <c r="AG93" i="4"/>
  <c r="R94" i="4"/>
  <c r="EC44" i="4"/>
  <c r="EC77" i="4" s="1"/>
  <c r="BA44" i="4"/>
  <c r="CY77" i="4"/>
  <c r="AQ83" i="4"/>
  <c r="CO23" i="4"/>
  <c r="CO77" i="4" s="1"/>
  <c r="BK94" i="4"/>
  <c r="W35" i="4"/>
  <c r="W106" i="4" s="1"/>
  <c r="W107" i="4"/>
  <c r="BP111" i="4"/>
  <c r="BP39" i="4"/>
  <c r="BP110" i="4" s="1"/>
  <c r="AG13" i="4"/>
  <c r="BK13" i="4"/>
  <c r="BK23" i="4"/>
  <c r="BK93" i="4" s="1"/>
  <c r="AL24" i="4"/>
  <c r="BP24" i="4"/>
  <c r="AG101" i="4"/>
  <c r="H52" i="4"/>
  <c r="H44" i="4" s="1"/>
  <c r="AL52" i="4"/>
  <c r="AL44" i="4" s="1"/>
  <c r="BP52" i="4"/>
  <c r="BP44" i="4" s="1"/>
  <c r="ET57" i="4"/>
  <c r="BU98" i="4"/>
  <c r="R102" i="4"/>
  <c r="AG107" i="4"/>
  <c r="AL108" i="4"/>
  <c r="CJ77" i="4"/>
  <c r="AG94" i="4"/>
  <c r="BF101" i="4"/>
  <c r="AL111" i="4"/>
  <c r="AL39" i="4"/>
  <c r="AL110" i="4" s="1"/>
  <c r="ET46" i="4"/>
  <c r="EM45" i="4"/>
  <c r="AL13" i="4"/>
  <c r="BP13" i="4"/>
  <c r="BU14" i="4"/>
  <c r="ET15" i="4"/>
  <c r="M24" i="4"/>
  <c r="AQ24" i="4"/>
  <c r="BU24" i="4"/>
  <c r="AB98" i="4"/>
  <c r="BF98" i="4"/>
  <c r="ET27" i="4"/>
  <c r="EM30" i="4"/>
  <c r="ET30" i="4" s="1"/>
  <c r="AB102" i="4"/>
  <c r="BF102" i="4"/>
  <c r="ET31" i="4"/>
  <c r="AG103" i="4"/>
  <c r="BK103" i="4"/>
  <c r="BF106" i="4"/>
  <c r="AG106" i="4"/>
  <c r="BK106" i="4"/>
  <c r="M108" i="4"/>
  <c r="AQ108" i="4"/>
  <c r="BU108" i="4"/>
  <c r="W110" i="4"/>
  <c r="BK110" i="4"/>
  <c r="R39" i="4"/>
  <c r="R110" i="4" s="1"/>
  <c r="R111" i="4"/>
  <c r="AV39" i="4"/>
  <c r="AV110" i="4" s="1"/>
  <c r="AV111" i="4"/>
  <c r="EM39" i="4"/>
  <c r="ET39" i="4" s="1"/>
  <c r="ET40" i="4"/>
  <c r="ET70" i="4"/>
  <c r="R95" i="4"/>
  <c r="AV102" i="4"/>
  <c r="BK107" i="4"/>
  <c r="BP108" i="4"/>
  <c r="BA35" i="4"/>
  <c r="BA106" i="4" s="1"/>
  <c r="BA107" i="4"/>
  <c r="ET36" i="4"/>
  <c r="EM35" i="4"/>
  <c r="ET35" i="4" s="1"/>
  <c r="BA110" i="4"/>
  <c r="M13" i="4"/>
  <c r="BU86" i="4"/>
  <c r="AV24" i="4"/>
  <c r="AL99" i="4"/>
  <c r="BP99" i="4"/>
  <c r="R106" i="4"/>
  <c r="AB39" i="4"/>
  <c r="AB110" i="4" s="1"/>
  <c r="BU39" i="4"/>
  <c r="W111" i="4"/>
  <c r="BA111" i="4"/>
  <c r="DD44" i="4"/>
  <c r="R52" i="4"/>
  <c r="R44" i="4" s="1"/>
  <c r="AV52" i="4"/>
  <c r="AV44" i="4" s="1"/>
  <c r="BZ52" i="4"/>
  <c r="BZ44" i="4" s="1"/>
  <c r="BZ77" i="4" s="1"/>
  <c r="DD52" i="4"/>
  <c r="EH52" i="4"/>
  <c r="EH44" i="4" s="1"/>
  <c r="EH77" i="4" s="1"/>
  <c r="W67" i="4"/>
  <c r="BZ83" i="4" s="1"/>
  <c r="BA67" i="4"/>
  <c r="CE67" i="4"/>
  <c r="CE77" i="4" s="1"/>
  <c r="DI67" i="4"/>
  <c r="DI77" i="4" s="1"/>
  <c r="ET68" i="4"/>
  <c r="AB83" i="4"/>
  <c r="R83" i="4"/>
  <c r="AV83" i="4"/>
  <c r="W84" i="4"/>
  <c r="BA84" i="4"/>
  <c r="W24" i="4"/>
  <c r="BA24" i="4"/>
  <c r="AB95" i="4"/>
  <c r="BF95" i="4"/>
  <c r="AG96" i="4"/>
  <c r="BK96" i="4"/>
  <c r="AL98" i="4"/>
  <c r="BP98" i="4"/>
  <c r="AL102" i="4"/>
  <c r="BP102" i="4"/>
  <c r="CT30" i="4"/>
  <c r="AB101" i="4" s="1"/>
  <c r="DX30" i="4"/>
  <c r="M103" i="4"/>
  <c r="AQ103" i="4"/>
  <c r="BU103" i="4"/>
  <c r="AB106" i="4"/>
  <c r="BU106" i="4"/>
  <c r="M107" i="4"/>
  <c r="AQ107" i="4"/>
  <c r="BU107" i="4"/>
  <c r="AG110" i="4"/>
  <c r="AB44" i="4"/>
  <c r="DN44" i="4"/>
  <c r="DN77" i="4" s="1"/>
  <c r="BF83" i="4"/>
  <c r="BW85" i="4"/>
  <c r="AG111" i="4"/>
  <c r="W13" i="4"/>
  <c r="BA13" i="4"/>
  <c r="AB84" i="4"/>
  <c r="BF84" i="4"/>
  <c r="AB24" i="4"/>
  <c r="BF24" i="4"/>
  <c r="AG95" i="4"/>
  <c r="BK95" i="4"/>
  <c r="AL96" i="4"/>
  <c r="BP96" i="4"/>
  <c r="W30" i="4"/>
  <c r="W101" i="4" s="1"/>
  <c r="BA30" i="4"/>
  <c r="BA101" i="4" s="1"/>
  <c r="AB104" i="4"/>
  <c r="BF104" i="4"/>
  <c r="AB108" i="4"/>
  <c r="BF108" i="4"/>
  <c r="AQ39" i="4"/>
  <c r="AQ110" i="4" s="1"/>
  <c r="EM52" i="4"/>
  <c r="ET53" i="4"/>
  <c r="AG59" i="4"/>
  <c r="AG44" i="4" s="1"/>
  <c r="BK59" i="4"/>
  <c r="BK44" i="4" s="1"/>
  <c r="CT59" i="4"/>
  <c r="CT44" i="4" s="1"/>
  <c r="DX59" i="4"/>
  <c r="DX44" i="4" s="1"/>
  <c r="BW99" i="4"/>
  <c r="BK111" i="4"/>
  <c r="EM67" i="4"/>
  <c r="ET67" i="4" s="1"/>
  <c r="BE73" i="3"/>
  <c r="BE77" i="3" s="1"/>
  <c r="BV13" i="3"/>
  <c r="BV31" i="3"/>
  <c r="BV39" i="3"/>
  <c r="BV45" i="3"/>
  <c r="BV46" i="3"/>
  <c r="AA73" i="3"/>
  <c r="AA77" i="3" s="1"/>
  <c r="AI73" i="3"/>
  <c r="AI77" i="3" s="1"/>
  <c r="AP73" i="3"/>
  <c r="AP77" i="3" s="1"/>
  <c r="AX73" i="3"/>
  <c r="AX77" i="3" s="1"/>
  <c r="BN73" i="3"/>
  <c r="BN77" i="3" s="1"/>
  <c r="AH52" i="3"/>
  <c r="AH68" i="3" s="1"/>
  <c r="AH73" i="3" s="1"/>
  <c r="AH77" i="3" s="1"/>
  <c r="BL52" i="3"/>
  <c r="BL68" i="3" s="1"/>
  <c r="BL73" i="3" s="1"/>
  <c r="BL77" i="3" s="1"/>
  <c r="BS59" i="3"/>
  <c r="AR59" i="3"/>
  <c r="BV60" i="3"/>
  <c r="BV62" i="3"/>
  <c r="AC47" i="3"/>
  <c r="BV17" i="3"/>
  <c r="BV32" i="3"/>
  <c r="BV37" i="3"/>
  <c r="AJ73" i="3"/>
  <c r="AJ77" i="3" s="1"/>
  <c r="AQ73" i="3"/>
  <c r="AQ77" i="3" s="1"/>
  <c r="AY73" i="3"/>
  <c r="AY77" i="3" s="1"/>
  <c r="AD68" i="3"/>
  <c r="AD73" i="3" s="1"/>
  <c r="AD77" i="3" s="1"/>
  <c r="BB68" i="3"/>
  <c r="N52" i="3"/>
  <c r="N68" i="3" s="1"/>
  <c r="AR52" i="3"/>
  <c r="BV55" i="3"/>
  <c r="BT59" i="3"/>
  <c r="BL47" i="3"/>
  <c r="BV15" i="3"/>
  <c r="BV26" i="3"/>
  <c r="BV44" i="3"/>
  <c r="V73" i="3"/>
  <c r="V77" i="3" s="1"/>
  <c r="AS73" i="3"/>
  <c r="AS77" i="3" s="1"/>
  <c r="AZ73" i="3"/>
  <c r="AZ77" i="3" s="1"/>
  <c r="BV58" i="3"/>
  <c r="AM47" i="3"/>
  <c r="BV10" i="3"/>
  <c r="BV14" i="3"/>
  <c r="BV19" i="3"/>
  <c r="BV20" i="3"/>
  <c r="BV22" i="3"/>
  <c r="BV23" i="3"/>
  <c r="BV28" i="3"/>
  <c r="BV34" i="3"/>
  <c r="BV35" i="3"/>
  <c r="P73" i="3"/>
  <c r="P77" i="3" s="1"/>
  <c r="AE73" i="3"/>
  <c r="AE77" i="3" s="1"/>
  <c r="S52" i="3"/>
  <c r="S68" i="3" s="1"/>
  <c r="AW52" i="3"/>
  <c r="AW68" i="3" s="1"/>
  <c r="BV67" i="3"/>
  <c r="BQ47" i="3"/>
  <c r="BV21" i="3"/>
  <c r="BV40" i="3"/>
  <c r="BV43" i="3"/>
  <c r="AF73" i="3"/>
  <c r="AF77" i="3" s="1"/>
  <c r="AN73" i="3"/>
  <c r="AN77" i="3" s="1"/>
  <c r="AU73" i="3"/>
  <c r="AU77" i="3" s="1"/>
  <c r="BD73" i="3"/>
  <c r="BD77" i="3" s="1"/>
  <c r="AG68" i="3"/>
  <c r="AG73" i="3" s="1"/>
  <c r="AG77" i="3" s="1"/>
  <c r="BV64" i="3"/>
  <c r="S47" i="3"/>
  <c r="AW47" i="3"/>
  <c r="BS47" i="3"/>
  <c r="F47" i="3"/>
  <c r="F73" i="3" s="1"/>
  <c r="F77" i="3" s="1"/>
  <c r="I11" i="3"/>
  <c r="I47" i="3" s="1"/>
  <c r="I73" i="3" s="1"/>
  <c r="I77" i="3" s="1"/>
  <c r="I27" i="3"/>
  <c r="BV42" i="3"/>
  <c r="BH73" i="3"/>
  <c r="BH77" i="3" s="1"/>
  <c r="BG59" i="3"/>
  <c r="X47" i="3"/>
  <c r="BB47" i="3"/>
  <c r="BT47" i="3"/>
  <c r="BV12" i="3"/>
  <c r="I14" i="3"/>
  <c r="G47" i="3"/>
  <c r="G73" i="3" s="1"/>
  <c r="G77" i="3" s="1"/>
  <c r="BV16" i="3"/>
  <c r="W73" i="3"/>
  <c r="W77" i="3" s="1"/>
  <c r="AK73" i="3"/>
  <c r="AK77" i="3" s="1"/>
  <c r="BI73" i="3"/>
  <c r="BI77" i="3" s="1"/>
  <c r="BF68" i="3"/>
  <c r="BF73" i="3" s="1"/>
  <c r="BF77" i="3" s="1"/>
  <c r="BQ68" i="3"/>
  <c r="BQ73" i="3" s="1"/>
  <c r="BQ77" i="3" s="1"/>
  <c r="AC68" i="3"/>
  <c r="AC73" i="3" s="1"/>
  <c r="AC77" i="3" s="1"/>
  <c r="AM59" i="3"/>
  <c r="AM68" i="3" s="1"/>
  <c r="AM73" i="3" s="1"/>
  <c r="AM77" i="3" s="1"/>
  <c r="BV66" i="3"/>
  <c r="BG7" i="3"/>
  <c r="BG47" i="3" s="1"/>
  <c r="BC47" i="3"/>
  <c r="BC73" i="3" s="1"/>
  <c r="BC77" i="3" s="1"/>
  <c r="BU47" i="3"/>
  <c r="BG68" i="3"/>
  <c r="BT68" i="3"/>
  <c r="BV54" i="3"/>
  <c r="BR52" i="3"/>
  <c r="BR68" i="3" s="1"/>
  <c r="I68" i="3"/>
  <c r="BR7" i="3"/>
  <c r="N47" i="3"/>
  <c r="AR47" i="3"/>
  <c r="BV8" i="3"/>
  <c r="M73" i="3"/>
  <c r="M77" i="3" s="1"/>
  <c r="U73" i="3"/>
  <c r="U77" i="3" s="1"/>
  <c r="BV51" i="3"/>
  <c r="BS52" i="3"/>
  <c r="BV53" i="3"/>
  <c r="X68" i="3"/>
  <c r="BU59" i="3"/>
  <c r="BU57" i="3"/>
  <c r="BV57" i="3" s="1"/>
  <c r="BG15" i="3"/>
  <c r="DR6" i="6" l="1"/>
  <c r="BT13" i="6"/>
  <c r="BT12" i="6" s="1"/>
  <c r="BB73" i="3"/>
  <c r="BB77" i="3" s="1"/>
  <c r="BP12" i="9"/>
  <c r="BK81" i="9"/>
  <c r="EM40" i="9"/>
  <c r="AG53" i="9"/>
  <c r="BU73" i="9"/>
  <c r="BA12" i="9"/>
  <c r="BA54" i="9"/>
  <c r="AL40" i="9"/>
  <c r="AL81" i="9" s="1"/>
  <c r="AL53" i="9"/>
  <c r="W12" i="9"/>
  <c r="W54" i="9"/>
  <c r="BU40" i="9"/>
  <c r="BU53" i="9"/>
  <c r="BF53" i="9"/>
  <c r="BF40" i="9"/>
  <c r="BF81" i="9" s="1"/>
  <c r="AQ40" i="9"/>
  <c r="AQ81" i="9" s="1"/>
  <c r="AQ53" i="9"/>
  <c r="AV12" i="9"/>
  <c r="AV54" i="9"/>
  <c r="M40" i="9"/>
  <c r="M81" i="9" s="1"/>
  <c r="M53" i="9"/>
  <c r="R12" i="9"/>
  <c r="R54" i="9"/>
  <c r="BU64" i="9"/>
  <c r="AB53" i="9"/>
  <c r="AB40" i="9"/>
  <c r="AB81" i="9" s="1"/>
  <c r="BP40" i="9"/>
  <c r="BP81" i="9" s="1"/>
  <c r="BP53" i="9"/>
  <c r="BY77" i="8"/>
  <c r="EB102" i="8"/>
  <c r="DM107" i="8"/>
  <c r="DM103" i="8" s="1"/>
  <c r="DM102" i="8" s="1"/>
  <c r="BY12" i="8"/>
  <c r="BY72" i="8"/>
  <c r="DC12" i="8"/>
  <c r="EB12" i="8"/>
  <c r="BT12" i="8"/>
  <c r="CS12" i="8"/>
  <c r="BE105" i="8"/>
  <c r="EL72" i="8"/>
  <c r="AP15" i="8"/>
  <c r="DH12" i="8"/>
  <c r="Q15" i="8"/>
  <c r="L14" i="8"/>
  <c r="L13" i="8"/>
  <c r="V105" i="8"/>
  <c r="BJ103" i="8"/>
  <c r="AF17" i="8"/>
  <c r="BE17" i="8"/>
  <c r="EL17" i="8"/>
  <c r="BE15" i="8"/>
  <c r="AK14" i="8"/>
  <c r="BO104" i="8"/>
  <c r="AF15" i="8"/>
  <c r="AA15" i="8"/>
  <c r="AP105" i="8"/>
  <c r="AP13" i="8"/>
  <c r="EL109" i="8"/>
  <c r="AF103" i="8"/>
  <c r="AA17" i="8"/>
  <c r="AU105" i="8"/>
  <c r="Q103" i="8"/>
  <c r="AU14" i="8"/>
  <c r="L103" i="8"/>
  <c r="BY87" i="8"/>
  <c r="V13" i="8"/>
  <c r="BT102" i="8"/>
  <c r="AZ15" i="8"/>
  <c r="BJ104" i="8"/>
  <c r="BE14" i="8"/>
  <c r="AZ14" i="8"/>
  <c r="Q105" i="8"/>
  <c r="AK104" i="8"/>
  <c r="EL167" i="8"/>
  <c r="Q14" i="8"/>
  <c r="L105" i="8"/>
  <c r="EL108" i="8"/>
  <c r="EL111" i="8"/>
  <c r="BY52" i="8"/>
  <c r="AK103" i="8"/>
  <c r="BE103" i="8"/>
  <c r="V15" i="8"/>
  <c r="V14" i="8"/>
  <c r="AZ17" i="8"/>
  <c r="AZ105" i="8"/>
  <c r="AA103" i="8"/>
  <c r="BJ17" i="8"/>
  <c r="Q13" i="8"/>
  <c r="BE104" i="8"/>
  <c r="EL62" i="8"/>
  <c r="BO14" i="8"/>
  <c r="AU103" i="8"/>
  <c r="AA104" i="8"/>
  <c r="AK12" i="8"/>
  <c r="Q16" i="7"/>
  <c r="BT30" i="7"/>
  <c r="BJ16" i="7"/>
  <c r="EL122" i="7"/>
  <c r="EL65" i="7"/>
  <c r="BY40" i="7"/>
  <c r="AP15" i="7"/>
  <c r="AZ12" i="7"/>
  <c r="AF16" i="7"/>
  <c r="AU15" i="7"/>
  <c r="EL30" i="7"/>
  <c r="AU16" i="7"/>
  <c r="AK15" i="7"/>
  <c r="V12" i="7"/>
  <c r="BE12" i="7"/>
  <c r="L16" i="7"/>
  <c r="BO16" i="7"/>
  <c r="BT122" i="7"/>
  <c r="BT65" i="7"/>
  <c r="Q15" i="7"/>
  <c r="AP16" i="7"/>
  <c r="BY32" i="7"/>
  <c r="BY35" i="7"/>
  <c r="AF8" i="6"/>
  <c r="AU8" i="6"/>
  <c r="BY256" i="6"/>
  <c r="BJ10" i="6"/>
  <c r="G9" i="6"/>
  <c r="EL229" i="6"/>
  <c r="EL172" i="6"/>
  <c r="EL272" i="6"/>
  <c r="BY244" i="6"/>
  <c r="EL307" i="6"/>
  <c r="AK8" i="6"/>
  <c r="BT147" i="6"/>
  <c r="BT114" i="6"/>
  <c r="Q277" i="6"/>
  <c r="BY14" i="6"/>
  <c r="BT207" i="6"/>
  <c r="BT131" i="6"/>
  <c r="EL33" i="6"/>
  <c r="BY84" i="6"/>
  <c r="AA7" i="6"/>
  <c r="BT39" i="6"/>
  <c r="BT45" i="6"/>
  <c r="EL244" i="6"/>
  <c r="CD278" i="6"/>
  <c r="CD10" i="6"/>
  <c r="G8" i="6"/>
  <c r="BT157" i="6"/>
  <c r="BT167" i="6"/>
  <c r="EL73" i="6"/>
  <c r="BT21" i="6"/>
  <c r="EL114" i="6"/>
  <c r="EL56" i="6"/>
  <c r="AF12" i="6"/>
  <c r="V8" i="6"/>
  <c r="EL234" i="6"/>
  <c r="AZ278" i="6"/>
  <c r="AZ10" i="6"/>
  <c r="BY223" i="6"/>
  <c r="BY211" i="6"/>
  <c r="BT307" i="6"/>
  <c r="AU12" i="6"/>
  <c r="AP12" i="6"/>
  <c r="BE7" i="6"/>
  <c r="EL51" i="6"/>
  <c r="EL13" i="6"/>
  <c r="EL21" i="6"/>
  <c r="BT152" i="6"/>
  <c r="BY250" i="6"/>
  <c r="EL223" i="6"/>
  <c r="EL208" i="6"/>
  <c r="AA277" i="6"/>
  <c r="AU277" i="6"/>
  <c r="BT56" i="6"/>
  <c r="Q12" i="6"/>
  <c r="BE277" i="6"/>
  <c r="BO9" i="6"/>
  <c r="BY89" i="6"/>
  <c r="AK12" i="6"/>
  <c r="BY15" i="6"/>
  <c r="BY119" i="6"/>
  <c r="V7" i="6"/>
  <c r="V278" i="6"/>
  <c r="V10" i="6"/>
  <c r="EL267" i="6"/>
  <c r="EL250" i="6"/>
  <c r="BY184" i="6"/>
  <c r="BT162" i="6"/>
  <c r="EL67" i="6"/>
  <c r="BY109" i="6"/>
  <c r="EL162" i="6"/>
  <c r="BT51" i="6"/>
  <c r="EL27" i="6"/>
  <c r="L277" i="6"/>
  <c r="AP9" i="6"/>
  <c r="BO8" i="6"/>
  <c r="BT172" i="6"/>
  <c r="BT67" i="6"/>
  <c r="L12" i="6"/>
  <c r="BY104" i="6"/>
  <c r="EL39" i="6"/>
  <c r="BT27" i="6"/>
  <c r="CI6" i="6"/>
  <c r="BT33" i="6"/>
  <c r="AZ8" i="6"/>
  <c r="EL167" i="6"/>
  <c r="DX77" i="4"/>
  <c r="BU101" i="4"/>
  <c r="CT23" i="4"/>
  <c r="CT77" i="4" s="1"/>
  <c r="BW84" i="4"/>
  <c r="EM23" i="4"/>
  <c r="ET23" i="4" s="1"/>
  <c r="H77" i="4"/>
  <c r="ET52" i="4"/>
  <c r="DD77" i="4"/>
  <c r="BF94" i="4"/>
  <c r="BF23" i="4"/>
  <c r="BA94" i="4"/>
  <c r="BA23" i="4"/>
  <c r="BA93" i="4" s="1"/>
  <c r="AQ23" i="4"/>
  <c r="AQ94" i="4"/>
  <c r="ET45" i="4"/>
  <c r="EM44" i="4"/>
  <c r="ET44" i="4" s="1"/>
  <c r="BP94" i="4"/>
  <c r="BP23" i="4"/>
  <c r="BP93" i="4" s="1"/>
  <c r="ET13" i="4"/>
  <c r="W94" i="4"/>
  <c r="W23" i="4"/>
  <c r="W93" i="4" s="1"/>
  <c r="AV94" i="4"/>
  <c r="AV23" i="4"/>
  <c r="M23" i="4"/>
  <c r="M93" i="4" s="1"/>
  <c r="M94" i="4"/>
  <c r="AL94" i="4"/>
  <c r="AL23" i="4"/>
  <c r="AL93" i="4" s="1"/>
  <c r="R23" i="4"/>
  <c r="BU110" i="4"/>
  <c r="BU13" i="4"/>
  <c r="BU84" i="4"/>
  <c r="BK83" i="4"/>
  <c r="BK77" i="4"/>
  <c r="BA83" i="4"/>
  <c r="M83" i="4"/>
  <c r="AG83" i="4"/>
  <c r="AG77" i="4"/>
  <c r="W77" i="4"/>
  <c r="W83" i="4"/>
  <c r="BU94" i="4"/>
  <c r="BU23" i="4"/>
  <c r="BU93" i="4" s="1"/>
  <c r="AL83" i="4"/>
  <c r="BP83" i="4"/>
  <c r="AB94" i="4"/>
  <c r="AB23" i="4"/>
  <c r="AR68" i="3"/>
  <c r="AR73" i="3" s="1"/>
  <c r="AR77" i="3" s="1"/>
  <c r="BS68" i="3"/>
  <c r="BS73" i="3" s="1"/>
  <c r="BS77" i="3" s="1"/>
  <c r="S73" i="3"/>
  <c r="S77" i="3" s="1"/>
  <c r="N73" i="3"/>
  <c r="N77" i="3" s="1"/>
  <c r="BT73" i="3"/>
  <c r="BT77" i="3" s="1"/>
  <c r="BU68" i="3"/>
  <c r="BU73" i="3" s="1"/>
  <c r="BU77" i="3" s="1"/>
  <c r="AW73" i="3"/>
  <c r="AW77" i="3" s="1"/>
  <c r="BV52" i="3"/>
  <c r="BV59" i="3"/>
  <c r="X73" i="3"/>
  <c r="X77" i="3" s="1"/>
  <c r="BG73" i="3"/>
  <c r="BG77" i="3" s="1"/>
  <c r="BR47" i="3"/>
  <c r="BR73" i="3" s="1"/>
  <c r="BR77" i="3" s="1"/>
  <c r="BV7" i="3"/>
  <c r="BU81" i="9" l="1"/>
  <c r="R53" i="9"/>
  <c r="R40" i="9"/>
  <c r="R81" i="9" s="1"/>
  <c r="W53" i="9"/>
  <c r="W40" i="9"/>
  <c r="W81" i="9" s="1"/>
  <c r="AV40" i="9"/>
  <c r="AV81" i="9" s="1"/>
  <c r="AV53" i="9"/>
  <c r="BA53" i="9"/>
  <c r="BA40" i="9"/>
  <c r="BA81" i="9" s="1"/>
  <c r="BO12" i="8"/>
  <c r="AP102" i="8"/>
  <c r="BE102" i="8"/>
  <c r="EL107" i="8"/>
  <c r="AF13" i="8"/>
  <c r="Q12" i="8"/>
  <c r="AA102" i="8"/>
  <c r="AK102" i="8"/>
  <c r="EL105" i="8"/>
  <c r="Q102" i="8"/>
  <c r="BO102" i="8"/>
  <c r="L12" i="8"/>
  <c r="EL14" i="8"/>
  <c r="AA13" i="8"/>
  <c r="AU12" i="8"/>
  <c r="V102" i="8"/>
  <c r="L102" i="8"/>
  <c r="AZ102" i="8"/>
  <c r="EL13" i="8"/>
  <c r="BJ102" i="8"/>
  <c r="AU102" i="8"/>
  <c r="V12" i="8"/>
  <c r="AF102" i="8"/>
  <c r="AP12" i="8"/>
  <c r="BE13" i="8"/>
  <c r="BJ13" i="8"/>
  <c r="EL15" i="8"/>
  <c r="AZ13" i="8"/>
  <c r="AU12" i="7"/>
  <c r="EL14" i="7"/>
  <c r="BJ12" i="7"/>
  <c r="BT16" i="7"/>
  <c r="AK12" i="7"/>
  <c r="EL15" i="7"/>
  <c r="BO12" i="7"/>
  <c r="Q12" i="7"/>
  <c r="EL16" i="7"/>
  <c r="BT14" i="7"/>
  <c r="BY30" i="7"/>
  <c r="BY14" i="7" s="1"/>
  <c r="BY12" i="7" s="1"/>
  <c r="BT15" i="7"/>
  <c r="AP12" i="7"/>
  <c r="L12" i="7"/>
  <c r="AF12" i="7"/>
  <c r="BJ6" i="6"/>
  <c r="AA9" i="6"/>
  <c r="V277" i="6"/>
  <c r="Q7" i="6"/>
  <c r="AU9" i="6"/>
  <c r="BT7" i="6"/>
  <c r="AZ277" i="6"/>
  <c r="BY13" i="6"/>
  <c r="AU7" i="6"/>
  <c r="Q9" i="6"/>
  <c r="BT278" i="6"/>
  <c r="G6" i="6"/>
  <c r="L7" i="6"/>
  <c r="EL12" i="6"/>
  <c r="EL7" i="6" s="1"/>
  <c r="AP7" i="6"/>
  <c r="AF7" i="6"/>
  <c r="EL278" i="6"/>
  <c r="CD277" i="6"/>
  <c r="CD9" i="6" s="1"/>
  <c r="CD6" i="6" s="1"/>
  <c r="BT8" i="6"/>
  <c r="L9" i="6"/>
  <c r="BO6" i="6"/>
  <c r="AK7" i="6"/>
  <c r="EL207" i="6"/>
  <c r="BY207" i="6"/>
  <c r="BE9" i="6"/>
  <c r="M77" i="4"/>
  <c r="BP77" i="4"/>
  <c r="BW83" i="4"/>
  <c r="BW82" i="4" s="1"/>
  <c r="BW81" i="4" s="1"/>
  <c r="BW147" i="4" s="1"/>
  <c r="AL77" i="4"/>
  <c r="AV93" i="4"/>
  <c r="AV77" i="4"/>
  <c r="R93" i="4"/>
  <c r="R77" i="4"/>
  <c r="BF93" i="4"/>
  <c r="BF77" i="4"/>
  <c r="BU83" i="4"/>
  <c r="BU77" i="4"/>
  <c r="EM77" i="4"/>
  <c r="ET77" i="4" s="1"/>
  <c r="AQ93" i="4"/>
  <c r="AQ77" i="4"/>
  <c r="BA77" i="4"/>
  <c r="AB93" i="4"/>
  <c r="AB77" i="4"/>
  <c r="BV47" i="3"/>
  <c r="BV68" i="3"/>
  <c r="AF12" i="8" l="1"/>
  <c r="EL103" i="8"/>
  <c r="BJ12" i="8"/>
  <c r="AZ12" i="8"/>
  <c r="BE12" i="8"/>
  <c r="EL12" i="8"/>
  <c r="AA12" i="8"/>
  <c r="BT12" i="7"/>
  <c r="EL12" i="7"/>
  <c r="BT277" i="6"/>
  <c r="AZ9" i="6"/>
  <c r="L6" i="6"/>
  <c r="AP6" i="6"/>
  <c r="AA6" i="6"/>
  <c r="AK6" i="6"/>
  <c r="EL277" i="6"/>
  <c r="AU6" i="6"/>
  <c r="BY12" i="6"/>
  <c r="V9" i="6"/>
  <c r="BY8" i="6"/>
  <c r="BE6" i="6"/>
  <c r="EL8" i="6"/>
  <c r="AF6" i="6"/>
  <c r="Q6" i="6"/>
  <c r="BV73" i="3"/>
  <c r="EL102" i="8" l="1"/>
  <c r="BT9" i="6"/>
  <c r="EL9" i="6"/>
  <c r="V6" i="6"/>
  <c r="BY7" i="6"/>
  <c r="AZ6" i="6"/>
  <c r="BV77" i="3"/>
  <c r="EL6" i="6" l="1"/>
  <c r="BY6" i="6"/>
  <c r="BT6" i="6"/>
  <c r="AH138" i="1" l="1"/>
  <c r="AF138" i="1"/>
  <c r="AC138" i="1"/>
  <c r="AB138" i="1"/>
  <c r="Z138" i="1"/>
  <c r="AI138" i="1" s="1"/>
  <c r="AO138" i="1" s="1"/>
  <c r="O138" i="1"/>
  <c r="N138" i="1"/>
  <c r="K138" i="1"/>
  <c r="I138" i="1"/>
  <c r="U138" i="1" s="1"/>
  <c r="AO137" i="1"/>
  <c r="AI137" i="1"/>
  <c r="U137" i="1"/>
  <c r="Q137" i="1"/>
  <c r="AI136" i="1"/>
  <c r="AO136" i="1" s="1"/>
  <c r="U136" i="1"/>
  <c r="AI135" i="1"/>
  <c r="AO135" i="1" s="1"/>
  <c r="U135" i="1"/>
  <c r="AI134" i="1"/>
  <c r="AO134" i="1" s="1"/>
  <c r="U134" i="1"/>
  <c r="AI132" i="1"/>
  <c r="AO132" i="1" s="1"/>
  <c r="U132" i="1"/>
  <c r="AO131" i="1"/>
  <c r="AI131" i="1"/>
  <c r="U131" i="1"/>
  <c r="AI130" i="1"/>
  <c r="AO130" i="1" s="1"/>
  <c r="U130" i="1"/>
  <c r="AS129" i="1"/>
  <c r="AI129" i="1"/>
  <c r="AO129" i="1" s="1"/>
  <c r="U129" i="1"/>
  <c r="AS128" i="1"/>
  <c r="AI128" i="1"/>
  <c r="AO128" i="1" s="1"/>
  <c r="AC128" i="1"/>
  <c r="U128" i="1"/>
  <c r="AO127" i="1"/>
  <c r="AI127" i="1"/>
  <c r="U127" i="1"/>
  <c r="AI126" i="1"/>
  <c r="AO126" i="1" s="1"/>
  <c r="U126" i="1"/>
  <c r="AI125" i="1"/>
  <c r="AO125" i="1" s="1"/>
  <c r="U125" i="1"/>
  <c r="AS124" i="1"/>
  <c r="AI124" i="1"/>
  <c r="AO124" i="1" s="1"/>
  <c r="U124" i="1"/>
  <c r="AI123" i="1"/>
  <c r="U123" i="1"/>
  <c r="AT122" i="1"/>
  <c r="AS122" i="1"/>
  <c r="AS125" i="1" s="1"/>
  <c r="AS126" i="1" s="1"/>
  <c r="AS127" i="1" s="1"/>
  <c r="AI122" i="1"/>
  <c r="AO122" i="1" s="1"/>
  <c r="U122" i="1"/>
  <c r="AI121" i="1"/>
  <c r="AO121" i="1" s="1"/>
  <c r="U121" i="1"/>
  <c r="AH120" i="1"/>
  <c r="AG120" i="1"/>
  <c r="AF120" i="1"/>
  <c r="AE120" i="1"/>
  <c r="AD120" i="1"/>
  <c r="AC120" i="1"/>
  <c r="AB120" i="1"/>
  <c r="AA120" i="1"/>
  <c r="Z120" i="1"/>
  <c r="Y120" i="1"/>
  <c r="X120" i="1"/>
  <c r="W120" i="1"/>
  <c r="V120" i="1"/>
  <c r="T120" i="1"/>
  <c r="S120" i="1"/>
  <c r="R120" i="1"/>
  <c r="Q120" i="1"/>
  <c r="P120" i="1"/>
  <c r="O120" i="1"/>
  <c r="N120" i="1"/>
  <c r="M120" i="1"/>
  <c r="L120" i="1"/>
  <c r="K120" i="1"/>
  <c r="J120" i="1"/>
  <c r="I120" i="1"/>
  <c r="AI119" i="1"/>
  <c r="V119" i="1"/>
  <c r="R119" i="1"/>
  <c r="Q119" i="1"/>
  <c r="P119" i="1"/>
  <c r="O119" i="1"/>
  <c r="N119" i="1"/>
  <c r="M119" i="1"/>
  <c r="L119" i="1"/>
  <c r="K119" i="1"/>
  <c r="J119" i="1"/>
  <c r="U119" i="1" s="1"/>
  <c r="AO115" i="1"/>
  <c r="AT114" i="1"/>
  <c r="AS114" i="1"/>
  <c r="AR114" i="1"/>
  <c r="AT113" i="1"/>
  <c r="AS113" i="1"/>
  <c r="AR113" i="1"/>
  <c r="AH113" i="1"/>
  <c r="AH96" i="1" s="1"/>
  <c r="AH80" i="1" s="1"/>
  <c r="AH118" i="1" s="1"/>
  <c r="AH117" i="1" s="1"/>
  <c r="AG113" i="1"/>
  <c r="AF113" i="1"/>
  <c r="AE113" i="1"/>
  <c r="AD113" i="1"/>
  <c r="AC113" i="1"/>
  <c r="AB113" i="1"/>
  <c r="AA113" i="1"/>
  <c r="Z113" i="1"/>
  <c r="Y113" i="1"/>
  <c r="X113" i="1"/>
  <c r="W113" i="1"/>
  <c r="R113" i="1"/>
  <c r="Q113" i="1"/>
  <c r="Q96" i="1" s="1"/>
  <c r="Q80" i="1" s="1"/>
  <c r="P113" i="1"/>
  <c r="O113" i="1"/>
  <c r="O96" i="1" s="1"/>
  <c r="O80" i="1" s="1"/>
  <c r="N113" i="1"/>
  <c r="M113" i="1"/>
  <c r="L113" i="1"/>
  <c r="K113" i="1"/>
  <c r="K96" i="1" s="1"/>
  <c r="K80" i="1" s="1"/>
  <c r="J113" i="1"/>
  <c r="I113" i="1"/>
  <c r="AI111" i="1"/>
  <c r="AO111" i="1" s="1"/>
  <c r="AI110" i="1"/>
  <c r="AO110" i="1" s="1"/>
  <c r="J110" i="1"/>
  <c r="AO109" i="1"/>
  <c r="AI109" i="1"/>
  <c r="AO108" i="1"/>
  <c r="AI108" i="1"/>
  <c r="J108" i="1"/>
  <c r="J100" i="1" s="1"/>
  <c r="AI107" i="1"/>
  <c r="AO107" i="1" s="1"/>
  <c r="AI106" i="1"/>
  <c r="AO106" i="1" s="1"/>
  <c r="AI105" i="1"/>
  <c r="AO105" i="1" s="1"/>
  <c r="AI104" i="1"/>
  <c r="AO104" i="1" s="1"/>
  <c r="AI103" i="1"/>
  <c r="AO103" i="1" s="1"/>
  <c r="AI102" i="1"/>
  <c r="AO102" i="1" s="1"/>
  <c r="AI101" i="1"/>
  <c r="AO101" i="1" s="1"/>
  <c r="AH100" i="1"/>
  <c r="AG100" i="1"/>
  <c r="AF100" i="1"/>
  <c r="AE100" i="1"/>
  <c r="AD100" i="1"/>
  <c r="AC100" i="1"/>
  <c r="AC96" i="1" s="1"/>
  <c r="AC80" i="1" s="1"/>
  <c r="AB100" i="1"/>
  <c r="AB96" i="1" s="1"/>
  <c r="AB80" i="1" s="1"/>
  <c r="AA100" i="1"/>
  <c r="Z100" i="1"/>
  <c r="Y100" i="1"/>
  <c r="X100" i="1"/>
  <c r="W100" i="1"/>
  <c r="W96" i="1" s="1"/>
  <c r="W80" i="1" s="1"/>
  <c r="R100" i="1"/>
  <c r="N100" i="1"/>
  <c r="L100" i="1"/>
  <c r="L96" i="1" s="1"/>
  <c r="L80" i="1" s="1"/>
  <c r="K100" i="1"/>
  <c r="I100" i="1"/>
  <c r="I96" i="1" s="1"/>
  <c r="I80" i="1" s="1"/>
  <c r="AI99" i="1"/>
  <c r="AO99" i="1" s="1"/>
  <c r="J99" i="1"/>
  <c r="AI98" i="1"/>
  <c r="AO98" i="1" s="1"/>
  <c r="AI97" i="1"/>
  <c r="AO97" i="1" s="1"/>
  <c r="AT96" i="1"/>
  <c r="AS96" i="1"/>
  <c r="AR96" i="1"/>
  <c r="AG96" i="1"/>
  <c r="AG80" i="1" s="1"/>
  <c r="AG118" i="1" s="1"/>
  <c r="AG117" i="1" s="1"/>
  <c r="AE96" i="1"/>
  <c r="AA96" i="1"/>
  <c r="AA80" i="1" s="1"/>
  <c r="Y96" i="1"/>
  <c r="Y80" i="1" s="1"/>
  <c r="T96" i="1"/>
  <c r="T80" i="1" s="1"/>
  <c r="S96" i="1"/>
  <c r="S80" i="1" s="1"/>
  <c r="P96" i="1"/>
  <c r="P80" i="1" s="1"/>
  <c r="P118" i="1" s="1"/>
  <c r="P117" i="1" s="1"/>
  <c r="N96" i="1"/>
  <c r="N80" i="1" s="1"/>
  <c r="M96" i="1"/>
  <c r="M80" i="1" s="1"/>
  <c r="J96" i="1"/>
  <c r="J80" i="1" s="1"/>
  <c r="J118" i="1" s="1"/>
  <c r="J117" i="1" s="1"/>
  <c r="AT95" i="1"/>
  <c r="AS95" i="1"/>
  <c r="AR95" i="1"/>
  <c r="AI95" i="1"/>
  <c r="AO95" i="1" s="1"/>
  <c r="U95" i="1"/>
  <c r="AT94" i="1"/>
  <c r="AS94" i="1"/>
  <c r="AS115" i="1" s="1"/>
  <c r="AS117" i="1" s="1"/>
  <c r="AS119" i="1" s="1"/>
  <c r="AI94" i="1"/>
  <c r="AO94" i="1" s="1"/>
  <c r="U94" i="1"/>
  <c r="AO93" i="1"/>
  <c r="AO92" i="1"/>
  <c r="AI92" i="1"/>
  <c r="U92" i="1"/>
  <c r="AO91" i="1"/>
  <c r="AI91" i="1"/>
  <c r="U91" i="1"/>
  <c r="AO90" i="1"/>
  <c r="AI90" i="1"/>
  <c r="J90" i="1"/>
  <c r="U90" i="1" s="1"/>
  <c r="AO89" i="1"/>
  <c r="AI88" i="1"/>
  <c r="AO88" i="1" s="1"/>
  <c r="U88" i="1"/>
  <c r="AI87" i="1"/>
  <c r="AO87" i="1" s="1"/>
  <c r="U87" i="1"/>
  <c r="AI86" i="1"/>
  <c r="AO86" i="1" s="1"/>
  <c r="U86" i="1"/>
  <c r="AI85" i="1"/>
  <c r="AO85" i="1" s="1"/>
  <c r="U85" i="1"/>
  <c r="J85" i="1"/>
  <c r="AI84" i="1"/>
  <c r="AO84" i="1" s="1"/>
  <c r="U84" i="1"/>
  <c r="AI83" i="1"/>
  <c r="AO83" i="1" s="1"/>
  <c r="U83" i="1"/>
  <c r="AI82" i="1"/>
  <c r="AO82" i="1" s="1"/>
  <c r="J82" i="1"/>
  <c r="U82" i="1" s="1"/>
  <c r="AO81" i="1"/>
  <c r="AE80" i="1"/>
  <c r="V80" i="1"/>
  <c r="V118" i="1" s="1"/>
  <c r="H80" i="1"/>
  <c r="AO79" i="1"/>
  <c r="AO78" i="1"/>
  <c r="AO76" i="1"/>
  <c r="AI76" i="1"/>
  <c r="U76" i="1"/>
  <c r="AE74" i="1"/>
  <c r="AD74" i="1"/>
  <c r="AB74" i="1"/>
  <c r="AA74" i="1"/>
  <c r="Z74" i="1"/>
  <c r="Y74" i="1"/>
  <c r="X74" i="1"/>
  <c r="N74" i="1"/>
  <c r="L74" i="1"/>
  <c r="U74" i="1" s="1"/>
  <c r="AO73" i="1"/>
  <c r="AI73" i="1"/>
  <c r="U73" i="1"/>
  <c r="U72" i="1" s="1"/>
  <c r="AH72" i="1"/>
  <c r="AG72" i="1"/>
  <c r="AF72" i="1"/>
  <c r="AE72" i="1"/>
  <c r="AD72" i="1"/>
  <c r="AC72" i="1"/>
  <c r="AB72" i="1"/>
  <c r="AA72" i="1"/>
  <c r="Z72" i="1"/>
  <c r="Y72" i="1"/>
  <c r="X72" i="1"/>
  <c r="W72" i="1"/>
  <c r="V72" i="1"/>
  <c r="T72" i="1"/>
  <c r="S72" i="1"/>
  <c r="R72" i="1"/>
  <c r="Q72" i="1"/>
  <c r="P72" i="1"/>
  <c r="O72" i="1"/>
  <c r="N72" i="1"/>
  <c r="M72" i="1"/>
  <c r="L72" i="1"/>
  <c r="K72" i="1"/>
  <c r="J72" i="1"/>
  <c r="I72" i="1"/>
  <c r="H72" i="1"/>
  <c r="AO71" i="1"/>
  <c r="AI71" i="1"/>
  <c r="U71" i="1"/>
  <c r="AI70" i="1"/>
  <c r="AO70" i="1" s="1"/>
  <c r="U70" i="1"/>
  <c r="AO69" i="1"/>
  <c r="AI68" i="1"/>
  <c r="AO68" i="1" s="1"/>
  <c r="U68" i="1"/>
  <c r="AI67" i="1"/>
  <c r="AO67" i="1" s="1"/>
  <c r="U67" i="1"/>
  <c r="AI66" i="1"/>
  <c r="U66" i="1"/>
  <c r="U64" i="1" s="1"/>
  <c r="AO65" i="1"/>
  <c r="AH64" i="1"/>
  <c r="AG64" i="1"/>
  <c r="AF64" i="1"/>
  <c r="AE64" i="1"/>
  <c r="AD64" i="1"/>
  <c r="AC64" i="1"/>
  <c r="AB64" i="1"/>
  <c r="AA64" i="1"/>
  <c r="Z64" i="1"/>
  <c r="Y64" i="1"/>
  <c r="X64" i="1"/>
  <c r="W64" i="1"/>
  <c r="V64" i="1"/>
  <c r="T64" i="1"/>
  <c r="S64" i="1"/>
  <c r="R64" i="1"/>
  <c r="Q64" i="1"/>
  <c r="P64" i="1"/>
  <c r="O64" i="1"/>
  <c r="N64" i="1"/>
  <c r="M64" i="1"/>
  <c r="L64" i="1"/>
  <c r="K64" i="1"/>
  <c r="J64" i="1"/>
  <c r="I64" i="1"/>
  <c r="H64" i="1"/>
  <c r="AI63" i="1"/>
  <c r="AO63" i="1" s="1"/>
  <c r="U63" i="1"/>
  <c r="AN63" i="1" s="1"/>
  <c r="AO62" i="1"/>
  <c r="AN62" i="1"/>
  <c r="AI61" i="1"/>
  <c r="AO61" i="1" s="1"/>
  <c r="U61" i="1"/>
  <c r="AI60" i="1"/>
  <c r="AO60" i="1" s="1"/>
  <c r="U60" i="1"/>
  <c r="AN60" i="1" s="1"/>
  <c r="AI59" i="1"/>
  <c r="AO59" i="1" s="1"/>
  <c r="U59" i="1"/>
  <c r="AN59" i="1" s="1"/>
  <c r="AO58" i="1"/>
  <c r="AI58" i="1"/>
  <c r="U58" i="1"/>
  <c r="AN58" i="1" s="1"/>
  <c r="AI57" i="1"/>
  <c r="AO57" i="1" s="1"/>
  <c r="U57" i="1"/>
  <c r="AN57" i="1" s="1"/>
  <c r="AI56" i="1"/>
  <c r="AO56" i="1" s="1"/>
  <c r="U56" i="1"/>
  <c r="AN56" i="1" s="1"/>
  <c r="AI55" i="1"/>
  <c r="AO55" i="1" s="1"/>
  <c r="U55" i="1"/>
  <c r="AN55" i="1" s="1"/>
  <c r="AI54" i="1"/>
  <c r="AO54" i="1" s="1"/>
  <c r="U54" i="1"/>
  <c r="AN54" i="1" s="1"/>
  <c r="AO53" i="1"/>
  <c r="AN53" i="1"/>
  <c r="AI52" i="1"/>
  <c r="AO52" i="1" s="1"/>
  <c r="U52" i="1"/>
  <c r="AN52" i="1" s="1"/>
  <c r="AI51" i="1"/>
  <c r="AO51" i="1" s="1"/>
  <c r="U51" i="1"/>
  <c r="AH50" i="1"/>
  <c r="AG50" i="1"/>
  <c r="AF50" i="1"/>
  <c r="AE50" i="1"/>
  <c r="AD50" i="1"/>
  <c r="AC50" i="1"/>
  <c r="AB50" i="1"/>
  <c r="AA50" i="1"/>
  <c r="Z50" i="1"/>
  <c r="Y50" i="1"/>
  <c r="X50" i="1"/>
  <c r="R50" i="1"/>
  <c r="Q50" i="1"/>
  <c r="P50" i="1"/>
  <c r="O50" i="1"/>
  <c r="N50" i="1"/>
  <c r="M50" i="1"/>
  <c r="L50" i="1"/>
  <c r="K50" i="1"/>
  <c r="J50" i="1"/>
  <c r="I50" i="1"/>
  <c r="H50" i="1"/>
  <c r="AO49" i="1"/>
  <c r="AA48" i="1"/>
  <c r="AI48" i="1" s="1"/>
  <c r="AO48" i="1" s="1"/>
  <c r="U48" i="1"/>
  <c r="AN48" i="1" s="1"/>
  <c r="AI47" i="1"/>
  <c r="AO47" i="1" s="1"/>
  <c r="U47" i="1"/>
  <c r="AN47" i="1" s="1"/>
  <c r="AI46" i="1"/>
  <c r="AO46" i="1" s="1"/>
  <c r="U46" i="1"/>
  <c r="AN46" i="1" s="1"/>
  <c r="AI45" i="1"/>
  <c r="AO45" i="1" s="1"/>
  <c r="U45" i="1"/>
  <c r="AN45" i="1" s="1"/>
  <c r="AI44" i="1"/>
  <c r="AO44" i="1" s="1"/>
  <c r="U44" i="1"/>
  <c r="AN44" i="1" s="1"/>
  <c r="AN43" i="1"/>
  <c r="AI43" i="1"/>
  <c r="AO43" i="1" s="1"/>
  <c r="U43" i="1"/>
  <c r="AO42" i="1"/>
  <c r="AI42" i="1"/>
  <c r="U42" i="1"/>
  <c r="AN42" i="1" s="1"/>
  <c r="AI41" i="1"/>
  <c r="AO41" i="1" s="1"/>
  <c r="U41" i="1"/>
  <c r="AN41" i="1" s="1"/>
  <c r="AN40" i="1"/>
  <c r="AI40" i="1"/>
  <c r="AO40" i="1" s="1"/>
  <c r="U40" i="1"/>
  <c r="AI39" i="1"/>
  <c r="AO39" i="1" s="1"/>
  <c r="U39" i="1"/>
  <c r="AN39" i="1" s="1"/>
  <c r="AI38" i="1"/>
  <c r="AO38" i="1" s="1"/>
  <c r="U38" i="1"/>
  <c r="AN38" i="1" s="1"/>
  <c r="AH37" i="1"/>
  <c r="AG37" i="1"/>
  <c r="AF37" i="1"/>
  <c r="AE37" i="1"/>
  <c r="AD37" i="1"/>
  <c r="AC37" i="1"/>
  <c r="AB37" i="1"/>
  <c r="AA37" i="1"/>
  <c r="Z37" i="1"/>
  <c r="Y37" i="1"/>
  <c r="X37" i="1"/>
  <c r="X30" i="1" s="1"/>
  <c r="W37" i="1"/>
  <c r="V37" i="1"/>
  <c r="T37" i="1"/>
  <c r="T30" i="1" s="1"/>
  <c r="S37" i="1"/>
  <c r="S30" i="1" s="1"/>
  <c r="R37" i="1"/>
  <c r="Q37" i="1"/>
  <c r="P37" i="1"/>
  <c r="O37" i="1"/>
  <c r="N37" i="1"/>
  <c r="M37" i="1"/>
  <c r="L37" i="1"/>
  <c r="K37" i="1"/>
  <c r="J37" i="1"/>
  <c r="I37" i="1"/>
  <c r="H37" i="1"/>
  <c r="AO36" i="1"/>
  <c r="AI35" i="1"/>
  <c r="AO35" i="1" s="1"/>
  <c r="U35" i="1"/>
  <c r="AN35" i="1" s="1"/>
  <c r="AI34" i="1"/>
  <c r="AO34" i="1" s="1"/>
  <c r="U34" i="1"/>
  <c r="AN34" i="1" s="1"/>
  <c r="AN33" i="1"/>
  <c r="AI33" i="1"/>
  <c r="AO33" i="1" s="1"/>
  <c r="U33" i="1"/>
  <c r="AO32" i="1"/>
  <c r="AI32" i="1"/>
  <c r="U32" i="1"/>
  <c r="AN32" i="1" s="1"/>
  <c r="AH31" i="1"/>
  <c r="AH30" i="1" s="1"/>
  <c r="AG31" i="1"/>
  <c r="AF31" i="1"/>
  <c r="AE31" i="1"/>
  <c r="AE30" i="1" s="1"/>
  <c r="AD31" i="1"/>
  <c r="AC31" i="1"/>
  <c r="AB31" i="1"/>
  <c r="AB30" i="1" s="1"/>
  <c r="AA31" i="1"/>
  <c r="Z31" i="1"/>
  <c r="Y31" i="1"/>
  <c r="Y30" i="1" s="1"/>
  <c r="X31" i="1"/>
  <c r="W31" i="1"/>
  <c r="V31" i="1"/>
  <c r="V30" i="1" s="1"/>
  <c r="R31" i="1"/>
  <c r="Q31" i="1"/>
  <c r="P31" i="1"/>
  <c r="O31" i="1"/>
  <c r="N31" i="1"/>
  <c r="M31" i="1"/>
  <c r="M30" i="1" s="1"/>
  <c r="L31" i="1"/>
  <c r="K31" i="1"/>
  <c r="J31" i="1"/>
  <c r="I31" i="1"/>
  <c r="I30" i="1" s="1"/>
  <c r="H31" i="1"/>
  <c r="AG30" i="1"/>
  <c r="AA30" i="1"/>
  <c r="Q30" i="1"/>
  <c r="O30" i="1"/>
  <c r="K30" i="1"/>
  <c r="AN29" i="1"/>
  <c r="AI29" i="1"/>
  <c r="AO29" i="1" s="1"/>
  <c r="U29" i="1"/>
  <c r="AI28" i="1"/>
  <c r="AI23" i="1" s="1"/>
  <c r="AO23" i="1" s="1"/>
  <c r="U28" i="1"/>
  <c r="AN28" i="1" s="1"/>
  <c r="AO27" i="1"/>
  <c r="AN26" i="1"/>
  <c r="AI26" i="1"/>
  <c r="AO26" i="1" s="1"/>
  <c r="U26" i="1"/>
  <c r="AO25" i="1"/>
  <c r="AI25" i="1"/>
  <c r="U25" i="1"/>
  <c r="AN25" i="1" s="1"/>
  <c r="AO24" i="1"/>
  <c r="AH23" i="1"/>
  <c r="AG23" i="1"/>
  <c r="AF23" i="1"/>
  <c r="AE23" i="1"/>
  <c r="AD23" i="1"/>
  <c r="AC23" i="1"/>
  <c r="AB23" i="1"/>
  <c r="AA23" i="1"/>
  <c r="Z23" i="1"/>
  <c r="Y23" i="1"/>
  <c r="X23" i="1"/>
  <c r="W23" i="1"/>
  <c r="V23" i="1"/>
  <c r="U23" i="1"/>
  <c r="AN23" i="1" s="1"/>
  <c r="T23" i="1"/>
  <c r="S23" i="1"/>
  <c r="R23" i="1"/>
  <c r="Q23" i="1"/>
  <c r="P23" i="1"/>
  <c r="O23" i="1"/>
  <c r="N23" i="1"/>
  <c r="M23" i="1"/>
  <c r="L23" i="1"/>
  <c r="K23" i="1"/>
  <c r="J23" i="1"/>
  <c r="I23" i="1"/>
  <c r="H23" i="1"/>
  <c r="AN22" i="1"/>
  <c r="AI22" i="1"/>
  <c r="AO22" i="1" s="1"/>
  <c r="U22" i="1"/>
  <c r="AH21" i="1"/>
  <c r="AG21" i="1"/>
  <c r="AF21" i="1"/>
  <c r="AE21" i="1"/>
  <c r="AD21" i="1"/>
  <c r="AC21" i="1"/>
  <c r="AB21" i="1"/>
  <c r="AA21" i="1"/>
  <c r="Z21" i="1"/>
  <c r="Y21" i="1"/>
  <c r="X21" i="1"/>
  <c r="W21" i="1"/>
  <c r="V21" i="1"/>
  <c r="U21" i="1"/>
  <c r="AN21" i="1" s="1"/>
  <c r="T21" i="1"/>
  <c r="S21" i="1"/>
  <c r="R21" i="1"/>
  <c r="Q21" i="1"/>
  <c r="P21" i="1"/>
  <c r="O21" i="1"/>
  <c r="N21" i="1"/>
  <c r="M21" i="1"/>
  <c r="L21" i="1"/>
  <c r="K21" i="1"/>
  <c r="J21" i="1"/>
  <c r="I21" i="1"/>
  <c r="H21" i="1"/>
  <c r="AI20" i="1"/>
  <c r="AO20" i="1" s="1"/>
  <c r="U20" i="1"/>
  <c r="AN20" i="1" s="1"/>
  <c r="AG19" i="1"/>
  <c r="AF19" i="1"/>
  <c r="AE19" i="1"/>
  <c r="AD19" i="1"/>
  <c r="AC19" i="1"/>
  <c r="AB19" i="1"/>
  <c r="AI19" i="1" s="1"/>
  <c r="AO19" i="1" s="1"/>
  <c r="AA19" i="1"/>
  <c r="Z19" i="1"/>
  <c r="Y19" i="1"/>
  <c r="X19" i="1"/>
  <c r="R19" i="1"/>
  <c r="Q19" i="1"/>
  <c r="P19" i="1"/>
  <c r="O19" i="1"/>
  <c r="N19" i="1"/>
  <c r="M19" i="1"/>
  <c r="L19" i="1"/>
  <c r="K19" i="1"/>
  <c r="J19" i="1"/>
  <c r="AO18" i="1"/>
  <c r="AN18" i="1"/>
  <c r="AN17" i="1"/>
  <c r="AI17" i="1"/>
  <c r="AO17" i="1" s="1"/>
  <c r="U17" i="1"/>
  <c r="Z16" i="1"/>
  <c r="AI16" i="1" s="1"/>
  <c r="AO16" i="1" s="1"/>
  <c r="U16" i="1"/>
  <c r="AN16" i="1" s="1"/>
  <c r="AN15" i="1"/>
  <c r="AI15" i="1"/>
  <c r="AO15" i="1" s="1"/>
  <c r="U15" i="1"/>
  <c r="AG14" i="1"/>
  <c r="AF14" i="1"/>
  <c r="AE14" i="1"/>
  <c r="AD14" i="1"/>
  <c r="AC14" i="1"/>
  <c r="AB14" i="1"/>
  <c r="AA14" i="1"/>
  <c r="Z14" i="1"/>
  <c r="Y14" i="1"/>
  <c r="X14" i="1"/>
  <c r="AI14" i="1" s="1"/>
  <c r="AO14" i="1" s="1"/>
  <c r="R14" i="1"/>
  <c r="Q14" i="1"/>
  <c r="P14" i="1"/>
  <c r="O14" i="1"/>
  <c r="N14" i="1"/>
  <c r="M14" i="1"/>
  <c r="L14" i="1"/>
  <c r="K14" i="1"/>
  <c r="J14" i="1"/>
  <c r="AO13" i="1"/>
  <c r="AN13" i="1"/>
  <c r="AC12" i="1"/>
  <c r="AB12" i="1"/>
  <c r="AA12" i="1"/>
  <c r="Z12" i="1"/>
  <c r="Y12" i="1"/>
  <c r="X12" i="1"/>
  <c r="AI12" i="1" s="1"/>
  <c r="AO12" i="1" s="1"/>
  <c r="R12" i="1"/>
  <c r="Q12" i="1"/>
  <c r="P12" i="1"/>
  <c r="O12" i="1"/>
  <c r="N12" i="1"/>
  <c r="M12" i="1"/>
  <c r="L12" i="1"/>
  <c r="K12" i="1"/>
  <c r="U12" i="1" s="1"/>
  <c r="AN12" i="1" s="1"/>
  <c r="J12" i="1"/>
  <c r="AC11" i="1"/>
  <c r="AB11" i="1"/>
  <c r="AA11" i="1"/>
  <c r="Z11" i="1"/>
  <c r="Y11" i="1"/>
  <c r="X11" i="1"/>
  <c r="R11" i="1"/>
  <c r="Q11" i="1"/>
  <c r="P11" i="1"/>
  <c r="O11" i="1"/>
  <c r="N11" i="1"/>
  <c r="M11" i="1"/>
  <c r="L11" i="1"/>
  <c r="K11" i="1"/>
  <c r="J11" i="1"/>
  <c r="U11" i="1" s="1"/>
  <c r="AN11" i="1" s="1"/>
  <c r="AB10" i="1"/>
  <c r="AB7" i="1" s="1"/>
  <c r="AB6" i="1" s="1"/>
  <c r="AA10" i="1"/>
  <c r="Z10" i="1"/>
  <c r="Y10" i="1"/>
  <c r="X10" i="1"/>
  <c r="R10" i="1"/>
  <c r="Q10" i="1"/>
  <c r="P10" i="1"/>
  <c r="O10" i="1"/>
  <c r="N10" i="1"/>
  <c r="M10" i="1"/>
  <c r="L10" i="1"/>
  <c r="K10" i="1"/>
  <c r="J10" i="1"/>
  <c r="AG9" i="1"/>
  <c r="AG7" i="1" s="1"/>
  <c r="AG6" i="1" s="1"/>
  <c r="AF9" i="1"/>
  <c r="AE9" i="1"/>
  <c r="AE7" i="1" s="1"/>
  <c r="AE6" i="1" s="1"/>
  <c r="AE75" i="1" s="1"/>
  <c r="AE77" i="1" s="1"/>
  <c r="AD9" i="1"/>
  <c r="AD7" i="1" s="1"/>
  <c r="AD6" i="1" s="1"/>
  <c r="AC9" i="1"/>
  <c r="AC7" i="1" s="1"/>
  <c r="AC6" i="1" s="1"/>
  <c r="AB9" i="1"/>
  <c r="AA9" i="1"/>
  <c r="AA7" i="1" s="1"/>
  <c r="Z9" i="1"/>
  <c r="Y9" i="1"/>
  <c r="Y7" i="1" s="1"/>
  <c r="Y6" i="1" s="1"/>
  <c r="X9" i="1"/>
  <c r="X7" i="1" s="1"/>
  <c r="X6" i="1" s="1"/>
  <c r="R9" i="1"/>
  <c r="Q9" i="1"/>
  <c r="Q7" i="1" s="1"/>
  <c r="Q6" i="1" s="1"/>
  <c r="Q75" i="1" s="1"/>
  <c r="Q77" i="1" s="1"/>
  <c r="P9" i="1"/>
  <c r="O9" i="1"/>
  <c r="N9" i="1"/>
  <c r="M9" i="1"/>
  <c r="L9" i="1"/>
  <c r="K9" i="1"/>
  <c r="J9" i="1"/>
  <c r="AG8" i="1"/>
  <c r="AF8" i="1"/>
  <c r="AE8" i="1"/>
  <c r="AD8" i="1"/>
  <c r="AC8" i="1"/>
  <c r="AB8" i="1"/>
  <c r="AA8" i="1"/>
  <c r="Z8" i="1"/>
  <c r="AI8" i="1" s="1"/>
  <c r="Y8" i="1"/>
  <c r="X8" i="1"/>
  <c r="R8" i="1"/>
  <c r="Q8" i="1"/>
  <c r="P8" i="1"/>
  <c r="P7" i="1" s="1"/>
  <c r="P6" i="1" s="1"/>
  <c r="O8" i="1"/>
  <c r="O7" i="1" s="1"/>
  <c r="O6" i="1" s="1"/>
  <c r="O75" i="1" s="1"/>
  <c r="O77" i="1" s="1"/>
  <c r="N8" i="1"/>
  <c r="M8" i="1"/>
  <c r="M7" i="1" s="1"/>
  <c r="M6" i="1" s="1"/>
  <c r="L8" i="1"/>
  <c r="K8" i="1"/>
  <c r="J8" i="1"/>
  <c r="AH7" i="1"/>
  <c r="AH6" i="1" s="1"/>
  <c r="AH75" i="1" s="1"/>
  <c r="AH77" i="1" s="1"/>
  <c r="AH114" i="1" s="1"/>
  <c r="AH116" i="1" s="1"/>
  <c r="AH133" i="1" s="1"/>
  <c r="AH139" i="1" s="1"/>
  <c r="AF7" i="1"/>
  <c r="AF6" i="1" s="1"/>
  <c r="Z7" i="1"/>
  <c r="Z6" i="1" s="1"/>
  <c r="W7" i="1"/>
  <c r="W6" i="1" s="1"/>
  <c r="V7" i="1"/>
  <c r="T7" i="1"/>
  <c r="T6" i="1" s="1"/>
  <c r="S7" i="1"/>
  <c r="S6" i="1" s="1"/>
  <c r="N7" i="1"/>
  <c r="N6" i="1" s="1"/>
  <c r="I7" i="1"/>
  <c r="I6" i="1" s="1"/>
  <c r="I75" i="1" s="1"/>
  <c r="I77" i="1" s="1"/>
  <c r="H7" i="1"/>
  <c r="AA6" i="1"/>
  <c r="U113" i="1" l="1"/>
  <c r="R96" i="1"/>
  <c r="R80" i="1" s="1"/>
  <c r="W114" i="1"/>
  <c r="W116" i="1" s="1"/>
  <c r="S75" i="1"/>
  <c r="S77" i="1" s="1"/>
  <c r="S114" i="1" s="1"/>
  <c r="S116" i="1" s="1"/>
  <c r="T75" i="1"/>
  <c r="T77" i="1" s="1"/>
  <c r="AO28" i="1"/>
  <c r="W30" i="1"/>
  <c r="AC30" i="1"/>
  <c r="H30" i="1"/>
  <c r="N30" i="1"/>
  <c r="N75" i="1" s="1"/>
  <c r="N77" i="1" s="1"/>
  <c r="N114" i="1" s="1"/>
  <c r="N116" i="1" s="1"/>
  <c r="U50" i="1"/>
  <c r="AI64" i="1"/>
  <c r="Z96" i="1"/>
  <c r="AF96" i="1"/>
  <c r="AF80" i="1" s="1"/>
  <c r="AA75" i="1"/>
  <c r="AA77" i="1" s="1"/>
  <c r="AA114" i="1" s="1"/>
  <c r="AA116" i="1" s="1"/>
  <c r="AA133" i="1" s="1"/>
  <c r="AA139" i="1" s="1"/>
  <c r="AG75" i="1"/>
  <c r="AG77" i="1" s="1"/>
  <c r="AG114" i="1" s="1"/>
  <c r="AG116" i="1" s="1"/>
  <c r="AG133" i="1" s="1"/>
  <c r="AG139" i="1" s="1"/>
  <c r="U37" i="1"/>
  <c r="AN37" i="1" s="1"/>
  <c r="AO119" i="1"/>
  <c r="W75" i="1"/>
  <c r="W77" i="1" s="1"/>
  <c r="J30" i="1"/>
  <c r="P30" i="1"/>
  <c r="AI37" i="1"/>
  <c r="AO37" i="1" s="1"/>
  <c r="AN50" i="1"/>
  <c r="AI100" i="1"/>
  <c r="AO100" i="1" s="1"/>
  <c r="AC75" i="1"/>
  <c r="AC77" i="1" s="1"/>
  <c r="AC114" i="1" s="1"/>
  <c r="AC116" i="1" s="1"/>
  <c r="Z30" i="1"/>
  <c r="Z75" i="1" s="1"/>
  <c r="Z77" i="1" s="1"/>
  <c r="AF30" i="1"/>
  <c r="AF75" i="1" s="1"/>
  <c r="AF77" i="1" s="1"/>
  <c r="AD30" i="1"/>
  <c r="AI50" i="1"/>
  <c r="AO50" i="1" s="1"/>
  <c r="AI72" i="1"/>
  <c r="AO72" i="1" s="1"/>
  <c r="U120" i="1"/>
  <c r="M75" i="1"/>
  <c r="M77" i="1" s="1"/>
  <c r="M114" i="1" s="1"/>
  <c r="M116" i="1" s="1"/>
  <c r="AB75" i="1"/>
  <c r="AB77" i="1" s="1"/>
  <c r="X75" i="1"/>
  <c r="X77" i="1" s="1"/>
  <c r="X114" i="1" s="1"/>
  <c r="X116" i="1" s="1"/>
  <c r="X133" i="1" s="1"/>
  <c r="X139" i="1" s="1"/>
  <c r="AD75" i="1"/>
  <c r="AD77" i="1" s="1"/>
  <c r="L30" i="1"/>
  <c r="R30" i="1"/>
  <c r="X96" i="1"/>
  <c r="X80" i="1" s="1"/>
  <c r="X118" i="1" s="1"/>
  <c r="X117" i="1" s="1"/>
  <c r="AD96" i="1"/>
  <c r="AD80" i="1" s="1"/>
  <c r="AD118" i="1" s="1"/>
  <c r="AD117" i="1" s="1"/>
  <c r="Y75" i="1"/>
  <c r="Y77" i="1" s="1"/>
  <c r="Y114" i="1" s="1"/>
  <c r="Y116" i="1" s="1"/>
  <c r="Y133" i="1" s="1"/>
  <c r="Y139" i="1" s="1"/>
  <c r="AO8" i="1"/>
  <c r="J7" i="1"/>
  <c r="J6" i="1" s="1"/>
  <c r="J75" i="1" s="1"/>
  <c r="J77" i="1" s="1"/>
  <c r="J114" i="1" s="1"/>
  <c r="J116" i="1" s="1"/>
  <c r="J133" i="1" s="1"/>
  <c r="J139" i="1" s="1"/>
  <c r="U8" i="1"/>
  <c r="AI11" i="1"/>
  <c r="AO11" i="1" s="1"/>
  <c r="U19" i="1"/>
  <c r="AN19" i="1" s="1"/>
  <c r="L118" i="1"/>
  <c r="L117" i="1" s="1"/>
  <c r="H6" i="1"/>
  <c r="L7" i="1"/>
  <c r="L6" i="1" s="1"/>
  <c r="L75" i="1" s="1"/>
  <c r="L77" i="1" s="1"/>
  <c r="L114" i="1" s="1"/>
  <c r="L116" i="1" s="1"/>
  <c r="L133" i="1" s="1"/>
  <c r="L139" i="1" s="1"/>
  <c r="R7" i="1"/>
  <c r="R6" i="1" s="1"/>
  <c r="R75" i="1" s="1"/>
  <c r="R77" i="1" s="1"/>
  <c r="K7" i="1"/>
  <c r="K6" i="1" s="1"/>
  <c r="K75" i="1" s="1"/>
  <c r="K77" i="1" s="1"/>
  <c r="K114" i="1" s="1"/>
  <c r="K116" i="1" s="1"/>
  <c r="U9" i="1"/>
  <c r="AN9" i="1" s="1"/>
  <c r="U10" i="1"/>
  <c r="AN10" i="1" s="1"/>
  <c r="AN31" i="1"/>
  <c r="AN30" i="1"/>
  <c r="M118" i="1"/>
  <c r="M117" i="1" s="1"/>
  <c r="T118" i="1"/>
  <c r="T117" i="1" s="1"/>
  <c r="T114" i="1"/>
  <c r="T116" i="1" s="1"/>
  <c r="T133" i="1" s="1"/>
  <c r="T139" i="1" s="1"/>
  <c r="AI96" i="1"/>
  <c r="AO96" i="1" s="1"/>
  <c r="Z80" i="1"/>
  <c r="K118" i="1"/>
  <c r="K117" i="1" s="1"/>
  <c r="Q118" i="1"/>
  <c r="Q117" i="1" s="1"/>
  <c r="Q114" i="1"/>
  <c r="Q116" i="1" s="1"/>
  <c r="Y118" i="1"/>
  <c r="Y117" i="1" s="1"/>
  <c r="AC118" i="1"/>
  <c r="AC117" i="1" s="1"/>
  <c r="AI10" i="1"/>
  <c r="AO10" i="1" s="1"/>
  <c r="P75" i="1"/>
  <c r="P77" i="1" s="1"/>
  <c r="P114" i="1" s="1"/>
  <c r="P116" i="1" s="1"/>
  <c r="P133" i="1" s="1"/>
  <c r="P139" i="1" s="1"/>
  <c r="U14" i="1"/>
  <c r="AN14" i="1" s="1"/>
  <c r="R118" i="1"/>
  <c r="R117" i="1" s="1"/>
  <c r="R114" i="1"/>
  <c r="R116" i="1" s="1"/>
  <c r="AB118" i="1"/>
  <c r="AB117" i="1" s="1"/>
  <c r="AB114" i="1"/>
  <c r="AB116" i="1" s="1"/>
  <c r="AI31" i="1"/>
  <c r="S118" i="1"/>
  <c r="S117" i="1" s="1"/>
  <c r="AI9" i="1"/>
  <c r="AO9" i="1" s="1"/>
  <c r="AO66" i="1"/>
  <c r="U96" i="1"/>
  <c r="U80" i="1" s="1"/>
  <c r="N118" i="1"/>
  <c r="N117" i="1" s="1"/>
  <c r="AO64" i="1"/>
  <c r="AI74" i="1"/>
  <c r="AO74" i="1" s="1"/>
  <c r="V117" i="1"/>
  <c r="O118" i="1"/>
  <c r="O117" i="1" s="1"/>
  <c r="O114" i="1"/>
  <c r="O116" i="1" s="1"/>
  <c r="O133" i="1" s="1"/>
  <c r="O139" i="1" s="1"/>
  <c r="I118" i="1"/>
  <c r="I117" i="1" s="1"/>
  <c r="I114" i="1"/>
  <c r="I116" i="1" s="1"/>
  <c r="I133" i="1" s="1"/>
  <c r="I139" i="1" s="1"/>
  <c r="AI113" i="1"/>
  <c r="AO113" i="1" s="1"/>
  <c r="AO120" i="1"/>
  <c r="V6" i="1"/>
  <c r="V75" i="1" s="1"/>
  <c r="AI21" i="1"/>
  <c r="AO21" i="1" s="1"/>
  <c r="U31" i="1"/>
  <c r="U30" i="1" s="1"/>
  <c r="AE114" i="1"/>
  <c r="AE116" i="1" s="1"/>
  <c r="AE118" i="1"/>
  <c r="AE117" i="1" s="1"/>
  <c r="AD114" i="1"/>
  <c r="AD116" i="1" s="1"/>
  <c r="AD133" i="1" s="1"/>
  <c r="AD139" i="1" s="1"/>
  <c r="W118" i="1"/>
  <c r="AI120" i="1"/>
  <c r="AA118" i="1"/>
  <c r="AA117" i="1" s="1"/>
  <c r="R133" i="1" l="1"/>
  <c r="R139" i="1" s="1"/>
  <c r="Q133" i="1"/>
  <c r="Q139" i="1" s="1"/>
  <c r="AF114" i="1"/>
  <c r="AF116" i="1" s="1"/>
  <c r="AF133" i="1" s="1"/>
  <c r="AF139" i="1" s="1"/>
  <c r="AF118" i="1"/>
  <c r="AF117" i="1" s="1"/>
  <c r="K133" i="1"/>
  <c r="K139" i="1" s="1"/>
  <c r="U118" i="1"/>
  <c r="U117" i="1" s="1"/>
  <c r="W117" i="1"/>
  <c r="W133" i="1" s="1"/>
  <c r="W139" i="1" s="1"/>
  <c r="V77" i="1"/>
  <c r="AR94" i="1"/>
  <c r="AR115" i="1" s="1"/>
  <c r="AR117" i="1" s="1"/>
  <c r="M133" i="1"/>
  <c r="M139" i="1" s="1"/>
  <c r="Z118" i="1"/>
  <c r="Z117" i="1" s="1"/>
  <c r="Z114" i="1"/>
  <c r="Z116" i="1" s="1"/>
  <c r="S133" i="1"/>
  <c r="S139" i="1" s="1"/>
  <c r="N133" i="1"/>
  <c r="N139" i="1" s="1"/>
  <c r="H75" i="1"/>
  <c r="H77" i="1" s="1"/>
  <c r="H114" i="1" s="1"/>
  <c r="AE133" i="1"/>
  <c r="AE139" i="1" s="1"/>
  <c r="AI80" i="1"/>
  <c r="AO31" i="1"/>
  <c r="AI30" i="1"/>
  <c r="AO30" i="1" s="1"/>
  <c r="AB133" i="1"/>
  <c r="AB139" i="1" s="1"/>
  <c r="AN8" i="1"/>
  <c r="U7" i="1"/>
  <c r="AI7" i="1"/>
  <c r="AC133" i="1"/>
  <c r="AC139" i="1" s="1"/>
  <c r="AI118" i="1" l="1"/>
  <c r="Z133" i="1"/>
  <c r="Z139" i="1" s="1"/>
  <c r="U6" i="1"/>
  <c r="AN7" i="1"/>
  <c r="AO80" i="1"/>
  <c r="AI117" i="1"/>
  <c r="AO117" i="1" s="1"/>
  <c r="AO118" i="1"/>
  <c r="W141" i="1"/>
  <c r="H116" i="1"/>
  <c r="AI6" i="1"/>
  <c r="AI75" i="1" s="1"/>
  <c r="AO7" i="1"/>
  <c r="V114" i="1"/>
  <c r="V116" i="1" s="1"/>
  <c r="V133" i="1" l="1"/>
  <c r="U75" i="1"/>
  <c r="U77" i="1" s="1"/>
  <c r="U114" i="1" s="1"/>
  <c r="U116" i="1" s="1"/>
  <c r="U133" i="1" s="1"/>
  <c r="U139" i="1" s="1"/>
  <c r="AN6" i="1"/>
  <c r="AI77" i="1"/>
  <c r="AO75" i="1"/>
  <c r="V139" i="1" l="1"/>
  <c r="AO77" i="1"/>
  <c r="AI114" i="1"/>
  <c r="AO114" i="1" l="1"/>
  <c r="AI116" i="1"/>
  <c r="AI133" i="1" l="1"/>
  <c r="AO116" i="1"/>
  <c r="AI139" i="1" l="1"/>
  <c r="AO133" i="1"/>
  <c r="AO139" i="1" l="1"/>
  <c r="CC1" i="9" l="1"/>
</calcChain>
</file>

<file path=xl/sharedStrings.xml><?xml version="1.0" encoding="utf-8"?>
<sst xmlns="http://schemas.openxmlformats.org/spreadsheetml/2006/main" count="1678" uniqueCount="637">
  <si>
    <t>Table 1 Revenue*</t>
  </si>
  <si>
    <t>2020/21</t>
  </si>
  <si>
    <t>2019/20</t>
  </si>
  <si>
    <t>Revised</t>
  </si>
  <si>
    <t>April</t>
  </si>
  <si>
    <t>May</t>
  </si>
  <si>
    <t>June</t>
  </si>
  <si>
    <t>July</t>
  </si>
  <si>
    <t>August</t>
  </si>
  <si>
    <t>September</t>
  </si>
  <si>
    <t>October</t>
  </si>
  <si>
    <t>November</t>
  </si>
  <si>
    <t>December</t>
  </si>
  <si>
    <t>January</t>
  </si>
  <si>
    <t>February</t>
  </si>
  <si>
    <t>March</t>
  </si>
  <si>
    <t>Year to date</t>
  </si>
  <si>
    <t>Audited</t>
  </si>
  <si>
    <t xml:space="preserve">June </t>
  </si>
  <si>
    <t>R thousand</t>
  </si>
  <si>
    <t>estimate</t>
  </si>
  <si>
    <t>outcome</t>
  </si>
  <si>
    <t xml:space="preserve">Taxes on income and profits </t>
  </si>
  <si>
    <t>Personal income tax</t>
  </si>
  <si>
    <t>Provisional tax, assessment payments and penalties</t>
  </si>
  <si>
    <t>Employees tax</t>
  </si>
  <si>
    <t>ETI credit - refunds granted against PAYE payment</t>
  </si>
  <si>
    <t>ETI credit - refunds</t>
  </si>
  <si>
    <t>PIT refunds</t>
  </si>
  <si>
    <t>Tax on corporate income</t>
  </si>
  <si>
    <t>Corporate income tax</t>
  </si>
  <si>
    <t>Secondary tax on companies</t>
  </si>
  <si>
    <t>Withholding tax on dividends</t>
  </si>
  <si>
    <t>Withholding tax on Interest</t>
  </si>
  <si>
    <t>Other</t>
  </si>
  <si>
    <t>Interest on overdue income tax</t>
  </si>
  <si>
    <t>Small business tax amnesty</t>
  </si>
  <si>
    <t>Taxes on payroll and workforce</t>
  </si>
  <si>
    <t xml:space="preserve">Skills development levy  </t>
  </si>
  <si>
    <t>Taxes on property</t>
  </si>
  <si>
    <t>Estate, inheritance and gift taxes</t>
  </si>
  <si>
    <t>Donations tax</t>
  </si>
  <si>
    <t xml:space="preserve">Estate duty </t>
  </si>
  <si>
    <t>Taxes on financial and capital transactions</t>
  </si>
  <si>
    <t>Securities transfer tax</t>
  </si>
  <si>
    <t>Transfer duties</t>
  </si>
  <si>
    <t>Taxes on goods and services</t>
  </si>
  <si>
    <t xml:space="preserve">Value-added tax </t>
  </si>
  <si>
    <t>Domestic VAT</t>
  </si>
  <si>
    <t>Import VAT</t>
  </si>
  <si>
    <t>Refunds</t>
  </si>
  <si>
    <t>Turnover tax for small businesses</t>
  </si>
  <si>
    <t>Specific excise duties</t>
  </si>
  <si>
    <t>Beer</t>
  </si>
  <si>
    <t>Sorghum beer and sorghum flour</t>
  </si>
  <si>
    <t>Wine and other fermented beverages</t>
  </si>
  <si>
    <t>Spirits</t>
  </si>
  <si>
    <t>Cigarettes and cigarette tobacco</t>
  </si>
  <si>
    <t>Pipe tobacco and cigars</t>
  </si>
  <si>
    <t>Petroleum products</t>
  </si>
  <si>
    <t>1)</t>
  </si>
  <si>
    <t>Revenue from neighbouring countries</t>
  </si>
  <si>
    <t>2)</t>
  </si>
  <si>
    <t>Ad valorem excise duties</t>
  </si>
  <si>
    <t>Health promotion levy</t>
  </si>
  <si>
    <t>General fuel levy</t>
  </si>
  <si>
    <t>Of which:</t>
  </si>
  <si>
    <t xml:space="preserve">    Carbon fuel levy</t>
  </si>
  <si>
    <t xml:space="preserve">      CFL Domestic</t>
  </si>
  <si>
    <t xml:space="preserve">      CFL Imported</t>
  </si>
  <si>
    <t>Taxes on use of goods and on permission to use goods or perform activities</t>
  </si>
  <si>
    <t>Air departure tax</t>
  </si>
  <si>
    <t>Plastic bag levy</t>
  </si>
  <si>
    <t>Electricity levy</t>
  </si>
  <si>
    <t>Incandescent light bulb levy</t>
  </si>
  <si>
    <t>CO₂ tax - motor vehicle emissions</t>
  </si>
  <si>
    <t>Tyre levy</t>
  </si>
  <si>
    <t>International Oil Pollution Compensation Fund</t>
  </si>
  <si>
    <t>Carbon tax</t>
  </si>
  <si>
    <t>Universal Service Fund</t>
  </si>
  <si>
    <t>Taxes on international trade and transactions</t>
  </si>
  <si>
    <t>Import duties</t>
  </si>
  <si>
    <t>Customs duties</t>
  </si>
  <si>
    <t xml:space="preserve">Specific excise duties on imports </t>
  </si>
  <si>
    <t>Health promotion levy on imports</t>
  </si>
  <si>
    <t>Miscellaneous customs and excise receipts</t>
  </si>
  <si>
    <t>Diamond export duties</t>
  </si>
  <si>
    <t>Other taxes</t>
  </si>
  <si>
    <t>Stamp duties and fees</t>
  </si>
  <si>
    <t>State miscellaneous revenue</t>
  </si>
  <si>
    <t>3)</t>
  </si>
  <si>
    <t>Total tax revenue (gross)</t>
  </si>
  <si>
    <t>Less: SACU payments</t>
  </si>
  <si>
    <t>4)</t>
  </si>
  <si>
    <t>Total tax revenue (net of SACU payments)</t>
  </si>
  <si>
    <t>Departmental revenue</t>
  </si>
  <si>
    <t>Sales of goods and services other than capital assets</t>
  </si>
  <si>
    <t>Sales by market establishments</t>
  </si>
  <si>
    <t>Non-tax receipts</t>
  </si>
  <si>
    <t>Administrative fees</t>
  </si>
  <si>
    <t>Other sales</t>
  </si>
  <si>
    <t>Selling of scrap or waste and other used current goods</t>
  </si>
  <si>
    <t>Transfers received</t>
  </si>
  <si>
    <t>Fines penalties and forfeits</t>
  </si>
  <si>
    <t>Interest, dividends and rent on land</t>
  </si>
  <si>
    <t>Interest</t>
  </si>
  <si>
    <t>Dividends</t>
  </si>
  <si>
    <t>Rent on land</t>
  </si>
  <si>
    <t xml:space="preserve">  Of which:</t>
  </si>
  <si>
    <t>SEC 32/TB</t>
  </si>
  <si>
    <t>SARS AFS</t>
  </si>
  <si>
    <t xml:space="preserve"> Mineral and petroleum royalties</t>
  </si>
  <si>
    <t>Sales of capital assets</t>
  </si>
  <si>
    <t>Financial transactions in assets and liabilities</t>
  </si>
  <si>
    <t>Recoveries of accrued revenue</t>
  </si>
  <si>
    <t>Recovery of loans</t>
  </si>
  <si>
    <t>Accounts receivable</t>
  </si>
  <si>
    <t>Other receipts</t>
  </si>
  <si>
    <t>Forex gains</t>
  </si>
  <si>
    <t>Arrear wages income</t>
  </si>
  <si>
    <t>Cash surpluses</t>
  </si>
  <si>
    <t>Deposits on accommodation</t>
  </si>
  <si>
    <t>Deposits abroad</t>
  </si>
  <si>
    <t>Breach of contracts</t>
  </si>
  <si>
    <t>Recovery of payments made</t>
  </si>
  <si>
    <t>Recovery of previous years' expenditure</t>
  </si>
  <si>
    <t>Stale cheques</t>
  </si>
  <si>
    <t>Unallocated credits</t>
  </si>
  <si>
    <t>Unclaimed security deposits</t>
  </si>
  <si>
    <t>NRF receipts</t>
  </si>
  <si>
    <t>5)</t>
  </si>
  <si>
    <t>Total national government revenue</t>
  </si>
  <si>
    <t>Reconciliation to total net revenue and revenue collected on Table 4</t>
  </si>
  <si>
    <t>Nett Revenue for the year</t>
  </si>
  <si>
    <t>Transfer to NRF as per SARS AFS</t>
  </si>
  <si>
    <t>1 430 441 906</t>
  </si>
  <si>
    <t>Departmental revenue received but not yet paid to NRF</t>
  </si>
  <si>
    <t>Due to NRF</t>
  </si>
  <si>
    <t>Departmental revenue collected</t>
  </si>
  <si>
    <t>intransit prior year</t>
  </si>
  <si>
    <t>Departmental revenue received by the NRF</t>
  </si>
  <si>
    <t xml:space="preserve">intransit current year </t>
  </si>
  <si>
    <t>Other revenue received by the NRF</t>
  </si>
  <si>
    <t>6)</t>
  </si>
  <si>
    <t xml:space="preserve">  ICASA</t>
  </si>
  <si>
    <t>NRF AFS</t>
  </si>
  <si>
    <t xml:space="preserve">  Financial Intelligence Centre Act</t>
  </si>
  <si>
    <t xml:space="preserve">  SARB Brightrock life penalty</t>
  </si>
  <si>
    <t xml:space="preserve">  Proceeds of organised Crime Act</t>
  </si>
  <si>
    <t>other revenue</t>
  </si>
  <si>
    <t xml:space="preserve">  Asset Forfeiture Unit</t>
  </si>
  <si>
    <t xml:space="preserve">  DTI Various entities</t>
  </si>
  <si>
    <t>total revenue collected</t>
  </si>
  <si>
    <t xml:space="preserve">  Competition Commission</t>
  </si>
  <si>
    <t xml:space="preserve">  Refund Police</t>
  </si>
  <si>
    <t>nrf receipts</t>
  </si>
  <si>
    <t xml:space="preserve">  Refund Correctional Services</t>
  </si>
  <si>
    <t>cara payment</t>
  </si>
  <si>
    <t>Revenue collected on behalf of the Provincial Authorities</t>
  </si>
  <si>
    <t>Revenue collected on behalf of the RAF</t>
  </si>
  <si>
    <t>Revenue collected on behalf of the UIF</t>
  </si>
  <si>
    <t>Total net revenue</t>
  </si>
  <si>
    <t>Cash balance NRF</t>
  </si>
  <si>
    <t>Provincial revenue collected by SARS and transferred by NRF</t>
  </si>
  <si>
    <t>Direct transfer from NRF to the RAF</t>
  </si>
  <si>
    <t>Direct transfer from NRF to the UIF</t>
  </si>
  <si>
    <t>CARA added as part of cash revenue in Table 4</t>
  </si>
  <si>
    <t>Revenue collected according to Table 4</t>
  </si>
  <si>
    <t>1) Specific excise duties on petrol, distillate fuel, residual fuel and base oil.</t>
  </si>
  <si>
    <t>2) Excise duties collected by Botswana, Lesotho, Namibia and Eswatini.</t>
  </si>
  <si>
    <t>3) Revenue received by SARS in respect of taxation that could not be allocated to specific revenue types.</t>
  </si>
  <si>
    <t>4) Payments in terms of SACU agreements.</t>
  </si>
  <si>
    <t>5) NRF receipts (previously classified as extra ordinary receipts), for more details see Table 5.</t>
  </si>
  <si>
    <t>6) Other revenue received by the NRF that is not classified as Departmental Revenue.</t>
  </si>
  <si>
    <t>*) Any negative amounts reflect refunds and reclassification of previous recorded amounts. Reclassification will be reflected on the database.</t>
  </si>
  <si>
    <t>Table 2 Expenditure by national vote*</t>
  </si>
  <si>
    <t xml:space="preserve">                                                                                                                                                                                                       </t>
  </si>
  <si>
    <t>Revised estimate</t>
  </si>
  <si>
    <t>Current</t>
  </si>
  <si>
    <t>Transfers and</t>
  </si>
  <si>
    <t>Payments for</t>
  </si>
  <si>
    <t xml:space="preserve">Payments for </t>
  </si>
  <si>
    <t>Total</t>
  </si>
  <si>
    <t xml:space="preserve">Payments  for </t>
  </si>
  <si>
    <t>payments</t>
  </si>
  <si>
    <t>subsidies</t>
  </si>
  <si>
    <t>capital assets</t>
  </si>
  <si>
    <t>financial assets</t>
  </si>
  <si>
    <t>The Presidency</t>
  </si>
  <si>
    <t>Parliament</t>
  </si>
  <si>
    <t xml:space="preserve">Cooperative Governance </t>
  </si>
  <si>
    <t>Government Communication and Information System</t>
  </si>
  <si>
    <t>Home Affairs</t>
  </si>
  <si>
    <t>International Relations and Cooperation</t>
  </si>
  <si>
    <t>National School of Government</t>
  </si>
  <si>
    <t xml:space="preserve">National Treasury                                               </t>
  </si>
  <si>
    <t>Planning, Monitoring and Evaluation</t>
  </si>
  <si>
    <t>Public Enterprises</t>
  </si>
  <si>
    <t>Public Service and Administration</t>
  </si>
  <si>
    <t>Public Service Commission</t>
  </si>
  <si>
    <t>Public Works and Infrastructure</t>
  </si>
  <si>
    <t>Statistics South Africa</t>
  </si>
  <si>
    <t>Traditional Affairs</t>
  </si>
  <si>
    <t>Basic Education</t>
  </si>
  <si>
    <t>Higher Education and Training</t>
  </si>
  <si>
    <t>Health</t>
  </si>
  <si>
    <t>Social Development</t>
  </si>
  <si>
    <t>Women,Youth and persons with Disabilities</t>
  </si>
  <si>
    <t>Civilian secretariat for the Police Services</t>
  </si>
  <si>
    <t>Correctional Services</t>
  </si>
  <si>
    <t xml:space="preserve">Defence </t>
  </si>
  <si>
    <t>Independent Police Investigative Directorate</t>
  </si>
  <si>
    <t>Justice and Constitutional Development</t>
  </si>
  <si>
    <t>Military Veterans</t>
  </si>
  <si>
    <t xml:space="preserve">Office of the Chief Justice </t>
  </si>
  <si>
    <t>Police</t>
  </si>
  <si>
    <t>Agriculture, Land Reform and Rural Development</t>
  </si>
  <si>
    <t>Communications and Digital Technologies</t>
  </si>
  <si>
    <t>Employment and Labour</t>
  </si>
  <si>
    <t>Environment, Forestry and Fisheries</t>
  </si>
  <si>
    <t>Human Settlements</t>
  </si>
  <si>
    <t>Mineral Resources and Energy</t>
  </si>
  <si>
    <t>Science and Innovation</t>
  </si>
  <si>
    <t>Small Business Development</t>
  </si>
  <si>
    <t>Sports, Arts and Culture</t>
  </si>
  <si>
    <t>Tourism</t>
  </si>
  <si>
    <t>Trade, Industry and Competition</t>
  </si>
  <si>
    <t>Transport</t>
  </si>
  <si>
    <t>Water and Sanitation</t>
  </si>
  <si>
    <t>Total appropriation by vote</t>
  </si>
  <si>
    <t>Plus:</t>
  </si>
  <si>
    <t>Direct charges against the NRF</t>
  </si>
  <si>
    <t>President and Deputy President salaries (The Presidency)</t>
  </si>
  <si>
    <t>Members' remuneration (Parliament)</t>
  </si>
  <si>
    <t>Debt-service costs (National Treasury)</t>
  </si>
  <si>
    <t>Other cost</t>
  </si>
  <si>
    <t>Provincial equitable share (National Treasury)</t>
  </si>
  <si>
    <t>General fuel levy sharing with metropolitan municipalities (National Treasury)</t>
  </si>
  <si>
    <t>NRF payments (National Treasury)</t>
  </si>
  <si>
    <t>Auditor-General of South Africa</t>
  </si>
  <si>
    <t>Other payments</t>
  </si>
  <si>
    <t>Payments in terms of section 70 of the PFMA</t>
  </si>
  <si>
    <t xml:space="preserve">South African Express Airways </t>
  </si>
  <si>
    <t>Land and Agricultural Development Bank of SA</t>
  </si>
  <si>
    <t>Payments in terms of Section 6(1)(b) of the Appropriation act 2020</t>
  </si>
  <si>
    <t>South African Airways</t>
  </si>
  <si>
    <t>Skills levy and sector education and training authorities (Higher Education and Training)</t>
  </si>
  <si>
    <t>Magistrates' salaries (Justice and Constitutional Development)</t>
  </si>
  <si>
    <t>Judges' salaries (Office of the Chief Justice and Judicial Administration)</t>
  </si>
  <si>
    <t>International Oil Pollution Compensation Fund (Transport)</t>
  </si>
  <si>
    <t>Total direct charges against the NRF</t>
  </si>
  <si>
    <t>National government projected underspending</t>
  </si>
  <si>
    <t>Main budget expenditure</t>
  </si>
  <si>
    <t>1) Reflects monthly requested funds.</t>
  </si>
  <si>
    <t>2) In terms of Disaster Management Act as declared by the President, social grant payments for April 2020 were paid in March 2020.</t>
  </si>
  <si>
    <t>3) NRF payments (previously classified as extra ordinary payments), for more details see Table 5.</t>
  </si>
  <si>
    <t>4) The Minister of Finance approved these payments in terms of Section 70 of the PFMA. For SA Express Airways the payment was made by the Department of Public Enterprise and for Land Bank by the National Treasury.</t>
  </si>
  <si>
    <t>5) The payment has been allocated to the Department of Public Enterprise as per the the Second Adjustment Appropriation Act..</t>
  </si>
  <si>
    <t>*) Any negative amounts reflected against the votes indicate the reallocation of spending to the correct economic classification.</t>
  </si>
  <si>
    <t>Audited outcome**</t>
  </si>
  <si>
    <t>Communications</t>
  </si>
  <si>
    <t>Cooperative Governance and Traditional Affairs</t>
  </si>
  <si>
    <t>Public Works</t>
  </si>
  <si>
    <t>Women</t>
  </si>
  <si>
    <t>Defence and Military Veterans</t>
  </si>
  <si>
    <t>Office of the Chief Justice and Judicial Administration</t>
  </si>
  <si>
    <t>Agriculture, Forestry and Fisheries</t>
  </si>
  <si>
    <t>Economic Development</t>
  </si>
  <si>
    <t>Energy</t>
  </si>
  <si>
    <t>Environmental Affairs</t>
  </si>
  <si>
    <t>Labour</t>
  </si>
  <si>
    <t>Mineral Resources</t>
  </si>
  <si>
    <t>Science and Technology</t>
  </si>
  <si>
    <t>Telecommunications and Postal Services</t>
  </si>
  <si>
    <t>Trade and Industry</t>
  </si>
  <si>
    <t>Arts and Culture</t>
  </si>
  <si>
    <t>Rural Development and Land Reform</t>
  </si>
  <si>
    <t>Sport and Recreation South Africa</t>
  </si>
  <si>
    <t>Eskom - payment in terms of Section 16(1) of the PFMA</t>
  </si>
  <si>
    <t>Payments in terms of Section 6(1)(b) of the Appropriation act 2019</t>
  </si>
  <si>
    <t xml:space="preserve">South African Airways </t>
  </si>
  <si>
    <t>South African Express Airways</t>
  </si>
  <si>
    <t xml:space="preserve">Denel </t>
  </si>
  <si>
    <t>SABC</t>
  </si>
  <si>
    <t>Provisional allocation for contingencies not assigned to votes</t>
  </si>
  <si>
    <t>Infrastructure fund not assigned to votes</t>
  </si>
  <si>
    <t xml:space="preserve">Provisional allocation for Eskom restructuring </t>
  </si>
  <si>
    <t>Compensation of employess and other baseline adjustments</t>
  </si>
  <si>
    <t>2) NRF payments (previously classified as extra ordinary payments), for more details see Table 5.</t>
  </si>
  <si>
    <t>3) Payment has been allocated to Public Enterprise (Vote 9).</t>
  </si>
  <si>
    <t>3) The Minister of Finance approved South African Airways, South African Express Airways Denel and SABC payments in terms of Section 6(1)(b) of the Appropriation act 2019. These payments are made by Public Enterprise.</t>
  </si>
  <si>
    <t>**) Audited outcome except Debt-service costs.</t>
  </si>
  <si>
    <t>Table 3  Summary table of borrowing</t>
  </si>
  <si>
    <t>Table</t>
  </si>
  <si>
    <t>Preliminary</t>
  </si>
  <si>
    <t>Domestic short-term loans (net)</t>
  </si>
  <si>
    <t xml:space="preserve">  Treasury bills</t>
  </si>
  <si>
    <t>Shorter than 91 days</t>
  </si>
  <si>
    <t>91 days</t>
  </si>
  <si>
    <t>182 days</t>
  </si>
  <si>
    <t>273 days</t>
  </si>
  <si>
    <t>364 days</t>
  </si>
  <si>
    <t>Corporation for Public Deposits</t>
  </si>
  <si>
    <t>Domestic long-term loans (net)</t>
  </si>
  <si>
    <t xml:space="preserve">   Loans issued for financing (net)</t>
  </si>
  <si>
    <t xml:space="preserve">      Loans issued (gross)</t>
  </si>
  <si>
    <t>4.1</t>
  </si>
  <si>
    <t xml:space="preserve">      Discount</t>
  </si>
  <si>
    <t xml:space="preserve">      Scheduled redemptions</t>
  </si>
  <si>
    <t>4.2</t>
  </si>
  <si>
    <t xml:space="preserve">      Buy-backs (excluding book profit)</t>
  </si>
  <si>
    <t xml:space="preserve">   Loans issued for switches (net)</t>
  </si>
  <si>
    <t xml:space="preserve">     Loans issued (gross)</t>
  </si>
  <si>
    <t xml:space="preserve">     Discount</t>
  </si>
  <si>
    <t xml:space="preserve">     Loans switched (excluding book profit)</t>
  </si>
  <si>
    <t xml:space="preserve">   Loans issued for repo's (net)</t>
  </si>
  <si>
    <t xml:space="preserve">     Repo out</t>
  </si>
  <si>
    <t xml:space="preserve">     Repo in</t>
  </si>
  <si>
    <t xml:space="preserve">   Loans issued for extraordinary purposes (net)                                   </t>
  </si>
  <si>
    <t>Foreign long-term loans (net)</t>
  </si>
  <si>
    <t>4.3</t>
  </si>
  <si>
    <t xml:space="preserve">      Rand value at date of issue</t>
  </si>
  <si>
    <t xml:space="preserve">      Revaluation</t>
  </si>
  <si>
    <t xml:space="preserve">      Loans switched (excluding book profit)</t>
  </si>
  <si>
    <t xml:space="preserve">       Rand value at date of issue</t>
  </si>
  <si>
    <t xml:space="preserve">       Revaluation</t>
  </si>
  <si>
    <t xml:space="preserve">   Loans issued for buy-backs (net)</t>
  </si>
  <si>
    <t>Change in cash and other balances</t>
  </si>
  <si>
    <t>4.4</t>
  </si>
  <si>
    <t xml:space="preserve">    Change in cash balances</t>
  </si>
  <si>
    <t xml:space="preserve">    Outstanding transfers from the Exchequer to PMG Accounts</t>
  </si>
  <si>
    <t>Cash flow adjustment</t>
  </si>
  <si>
    <t xml:space="preserve">    Surrenders</t>
  </si>
  <si>
    <t xml:space="preserve">    Late requests</t>
  </si>
  <si>
    <t xml:space="preserve">    Reconciliation between actual revenue and actual expenditure against NRF flows</t>
  </si>
  <si>
    <t>Total borrowing</t>
  </si>
  <si>
    <t xml:space="preserve">Table 3.1 Issuance of domestic long-term loans </t>
  </si>
  <si>
    <t>Domestic long-term loans (gross)</t>
  </si>
  <si>
    <t xml:space="preserve">  Loans issued for financing</t>
  </si>
  <si>
    <t xml:space="preserve">  Loans issued for switches</t>
  </si>
  <si>
    <t xml:space="preserve">  Loans issued for repo's (Repo out)</t>
  </si>
  <si>
    <t xml:space="preserve">  Loans issued for extraordinary purposes</t>
  </si>
  <si>
    <t>Loans issued for financing (gross)</t>
  </si>
  <si>
    <t xml:space="preserve">      Cash value</t>
  </si>
  <si>
    <t xml:space="preserve">      Premium                                                          </t>
  </si>
  <si>
    <t xml:space="preserve">      Revaluation                                                      </t>
  </si>
  <si>
    <t xml:space="preserve">  Retail Bonds</t>
  </si>
  <si>
    <t xml:space="preserve">        Cash value</t>
  </si>
  <si>
    <t xml:space="preserve">  I2025 (2.00%  2025/01/31)                                                                          </t>
  </si>
  <si>
    <t xml:space="preserve">        Discount</t>
  </si>
  <si>
    <t xml:space="preserve">        Premium  </t>
  </si>
  <si>
    <t xml:space="preserve">        Revaluation</t>
  </si>
  <si>
    <t xml:space="preserve">  I2038 (2.25%  2038/01/31)                                                                          </t>
  </si>
  <si>
    <t xml:space="preserve">  I2046 (2.50%  2046/03/31)                                                                           </t>
  </si>
  <si>
    <t xml:space="preserve">  I2033 (1.875%  2033/02/28)                                                                        </t>
  </si>
  <si>
    <t xml:space="preserve">  I2050 (2.50%  2049-50-51/12/31)                                                               </t>
  </si>
  <si>
    <t xml:space="preserve">  R2035 (8.875%  2035/02/28)</t>
  </si>
  <si>
    <t xml:space="preserve">        Premium</t>
  </si>
  <si>
    <t xml:space="preserve">  R186 (10.50%  2025-26-27/12/21)</t>
  </si>
  <si>
    <t xml:space="preserve">  R189  (6.25%  2013/03/31)</t>
  </si>
  <si>
    <t xml:space="preserve">  I2029 (1.875%  2029/03/31)</t>
  </si>
  <si>
    <t xml:space="preserve">  R209  (6.25%  2036/03/31)</t>
  </si>
  <si>
    <t xml:space="preserve">  R197 (5.50%  2023/12/07)</t>
  </si>
  <si>
    <t xml:space="preserve">  R203 (8.25%  2017/09/15)</t>
  </si>
  <si>
    <t xml:space="preserve">  R204 (8.00%  2018/12/21)</t>
  </si>
  <si>
    <t xml:space="preserve">  R205  (6.88%  2012/03/31)</t>
  </si>
  <si>
    <t xml:space="preserve">  R206  (7.50%  2014/01/15)</t>
  </si>
  <si>
    <t xml:space="preserve">  R207 (7.25%  2020/01/15)</t>
  </si>
  <si>
    <t xml:space="preserve">  R208 (6.75%  2021/03/31)</t>
  </si>
  <si>
    <t xml:space="preserve">  R2040 (9.00%  2040/09/11)</t>
  </si>
  <si>
    <t xml:space="preserve">  R210 (2.60%  2028/03/31)                                                                          1)</t>
  </si>
  <si>
    <t xml:space="preserve">  R202 (3.45%  2033/12/07)</t>
  </si>
  <si>
    <t xml:space="preserve">  R212 (2.75%  2022/01/31)</t>
  </si>
  <si>
    <t xml:space="preserve">  R213 (7.00%  2031/02/28)</t>
  </si>
  <si>
    <t xml:space="preserve">  R214 (6.50%  2041/02/28)</t>
  </si>
  <si>
    <t xml:space="preserve">  R2023 (7.75%  2023/02/28)</t>
  </si>
  <si>
    <t xml:space="preserve">  R2030 (7.75%  2030/01/31)</t>
  </si>
  <si>
    <t xml:space="preserve">  R2032 (8.25%  2032/03/31)</t>
  </si>
  <si>
    <t xml:space="preserve">  R2037 (8.50%  2037/01/31)</t>
  </si>
  <si>
    <t xml:space="preserve">  R2044 (8.75%  2043-44-45/01/31)</t>
  </si>
  <si>
    <t xml:space="preserve">  R2048 (8.75%  2047-48-49/02/28)</t>
  </si>
  <si>
    <t>Table 3.1 Issuance of domestic long-term loans (continued)</t>
  </si>
  <si>
    <t xml:space="preserve">  Amortised interest on Zero Coupon Bonds (cash value)</t>
  </si>
  <si>
    <t xml:space="preserve">       Z006 (13.91%  2013/08/31)</t>
  </si>
  <si>
    <t xml:space="preserve">       Z009 (12.15%  2013/11/30)</t>
  </si>
  <si>
    <t xml:space="preserve">       Z014 (12.60%  2015/06/30)</t>
  </si>
  <si>
    <t xml:space="preserve">       Z018 (13.35%  2014/03/31)</t>
  </si>
  <si>
    <t xml:space="preserve">       Z019 (13.30%  2014/06/30)</t>
  </si>
  <si>
    <t xml:space="preserve">       Z020 (13.20%  2015/10/19)</t>
  </si>
  <si>
    <t xml:space="preserve">       Z021  (12.60%  2009/04/30)</t>
  </si>
  <si>
    <t xml:space="preserve">       Z025 (13.00%  2014/11/30)</t>
  </si>
  <si>
    <t xml:space="preserve">       Z071 (15.64%  2015/07/01)</t>
  </si>
  <si>
    <t xml:space="preserve">       Z083 (15.25%  2019/09/30)</t>
  </si>
  <si>
    <t xml:space="preserve">       Z089  (15.25%  2019/09/30)</t>
  </si>
  <si>
    <t xml:space="preserve">       Z109 (15.25%  2016/09/15)</t>
  </si>
  <si>
    <t xml:space="preserve">  Capitalised interest on Retail Bonds (cash value) </t>
  </si>
  <si>
    <t xml:space="preserve">       Corporate Retail Bond</t>
  </si>
  <si>
    <t xml:space="preserve">       RB01</t>
  </si>
  <si>
    <t xml:space="preserve">       RB02</t>
  </si>
  <si>
    <t xml:space="preserve">       RB03</t>
  </si>
  <si>
    <t xml:space="preserve">       RB04</t>
  </si>
  <si>
    <t xml:space="preserve">       RB05</t>
  </si>
  <si>
    <t xml:space="preserve">       RB06</t>
  </si>
  <si>
    <t xml:space="preserve">  R2044 (8.75%  2043-44-45/07/18)</t>
  </si>
  <si>
    <t xml:space="preserve">  R2030 (8.00%  2030/01/31)</t>
  </si>
  <si>
    <t xml:space="preserve">  R2032 (7.00%  2031/02/28)</t>
  </si>
  <si>
    <t xml:space="preserve">  R209 (6.25%  2036/03/31)</t>
  </si>
  <si>
    <t xml:space="preserve">  Margin call payable</t>
  </si>
  <si>
    <t xml:space="preserve">  R2044 (8.75%  2044-45-46/01/31)</t>
  </si>
  <si>
    <t xml:space="preserve">  R210 (2.60%  2028/03/31)</t>
  </si>
  <si>
    <t xml:space="preserve">  R2037  (8.50%  2037/01/31)</t>
  </si>
  <si>
    <t xml:space="preserve">  R2040 (9.00%  2040/01/31)</t>
  </si>
  <si>
    <t xml:space="preserve">  R204  (8.00%  2018/12/21)</t>
  </si>
  <si>
    <t xml:space="preserve">  R2030 (8.00%  2030/01/30)</t>
  </si>
  <si>
    <t xml:space="preserve">Table 3.2  Redemption of domestic long-term loans </t>
  </si>
  <si>
    <t>Redemption of domestic long-term loans</t>
  </si>
  <si>
    <t xml:space="preserve">  Scheduled </t>
  </si>
  <si>
    <t xml:space="preserve">  Due to switches</t>
  </si>
  <si>
    <t xml:space="preserve">  Due to repo's (Repo in)</t>
  </si>
  <si>
    <t xml:space="preserve">  Due to buy-backs</t>
  </si>
  <si>
    <t xml:space="preserve">Scheduled redemptions </t>
  </si>
  <si>
    <t xml:space="preserve">  R208 (6.75% 2021/03/31)</t>
  </si>
  <si>
    <t xml:space="preserve">  R158 (13.50% 2015/09/15)</t>
  </si>
  <si>
    <t xml:space="preserve">  R158P (13.50% 2015/09/15)</t>
  </si>
  <si>
    <t xml:space="preserve">  Z083 (15,25% 2019/09/30)</t>
  </si>
  <si>
    <t xml:space="preserve">  Bonus debenture</t>
  </si>
  <si>
    <t xml:space="preserve">  Former regional authorities' debt</t>
  </si>
  <si>
    <t xml:space="preserve">  Former SARB Namibian loan facility</t>
  </si>
  <si>
    <t>Redemptions due to switches</t>
  </si>
  <si>
    <t xml:space="preserve">        Book profit </t>
  </si>
  <si>
    <t xml:space="preserve">        Book loss </t>
  </si>
  <si>
    <t xml:space="preserve">  R157 (13.50%  2014-15-16/09/15)</t>
  </si>
  <si>
    <t xml:space="preserve">  R201 (8.75%  2014/12/21)</t>
  </si>
  <si>
    <t xml:space="preserve">  R203 (8.25% 2017/09/15)</t>
  </si>
  <si>
    <t>Due to repo's (Repo in)</t>
  </si>
  <si>
    <t xml:space="preserve">   Due to buy-backs</t>
  </si>
  <si>
    <t xml:space="preserve">        Book profit</t>
  </si>
  <si>
    <t xml:space="preserve">        Book loss</t>
  </si>
  <si>
    <t xml:space="preserve">  R001  (4.50%  PERP)</t>
  </si>
  <si>
    <t xml:space="preserve">  R002  (5.00%  PERP)</t>
  </si>
  <si>
    <t xml:space="preserve">  TR31  (9.75%  PERP)</t>
  </si>
  <si>
    <t xml:space="preserve">  TR32  (10.00%  PERP)</t>
  </si>
  <si>
    <t xml:space="preserve">  TR30  (10.00%  PERP)</t>
  </si>
  <si>
    <t xml:space="preserve">  Z071  (0.00%  2015/07/01)</t>
  </si>
  <si>
    <t>Table 3.3  Issuance and redemption of foreign loans</t>
  </si>
  <si>
    <t xml:space="preserve"> Foreign loans issued (gross)</t>
  </si>
  <si>
    <t xml:space="preserve">        Loans issued for financing</t>
  </si>
  <si>
    <t xml:space="preserve">        Loans issued for switches</t>
  </si>
  <si>
    <t xml:space="preserve">        Loans issued for buy-backs</t>
  </si>
  <si>
    <t xml:space="preserve"> Loans issued for financing (gross)</t>
  </si>
  <si>
    <t xml:space="preserve">  TY2/101  4.85% US Dollar Notes due 2029/09/30</t>
  </si>
  <si>
    <t xml:space="preserve">  TY2/102  5.75% US Dollar Notes due 2049/09/30</t>
  </si>
  <si>
    <t xml:space="preserve">  TY2/94  4.875% US Dollar Notes due 2026/04/14</t>
  </si>
  <si>
    <t xml:space="preserve">  TY2/103  LIBOR plus 1.25% US Dollar Notes due 2050/07/20</t>
  </si>
  <si>
    <t xml:space="preserve">  TY2/105 SDR rate plus a % margin US Dollar Promissory Notes due 2025/07/29</t>
  </si>
  <si>
    <t xml:space="preserve">  TY2/97  4.85% US Dollar Notes due 2027/09/27</t>
  </si>
  <si>
    <t xml:space="preserve">  TY2/98  5.65% US Dollar Notes due 2047/09/27</t>
  </si>
  <si>
    <t xml:space="preserve">  TY2/104 3M JIBAR + lending margin + funding cost margin Notes due 2040/06/16</t>
  </si>
  <si>
    <t xml:space="preserve"> Loans issued for switches</t>
  </si>
  <si>
    <t xml:space="preserve">  TY2/95  4.30% US Dollar Notes due 2028/10/12</t>
  </si>
  <si>
    <t xml:space="preserve"> Loans issued for buy-backs</t>
  </si>
  <si>
    <t xml:space="preserve">  TY2-93  3.903% Sukuk note due 2020/09/24</t>
  </si>
  <si>
    <t xml:space="preserve">  TY2/92  3.750% Euro Notes due 2026/07/24</t>
  </si>
  <si>
    <t xml:space="preserve">  TY2/88 6.250% US Dollar Notes due 2041/03/08</t>
  </si>
  <si>
    <t xml:space="preserve">  TY2/89 4.665% US Dollar Notes due 2024/01/17</t>
  </si>
  <si>
    <t>Redemption of foreign long-term loans</t>
  </si>
  <si>
    <t xml:space="preserve">    Scheduled</t>
  </si>
  <si>
    <t xml:space="preserve">    Due to switches</t>
  </si>
  <si>
    <t xml:space="preserve">    Due to buy-backs</t>
  </si>
  <si>
    <t>Scheduled redemptions</t>
  </si>
  <si>
    <t xml:space="preserve">         Rand value at date of issue</t>
  </si>
  <si>
    <t xml:space="preserve">         Revaluation</t>
  </si>
  <si>
    <t xml:space="preserve">  TY2/64 2.50% Kwandebele Water Augmentation Project due 2021/05/20</t>
  </si>
  <si>
    <t xml:space="preserve">  TY2/86 6.875% RSA Notes due 2019/05/27</t>
  </si>
  <si>
    <t xml:space="preserve">  TY2/87 5.50% RSA Notes due 2020/03/09</t>
  </si>
  <si>
    <t xml:space="preserve">  TY2/68 8.50% YANKEE BOND due 2017/06/23</t>
  </si>
  <si>
    <t xml:space="preserve">  TY2/73C Société Générale/Paribas due 2015/05/28</t>
  </si>
  <si>
    <t xml:space="preserve">  TY2/73E 5.50% Barclays Bank PLC due 2020/04/15 </t>
  </si>
  <si>
    <t xml:space="preserve">  TY2/75 Japanese Yen Loan due 2020/06/01</t>
  </si>
  <si>
    <t xml:space="preserve">  TY2/93 3.903% US Dollar Notes due 2020/06/24</t>
  </si>
  <si>
    <t xml:space="preserve">  TY2/64 2.50% Kwandebele Water Augmentation Project due 2020/11/20</t>
  </si>
  <si>
    <t xml:space="preserve">  TY2/78 Japanese Yen Loan due 2007/07/18</t>
  </si>
  <si>
    <t xml:space="preserve">  TY2/82 World Bank: ( Municipal Financial Assistance)  2011/02/15</t>
  </si>
  <si>
    <t xml:space="preserve"> Due to switches</t>
  </si>
  <si>
    <t xml:space="preserve">  TY2/86  6.875% RSA Notes due 2019/05/27</t>
  </si>
  <si>
    <t xml:space="preserve">  TY2/87  5.50% RSA Notes due 2020/09/03</t>
  </si>
  <si>
    <t>Due to buy-backs</t>
  </si>
  <si>
    <t xml:space="preserve">  TY2/73E Barclays Bank PLC due 2020/10/15 </t>
  </si>
  <si>
    <t xml:space="preserve">  TY2/71  9.125% US Dollar Notes due 2009/05/19 </t>
  </si>
  <si>
    <t xml:space="preserve">  TY2/74A  9.125% US Dollar Notes due 2009/05/19 </t>
  </si>
  <si>
    <t xml:space="preserve">  TY2/76  7.00% Euro Notes due 2008/04/10</t>
  </si>
  <si>
    <t>Table 3.4  Change in cash and other balances</t>
  </si>
  <si>
    <t xml:space="preserve">Change in cash balances                                           </t>
  </si>
  <si>
    <t xml:space="preserve">   Opening balance</t>
  </si>
  <si>
    <t xml:space="preserve">       SARB accounts</t>
  </si>
  <si>
    <t xml:space="preserve">       Commercial Banks - Tax and Loan accounts</t>
  </si>
  <si>
    <t xml:space="preserve">   Closing balance</t>
  </si>
  <si>
    <t>Outstanding transfers from the Exchequer to the PMG Accounts</t>
  </si>
  <si>
    <t>Cash-flow adjustment</t>
  </si>
  <si>
    <t xml:space="preserve">Surrenders by National Departments                       </t>
  </si>
  <si>
    <t xml:space="preserve">     2019/20 and prior</t>
  </si>
  <si>
    <t xml:space="preserve">      2012/2013</t>
  </si>
  <si>
    <t xml:space="preserve">Late requests by National Departments                 </t>
  </si>
  <si>
    <t xml:space="preserve">     2019/20 and prior </t>
  </si>
  <si>
    <t>Reconciliation between actual revenue and actual expenditure against NRF flows</t>
  </si>
  <si>
    <t>Total change in cash and other balances</t>
  </si>
  <si>
    <t>1) A negative value indicates an increase in cash and other balances. A positive value indicates that cash is used to finance part of the borrowing requirement.</t>
  </si>
  <si>
    <t>2) Includes R33.9 billion in respect of delayed interest and loan redemption payment scheduled for Sunday, 31 March 2013</t>
  </si>
  <si>
    <t xml:space="preserve">    but paid on 2 April 2013. In the Budget Review 2014 this balance was shown net of delayed payment</t>
  </si>
  <si>
    <t>2) The closing balance for 31 March 2015 excludes an amount of R3.8 billion of tax revenue received</t>
  </si>
  <si>
    <t xml:space="preserve">    in the account of the South African Revenue Services but not yet rolled-up into tax and loan account</t>
  </si>
  <si>
    <t>2) Surrenders by National Departments are unspent funds requested in previous financial years.</t>
  </si>
  <si>
    <t>3) Late requests are requisitions with regard to expenditure committed in previous years.</t>
  </si>
  <si>
    <t>Table 4  Summary of cash flow</t>
  </si>
  <si>
    <t xml:space="preserve">Audited </t>
  </si>
  <si>
    <t>outcome5</t>
  </si>
  <si>
    <t xml:space="preserve">Exchequer revenue                                                                                           </t>
  </si>
  <si>
    <t xml:space="preserve">   1)</t>
  </si>
  <si>
    <t xml:space="preserve">Departmental requisitions                                                                                    </t>
  </si>
  <si>
    <t xml:space="preserve">   2)</t>
  </si>
  <si>
    <t>Voted amounts</t>
  </si>
  <si>
    <t xml:space="preserve">   3)</t>
  </si>
  <si>
    <t xml:space="preserve">Direct charges against the NRF                                     </t>
  </si>
  <si>
    <t>Debt-service costs</t>
  </si>
  <si>
    <t>Provincial equitable share</t>
  </si>
  <si>
    <t>General fuel levy sharing with metropolitan municipalities</t>
  </si>
  <si>
    <t>Skills levy and SETAs</t>
  </si>
  <si>
    <t>Other costs</t>
  </si>
  <si>
    <t>Main budget balance</t>
  </si>
  <si>
    <t>Total financing</t>
  </si>
  <si>
    <t>Loans issued for financing (net)</t>
  </si>
  <si>
    <t>Loans issued (gross)</t>
  </si>
  <si>
    <t>Discount</t>
  </si>
  <si>
    <t>Redemptions</t>
  </si>
  <si>
    <t xml:space="preserve">   Buy-backs (excluding book profit)</t>
  </si>
  <si>
    <t>Loans issued for switches (net)</t>
  </si>
  <si>
    <t>Loans switched (net of book profit)</t>
  </si>
  <si>
    <t>Loans issued for repo's (net)</t>
  </si>
  <si>
    <t>Repo out</t>
  </si>
  <si>
    <t>Repo in</t>
  </si>
  <si>
    <t>Loans issued for extraordinary purposes (net)</t>
  </si>
  <si>
    <t xml:space="preserve">   Rand value at date of issue</t>
  </si>
  <si>
    <t xml:space="preserve">   Revaluation   </t>
  </si>
  <si>
    <t>Loans switched (excluding book profit)</t>
  </si>
  <si>
    <t>Loans issued for buy-backs (net)</t>
  </si>
  <si>
    <t>Buy-backs (excluding book profit)</t>
  </si>
  <si>
    <t>Other movements</t>
  </si>
  <si>
    <t xml:space="preserve">   4)</t>
  </si>
  <si>
    <t>Surrenders/Late requests</t>
  </si>
  <si>
    <t>Outstanding transfers from the Exchequer to PMG Accounts</t>
  </si>
  <si>
    <t>Changes in cash balances</t>
  </si>
  <si>
    <t xml:space="preserve">Change in cash balances                                                                                      </t>
  </si>
  <si>
    <t>Opening balance</t>
  </si>
  <si>
    <t xml:space="preserve">   </t>
  </si>
  <si>
    <t>SARB accounts</t>
  </si>
  <si>
    <t>Commercial Banks - Tax and Loan accounts</t>
  </si>
  <si>
    <t>SARB deposit account</t>
  </si>
  <si>
    <t>Closing balance</t>
  </si>
  <si>
    <t xml:space="preserve">Commercial Banks - Tax and Loan accounts                                                       </t>
  </si>
  <si>
    <t>1) Revenue received into the Exchequer Account.</t>
  </si>
  <si>
    <t>2) Fund requisitions by departments.</t>
  </si>
  <si>
    <t>3) Includes payment in terms of Section 58 of the Finance and Financial Adjustments Acts Consolidation Act no 11 of 1997.</t>
  </si>
  <si>
    <t>4) A negative value indicates an increase in cash and other balances. A positive value indicates that cash is used to finance part of the borrowing requirement.</t>
  </si>
  <si>
    <t>5) Audited outcome except Debt service-costs.</t>
  </si>
  <si>
    <t>Table 5 Additional information on National Revenue Fund receipts and payments1</t>
  </si>
  <si>
    <t>NRF receipts (excludes book profit)</t>
  </si>
  <si>
    <t xml:space="preserve">Agricultural Debt Account surrender                     </t>
  </si>
  <si>
    <t>Double payment of R150 settlement on 21/07/00</t>
  </si>
  <si>
    <t>Excess of roadshow advance iro USD750 million</t>
  </si>
  <si>
    <t xml:space="preserve">Foreign exchange amnesty proceeds                         </t>
  </si>
  <si>
    <t>Incorrect deposit into the Exchequer</t>
  </si>
  <si>
    <t>Incorrect transfer from CPD</t>
  </si>
  <si>
    <t>Profit on buy back</t>
  </si>
  <si>
    <t>Saambou Bank liability</t>
  </si>
  <si>
    <t>Equalisation Fund account transfer</t>
  </si>
  <si>
    <t>Interest earned on Defence Procurement Export Credit Facilities</t>
  </si>
  <si>
    <t xml:space="preserve">Lebowa Minerals Trust abolition              </t>
  </si>
  <si>
    <t xml:space="preserve">Penalties on retail bonds                      </t>
  </si>
  <si>
    <t>Penalties and forfeits from SARB</t>
  </si>
  <si>
    <t xml:space="preserve">Surplus cash from ICASA                      </t>
  </si>
  <si>
    <t xml:space="preserve">Premium on debt portfolio restructuring                              </t>
  </si>
  <si>
    <t xml:space="preserve">Premiums on loan transactions            </t>
  </si>
  <si>
    <t>Refund on Hermes fees</t>
  </si>
  <si>
    <t>Proceeds from the restructuring of Aventura</t>
  </si>
  <si>
    <t>Proceeds from the sale of Telkom 's share in Vodacom</t>
  </si>
  <si>
    <t>Revaluation profits on foreign currency transactions</t>
  </si>
  <si>
    <t>Winding down of Diabo Share Trust</t>
  </si>
  <si>
    <t xml:space="preserve">Profits on GFECRA                     </t>
  </si>
  <si>
    <t>Special  restructuring proceeds from Telkom</t>
  </si>
  <si>
    <t xml:space="preserve">SASSA FNB indemnity </t>
  </si>
  <si>
    <t xml:space="preserve">Special dividends from Eskom                       </t>
  </si>
  <si>
    <t xml:space="preserve">Special dividends from Telkom                       </t>
  </si>
  <si>
    <t>Special restructuring proceeds from Airwing</t>
  </si>
  <si>
    <t>Profit on script lending</t>
  </si>
  <si>
    <t>Special restructuring proceeds from ICASA</t>
  </si>
  <si>
    <t>Liquidation of SASRIA investment</t>
  </si>
  <si>
    <t>IMF revaluation profits</t>
  </si>
  <si>
    <t xml:space="preserve">NRF payments </t>
  </si>
  <si>
    <t>Incorrect transfer from PMG</t>
  </si>
  <si>
    <t>Revaluation losses on foreign currency transactions</t>
  </si>
  <si>
    <t xml:space="preserve">Losses on GFECRA                                                                </t>
  </si>
  <si>
    <t>Revaluation loss on foreign currency transactions</t>
  </si>
  <si>
    <t xml:space="preserve">Premium on debt portfolio restructuring                                </t>
  </si>
  <si>
    <t xml:space="preserve">Premium on foreign portfolio debt portfolio restructuring                                </t>
  </si>
  <si>
    <t>Takeover of former Regional Authorities debt</t>
  </si>
  <si>
    <t>Loss on switches</t>
  </si>
  <si>
    <t>Loss on script lending</t>
  </si>
  <si>
    <t>Book profit</t>
  </si>
  <si>
    <t>1) NRF receipts and payments form part of departmental revenue (Table 1) and direct charges (Table 2) respectively.</t>
  </si>
  <si>
    <t>2) Realised profits/losses on the Gold and Foreign Exchange Contingency Reserve Account.</t>
  </si>
  <si>
    <t xml:space="preserve">1)  Book profits made on debt portfolio restructuring, previously included in Revenue, are now added to extraordinary receipts.  In the 2001/02 fiscal year the following amounts:  </t>
  </si>
  <si>
    <t xml:space="preserve">     June (R498,641 million), July (R405,987 million), August (R22,497 million) and October (R15 thousand).</t>
  </si>
  <si>
    <t xml:space="preserve">     Adjustments were also made to the 2000/01 fiscal year, November (R71,087 million), December (R188,070 million), February (R42,439 million) and March (R166,509 million). </t>
  </si>
  <si>
    <t xml:space="preserve">     Detail on book profits are shown on Schedule 4.2.</t>
  </si>
  <si>
    <t xml:space="preserve">3)  Premiums paid on debt portfolio restructuring, previously included as state debt cost expenditure,  are now added to extraordinary payments.  </t>
  </si>
  <si>
    <t xml:space="preserve">      In the 2001/02 fiscal year the following amounts:  May (R599,981 million), July (R49,630 million), August (R185,755 million),  September (R325,210 million) and</t>
  </si>
  <si>
    <t xml:space="preserve">     October (R753,327 million).  Adjustments were also made to the 2000/01 fiscal year,  February (R12,745 million) and March (R3,438 million).  </t>
  </si>
  <si>
    <t>The statement of actual revenue, expenditure and borrowings with regard to the National Revenue Fund as at the end of January 2020/2021 fiscal year is hereby published in terms of section 32 (1) of the Public Finance Management Act, 1999.</t>
  </si>
  <si>
    <t>Detailed information is available on the website of the National Treasury at www.treasury.gov.za click the Communications &amp; Media link - Press Releases - Monthly Press Releases</t>
  </si>
  <si>
    <t>Summary table of national revenue, expenditure and borrowing for the month ended 31 January 2021</t>
  </si>
  <si>
    <t>Revenue</t>
  </si>
  <si>
    <t xml:space="preserve">Expenditure </t>
  </si>
  <si>
    <t>Appropriation by vote</t>
  </si>
  <si>
    <t>Payments in terms of Section 70 of the PFMA</t>
  </si>
  <si>
    <t xml:space="preserve">Payments in terms of Section 6(1)(b) of the Appropriation act3 </t>
  </si>
  <si>
    <t>Skill Levy and SETAs</t>
  </si>
  <si>
    <t>Financing of the net borrowing requirement</t>
  </si>
  <si>
    <t>Foreign loans (net)</t>
  </si>
  <si>
    <t>Change in cash and other balances1</t>
  </si>
  <si>
    <t>Total financing (net)</t>
  </si>
  <si>
    <t>2) Audited outcome except Debt service-costs.</t>
  </si>
  <si>
    <t>3) Payment has been allocated to Appropriation by vote.</t>
  </si>
  <si>
    <t>COMPILED BY: Phindile Dhlame</t>
  </si>
  <si>
    <t xml:space="preserve">REVIEWED: Suzan Molokwane </t>
  </si>
  <si>
    <t>APPROVED: Lizette Labuschagne</t>
  </si>
  <si>
    <t>DATE:</t>
  </si>
  <si>
    <r>
      <t xml:space="preserve">                  outcome</t>
    </r>
    <r>
      <rPr>
        <b/>
        <vertAlign val="superscript"/>
        <sz val="10"/>
        <rFont val="Arial Narrow"/>
        <family val="2"/>
      </rPr>
      <t xml:space="preserve"> 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</si>
</sst>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8">
    <numFmt numFmtId="44" formatCode="_-&quot;R&quot;* #,##0.00_-;\-&quot;R&quot;* #,##0.00_-;_-&quot;R&quot;* &quot;-&quot;??_-;_-@_-"/>
    <numFmt numFmtId="43" formatCode="_-* #,##0.00_-;\-* #,##0.00_-;_-* &quot;-&quot;??_-;_-@_-"/>
    <numFmt numFmtId="164" formatCode="_(* #,##0_);_(* \(#,##0\);_(* &quot;-&quot;??_);_(@_)"/>
    <numFmt numFmtId="165" formatCode="_(* #,##0.00_);_(* \(#,##0.00\);_(* &quot;-&quot;??_);_(@_)"/>
    <numFmt numFmtId="167" formatCode="_-* #,##0_-;\-* #,##0_-;_-* &quot;-&quot;_-;_-@_-"/>
    <numFmt numFmtId="169" formatCode="_-* #,##0.00_-;\-* #,##0.00_-;_-* &quot;-&quot;??_-;_-@_-"/>
    <numFmt numFmtId="170" formatCode="&quot;$&quot;#,##0_);\(&quot;$&quot;#,##0\)"/>
    <numFmt numFmtId="171" formatCode="_ * #,##0.00_ ;_ * \-#,##0.00_ ;_ * &quot;-&quot;??_ ;_ @_ "/>
    <numFmt numFmtId="172" formatCode="_-&quot;£&quot;* #,##0_-;\-&quot;£&quot;* #,##0_-;_-&quot;£&quot;* &quot;-&quot;_-;_-@_-"/>
    <numFmt numFmtId="173" formatCode="_-&quot;£&quot;* #,##0.00_-;\-&quot;£&quot;* #,##0.00_-;_-&quot;£&quot;* &quot;-&quot;??_-;_-@_-"/>
    <numFmt numFmtId="174" formatCode="0.0000000"/>
    <numFmt numFmtId="175" formatCode="0.000000"/>
    <numFmt numFmtId="176" formatCode="0.00000"/>
    <numFmt numFmtId="177" formatCode="0.00000000"/>
    <numFmt numFmtId="178" formatCode="#,##0;\-#,##0;&quot;-&quot;"/>
    <numFmt numFmtId="179" formatCode="#,##0.00;\-#,##0.00;&quot;-&quot;"/>
    <numFmt numFmtId="180" formatCode="#,##0%;\-#,##0%;&quot;- &quot;"/>
    <numFmt numFmtId="181" formatCode="#,##0.0%;\-#,##0.0%;&quot;- &quot;"/>
    <numFmt numFmtId="182" formatCode="#,##0.00%;\-#,##0.00%;&quot;- &quot;"/>
    <numFmt numFmtId="183" formatCode="#,##0.0;\-#,##0.0;&quot;-&quot;"/>
    <numFmt numFmtId="184" formatCode="\ \ @"/>
    <numFmt numFmtId="185" formatCode="\ \ \ \ @"/>
    <numFmt numFmtId="186" formatCode="[Red]0%;[Red]\(0%\)"/>
    <numFmt numFmtId="187" formatCode="0%;\(0%\)"/>
    <numFmt numFmtId="188" formatCode="&quot;R&quot;#,##0,;\(&quot;R&quot;#,##0,\)"/>
    <numFmt numFmtId="189" formatCode="\$#,##0\ ;\(\$#,##0\)"/>
    <numFmt numFmtId="190" formatCode="dd\-mmm\-yy_)"/>
    <numFmt numFmtId="191" formatCode="General_)"/>
    <numFmt numFmtId="192" formatCode="0.0%;\(0.0%\)"/>
    <numFmt numFmtId="193" formatCode="&quot;$&quot;#,##0.0"/>
    <numFmt numFmtId="194" formatCode="d/m/yy"/>
    <numFmt numFmtId="195" formatCode="d/m/yy\ h:mm"/>
    <numFmt numFmtId="196" formatCode="_ * #,##0_ ;_ * \-#,##0_ ;_ * &quot;-&quot;??_ ;_ @_ "/>
    <numFmt numFmtId="197" formatCode="_(* #,##0_);_(* \(#,##0\);_(* &quot;-&quot;_);_(@_)"/>
    <numFmt numFmtId="198" formatCode="_(* #,##0.0_);_(* \(#,##0.0\);_(* &quot;-&quot;??_);_(@_)"/>
    <numFmt numFmtId="199" formatCode=";;;"/>
    <numFmt numFmtId="200" formatCode="_(* #,##0.000000000000000000000000000_);_(* \(#,##0.000000000000000000000000000\);_(* &quot;-&quot;??_);_(@_)"/>
    <numFmt numFmtId="201" formatCode="_(* #,##0.000000000000000000_);_(* \(#,##0.000000000000000000\);_(* &quot;-&quot;??_);_(@_)"/>
    <numFmt numFmtId="202" formatCode="_(* #,##0.0000000_);_(* \(#,##0.0000000\);_(* &quot;-&quot;??_);_(@_)"/>
    <numFmt numFmtId="203" formatCode="_(* #,##0.0000_);_(* \(#,##0.0000\);_(* &quot;-&quot;??_);_(@_)"/>
    <numFmt numFmtId="204" formatCode="_(* #,##0.00000_);_(* \(#,##0.00000\);_(* &quot;-&quot;??_);_(@_)"/>
    <numFmt numFmtId="205" formatCode="_(* #,##0.0000000000000000000000000000_);_(* \(#,##0.0000000000000000000000000000\);_(* &quot;-&quot;??_);_(@_)"/>
    <numFmt numFmtId="206" formatCode="_(* #,##0.000000000000000000000000000000000_);_(* \(#,##0.000000000000000000000000000000000\);_(* &quot;-&quot;??_);_(@_)"/>
    <numFmt numFmtId="207" formatCode="_(* #,##0.0000000000000000000000000000000000_);_(* \(#,##0.0000000000000000000000000000000000\);_(* &quot;-&quot;??_);_(@_)"/>
    <numFmt numFmtId="208" formatCode="_-* #,##0_-;\-* #,##0_-;_-* &quot;-&quot;??_-;_-@_-"/>
    <numFmt numFmtId="209" formatCode="_(* #,##0.000_);_(* \(#,##0.000\);_(* &quot;-&quot;??_);_(@_)"/>
    <numFmt numFmtId="210" formatCode="_(* #,##0.000000_);_(* \(#,##0.000000\);_(* &quot;-&quot;??_);_(@_)"/>
    <numFmt numFmtId="211" formatCode="_-* #,##0.0_-;\-* #,##0.0_-;_-* &quot;-&quot;??_-;_-@_-"/>
  </numFmts>
  <fonts count="7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Narrow"/>
      <family val="2"/>
    </font>
    <font>
      <b/>
      <sz val="10"/>
      <name val="Arial Narrow"/>
      <family val="2"/>
    </font>
    <font>
      <i/>
      <sz val="10"/>
      <name val="Arial Narrow"/>
      <family val="2"/>
    </font>
    <font>
      <sz val="10"/>
      <name val="Arial"/>
      <family val="2"/>
    </font>
    <font>
      <b/>
      <i/>
      <sz val="10"/>
      <name val="Arial Narrow"/>
      <family val="2"/>
    </font>
    <font>
      <sz val="10"/>
      <color indexed="8"/>
      <name val="Arial Narrow"/>
      <family val="2"/>
    </font>
    <font>
      <b/>
      <i/>
      <sz val="10"/>
      <color indexed="8"/>
      <name val="Arial Narrow"/>
      <family val="2"/>
    </font>
    <font>
      <i/>
      <sz val="10"/>
      <color indexed="8"/>
      <name val="Arial Narrow"/>
      <family val="2"/>
    </font>
    <font>
      <b/>
      <sz val="10"/>
      <color indexed="8"/>
      <name val="Arial Narrow"/>
      <family val="2"/>
    </font>
    <font>
      <sz val="10"/>
      <color theme="1"/>
      <name val="Arial Narrow"/>
      <family val="2"/>
    </font>
    <font>
      <i/>
      <sz val="10"/>
      <color theme="1"/>
      <name val="Arial Narrow"/>
      <family val="2"/>
    </font>
    <font>
      <sz val="10"/>
      <name val="Arial"/>
    </font>
    <font>
      <b/>
      <sz val="12"/>
      <name val="Arial Narrow"/>
      <family val="2"/>
    </font>
    <font>
      <u/>
      <sz val="10"/>
      <color indexed="12"/>
      <name val="Arial"/>
      <family val="2"/>
    </font>
    <font>
      <sz val="11"/>
      <color indexed="8"/>
      <name val="Calibri"/>
      <family val="2"/>
    </font>
    <font>
      <sz val="10"/>
      <color indexed="9"/>
      <name val="Arial Narrow"/>
      <family val="2"/>
    </font>
    <font>
      <sz val="10"/>
      <color indexed="20"/>
      <name val="Arial Narrow"/>
      <family val="2"/>
    </font>
    <font>
      <sz val="10"/>
      <color indexed="8"/>
      <name val="Arial"/>
      <family val="2"/>
    </font>
    <font>
      <b/>
      <sz val="10"/>
      <color indexed="52"/>
      <name val="Arial Narrow"/>
      <family val="2"/>
    </font>
    <font>
      <b/>
      <sz val="10"/>
      <color indexed="9"/>
      <name val="Arial Narrow"/>
      <family val="2"/>
    </font>
    <font>
      <sz val="10"/>
      <color indexed="12"/>
      <name val="Arial"/>
      <family val="2"/>
    </font>
    <font>
      <i/>
      <sz val="10"/>
      <color indexed="23"/>
      <name val="Arial Narrow"/>
      <family val="2"/>
    </font>
    <font>
      <sz val="10"/>
      <color indexed="17"/>
      <name val="Arial Narrow"/>
      <family val="2"/>
    </font>
    <font>
      <sz val="8"/>
      <name val="Arial"/>
      <family val="2"/>
    </font>
    <font>
      <b/>
      <sz val="12"/>
      <name val="Arial"/>
      <family val="2"/>
    </font>
    <font>
      <b/>
      <sz val="18"/>
      <name val="Arial"/>
      <family val="2"/>
    </font>
    <font>
      <b/>
      <sz val="11"/>
      <color indexed="62"/>
      <name val="Arial Narrow"/>
      <family val="2"/>
    </font>
    <font>
      <sz val="10"/>
      <color indexed="62"/>
      <name val="Arial Narrow"/>
      <family val="2"/>
    </font>
    <font>
      <sz val="10"/>
      <color indexed="14"/>
      <name val="Arial"/>
      <family val="2"/>
    </font>
    <font>
      <sz val="10"/>
      <color indexed="52"/>
      <name val="Arial Narrow"/>
      <family val="2"/>
    </font>
    <font>
      <sz val="10"/>
      <color indexed="60"/>
      <name val="Arial Narrow"/>
      <family val="2"/>
    </font>
    <font>
      <sz val="8"/>
      <name val="Arial Narrow"/>
      <family val="2"/>
    </font>
    <font>
      <b/>
      <sz val="10"/>
      <color indexed="63"/>
      <name val="Arial Narrow"/>
      <family val="2"/>
    </font>
    <font>
      <sz val="10"/>
      <color indexed="10"/>
      <name val="Arial"/>
      <family val="2"/>
    </font>
    <font>
      <b/>
      <sz val="18"/>
      <color indexed="62"/>
      <name val="Cambria"/>
      <family val="2"/>
    </font>
    <font>
      <sz val="10"/>
      <color indexed="10"/>
      <name val="Arial Narrow"/>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sz val="12"/>
      <name val="Arial"/>
      <family val="2"/>
    </font>
    <font>
      <b/>
      <sz val="14"/>
      <name val="Arial"/>
      <family val="2"/>
    </font>
    <font>
      <u/>
      <sz val="10"/>
      <color indexed="12"/>
      <name val="MS Sans Serif"/>
      <family val="2"/>
    </font>
    <font>
      <b/>
      <sz val="10"/>
      <name val="Arial"/>
      <family val="2"/>
    </font>
    <font>
      <sz val="11"/>
      <color rgb="FF9C6500"/>
      <name val="Calibri"/>
      <family val="2"/>
      <scheme val="minor"/>
    </font>
    <font>
      <sz val="8"/>
      <color theme="1"/>
      <name val="Arial Narrow"/>
      <family val="2"/>
    </font>
    <font>
      <sz val="10"/>
      <color rgb="FFFF0000"/>
      <name val="Arial Narrow"/>
      <family val="2"/>
    </font>
    <font>
      <sz val="11"/>
      <name val="Arial"/>
      <family val="2"/>
    </font>
    <font>
      <u/>
      <sz val="10"/>
      <color indexed="8"/>
      <name val="Arial Narrow"/>
      <family val="2"/>
    </font>
    <font>
      <b/>
      <u/>
      <sz val="10"/>
      <color indexed="8"/>
      <name val="Arial Narrow"/>
      <family val="2"/>
    </font>
    <font>
      <i/>
      <sz val="9"/>
      <name val="Arial Narrow"/>
      <family val="2"/>
    </font>
    <font>
      <i/>
      <sz val="10"/>
      <name val="Arial"/>
      <family val="2"/>
    </font>
    <font>
      <i/>
      <sz val="8"/>
      <name val="Arial"/>
      <family val="2"/>
    </font>
    <font>
      <b/>
      <sz val="8"/>
      <name val="Arial Narrow"/>
      <family val="2"/>
    </font>
    <font>
      <b/>
      <vertAlign val="superscript"/>
      <sz val="10"/>
      <name val="Arial Narrow"/>
      <family val="2"/>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6"/>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29"/>
      </patternFill>
    </fill>
    <fill>
      <patternFill patternType="solid">
        <fgColor indexed="43"/>
      </patternFill>
    </fill>
    <fill>
      <patternFill patternType="solid">
        <fgColor indexed="3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8"/>
      </patternFill>
    </fill>
    <fill>
      <patternFill patternType="solid">
        <fgColor indexed="22"/>
        <bgColor indexed="64"/>
      </patternFill>
    </fill>
    <fill>
      <patternFill patternType="solid">
        <fgColor indexed="26"/>
        <bgColor indexed="64"/>
      </patternFill>
    </fill>
    <fill>
      <patternFill patternType="solid">
        <fgColor indexed="58"/>
        <bgColor indexed="64"/>
      </patternFill>
    </fill>
    <fill>
      <patternFill patternType="solid">
        <fgColor theme="0"/>
        <bgColor indexed="64"/>
      </patternFill>
    </fill>
    <fill>
      <patternFill patternType="solid">
        <fgColor rgb="FFFFFF00"/>
        <bgColor indexed="64"/>
      </patternFill>
    </fill>
  </fills>
  <borders count="8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right style="hair">
        <color indexed="64"/>
      </right>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right style="thin">
        <color indexed="64"/>
      </right>
      <top/>
      <bottom/>
      <diagonal/>
    </border>
    <border>
      <left style="hair">
        <color indexed="64"/>
      </left>
      <right style="hair">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medium">
        <color indexed="36"/>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double">
        <color indexed="8"/>
      </bottom>
      <diagonal/>
    </border>
    <border>
      <left/>
      <right/>
      <top style="double">
        <color indexed="8"/>
      </top>
      <bottom/>
      <diagonal/>
    </border>
    <border>
      <left/>
      <right/>
      <top style="double">
        <color indexed="0"/>
      </top>
      <bottom/>
      <diagonal/>
    </border>
    <border>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style="thin">
        <color indexed="64"/>
      </bottom>
      <diagonal/>
    </border>
  </borders>
  <cellStyleXfs count="469">
    <xf numFmtId="0" fontId="0" fillId="0" borderId="0"/>
    <xf numFmtId="43" fontId="1"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20" fillId="0" borderId="0" applyFont="0" applyFill="0" applyBorder="0" applyAlignment="0" applyProtection="0"/>
    <xf numFmtId="0" fontId="20" fillId="0" borderId="0"/>
    <xf numFmtId="0" fontId="20" fillId="0" borderId="0"/>
    <xf numFmtId="0" fontId="20" fillId="0" borderId="0"/>
    <xf numFmtId="0" fontId="20" fillId="0" borderId="0"/>
    <xf numFmtId="165" fontId="1" fillId="0" borderId="0" applyFont="0" applyFill="0" applyBorder="0" applyAlignment="0" applyProtection="0"/>
    <xf numFmtId="165" fontId="1" fillId="0" borderId="0" applyFont="0" applyFill="0" applyBorder="0" applyAlignment="0" applyProtection="0"/>
    <xf numFmtId="0" fontId="20" fillId="0" borderId="0"/>
    <xf numFmtId="0" fontId="20" fillId="0" borderId="0"/>
    <xf numFmtId="0" fontId="20" fillId="0" borderId="0"/>
    <xf numFmtId="0" fontId="20" fillId="0" borderId="0"/>
    <xf numFmtId="0" fontId="28" fillId="0" borderId="0"/>
    <xf numFmtId="0" fontId="22" fillId="33" borderId="0" applyNumberFormat="0" applyBorder="0" applyAlignment="0" applyProtection="0"/>
    <xf numFmtId="0" fontId="22" fillId="33"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16" fillId="12"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6" fillId="16"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6" fillId="2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6" fillId="24"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6" fillId="28"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6" fillId="32"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178" fontId="34" fillId="0" borderId="0" applyFill="0" applyBorder="0" applyAlignment="0"/>
    <xf numFmtId="178" fontId="34" fillId="0" borderId="0" applyFill="0" applyBorder="0" applyAlignment="0"/>
    <xf numFmtId="190" fontId="20" fillId="0" borderId="0" applyFill="0" applyBorder="0" applyAlignment="0"/>
    <xf numFmtId="179" fontId="34" fillId="0" borderId="0" applyFill="0" applyBorder="0" applyAlignment="0"/>
    <xf numFmtId="179" fontId="34" fillId="0" borderId="0" applyFill="0" applyBorder="0" applyAlignment="0"/>
    <xf numFmtId="191" fontId="20" fillId="0" borderId="0" applyFill="0" applyBorder="0" applyAlignment="0"/>
    <xf numFmtId="180" fontId="34" fillId="0" borderId="0" applyFill="0" applyBorder="0" applyAlignment="0"/>
    <xf numFmtId="180" fontId="34" fillId="0" borderId="0" applyFill="0" applyBorder="0" applyAlignment="0"/>
    <xf numFmtId="192" fontId="20" fillId="0" borderId="0" applyFill="0" applyBorder="0" applyAlignment="0"/>
    <xf numFmtId="181" fontId="34" fillId="0" borderId="0" applyFill="0" applyBorder="0" applyAlignment="0"/>
    <xf numFmtId="181" fontId="34" fillId="0" borderId="0" applyFill="0" applyBorder="0" applyAlignment="0"/>
    <xf numFmtId="193" fontId="20" fillId="0" borderId="0" applyFill="0" applyBorder="0" applyAlignment="0"/>
    <xf numFmtId="182" fontId="34" fillId="0" borderId="0" applyFill="0" applyBorder="0" applyAlignment="0"/>
    <xf numFmtId="182" fontId="34" fillId="0" borderId="0" applyFill="0" applyBorder="0" applyAlignment="0"/>
    <xf numFmtId="175" fontId="20" fillId="0" borderId="0" applyFill="0" applyBorder="0" applyAlignment="0"/>
    <xf numFmtId="178" fontId="34" fillId="0" borderId="0" applyFill="0" applyBorder="0" applyAlignment="0"/>
    <xf numFmtId="178" fontId="34" fillId="0" borderId="0" applyFill="0" applyBorder="0" applyAlignment="0"/>
    <xf numFmtId="190" fontId="20" fillId="0" borderId="0" applyFill="0" applyBorder="0" applyAlignment="0"/>
    <xf numFmtId="183" fontId="34" fillId="0" borderId="0" applyFill="0" applyBorder="0" applyAlignment="0"/>
    <xf numFmtId="183" fontId="34" fillId="0" borderId="0" applyFill="0" applyBorder="0" applyAlignment="0"/>
    <xf numFmtId="176" fontId="20" fillId="0" borderId="0" applyFill="0" applyBorder="0" applyAlignment="0"/>
    <xf numFmtId="179" fontId="34" fillId="0" borderId="0" applyFill="0" applyBorder="0" applyAlignment="0"/>
    <xf numFmtId="179" fontId="34" fillId="0" borderId="0" applyFill="0" applyBorder="0" applyAlignment="0"/>
    <xf numFmtId="191" fontId="20" fillId="0" borderId="0" applyFill="0" applyBorder="0" applyAlignment="0"/>
    <xf numFmtId="0" fontId="35" fillId="46" borderId="52" applyNumberFormat="0" applyAlignment="0" applyProtection="0"/>
    <xf numFmtId="0" fontId="35" fillId="46" borderId="52" applyNumberFormat="0" applyAlignment="0" applyProtection="0"/>
    <xf numFmtId="0" fontId="36" fillId="47" borderId="53" applyNumberFormat="0" applyAlignment="0" applyProtection="0"/>
    <xf numFmtId="0" fontId="36" fillId="47" borderId="53" applyNumberFormat="0" applyAlignment="0" applyProtection="0"/>
    <xf numFmtId="43"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90" fontId="2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3" fontId="31"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3" fontId="20" fillId="0" borderId="0" applyFont="0" applyFill="0" applyBorder="0" applyAlignment="0" applyProtection="0"/>
    <xf numFmtId="3" fontId="20" fillId="48" borderId="0" applyFont="0" applyFill="0" applyBorder="0" applyAlignment="0" applyProtection="0"/>
    <xf numFmtId="188"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91" fontId="20" fillId="0" borderId="0" applyFont="0" applyFill="0" applyBorder="0" applyAlignment="0" applyProtection="0"/>
    <xf numFmtId="170" fontId="20" fillId="0" borderId="0" applyFont="0" applyFill="0" applyBorder="0" applyAlignment="0" applyProtection="0"/>
    <xf numFmtId="189" fontId="20" fillId="48" borderId="0" applyFont="0" applyFill="0" applyBorder="0" applyAlignment="0" applyProtection="0"/>
    <xf numFmtId="170" fontId="20" fillId="0" borderId="0" applyFont="0" applyFill="0" applyBorder="0" applyAlignment="0" applyProtection="0"/>
    <xf numFmtId="3" fontId="20" fillId="0" borderId="0" applyFont="0" applyFill="0" applyBorder="0" applyAlignment="0" applyProtection="0"/>
    <xf numFmtId="0" fontId="20" fillId="0" borderId="0" applyFont="0" applyFill="0" applyBorder="0" applyAlignment="0" applyProtection="0"/>
    <xf numFmtId="0" fontId="59" fillId="0" borderId="0" applyFill="0" applyBorder="0" applyAlignment="0" applyProtection="0"/>
    <xf numFmtId="14" fontId="34" fillId="0" borderId="0" applyFill="0" applyBorder="0" applyAlignment="0"/>
    <xf numFmtId="0" fontId="20" fillId="0" borderId="0" applyFont="0" applyFill="0" applyBorder="0" applyAlignment="0" applyProtection="0"/>
    <xf numFmtId="167" fontId="20" fillId="0" borderId="0" applyFont="0" applyFill="0" applyBorder="0" applyAlignment="0" applyProtection="0"/>
    <xf numFmtId="169" fontId="20" fillId="0" borderId="0" applyFont="0" applyFill="0" applyBorder="0" applyAlignment="0" applyProtection="0"/>
    <xf numFmtId="178" fontId="37" fillId="0" borderId="0" applyFill="0" applyBorder="0" applyAlignment="0"/>
    <xf numFmtId="178" fontId="37" fillId="0" borderId="0" applyFill="0" applyBorder="0" applyAlignment="0"/>
    <xf numFmtId="190" fontId="20" fillId="0" borderId="0" applyFill="0" applyBorder="0" applyAlignment="0"/>
    <xf numFmtId="179" fontId="37" fillId="0" borderId="0" applyFill="0" applyBorder="0" applyAlignment="0"/>
    <xf numFmtId="179" fontId="37" fillId="0" borderId="0" applyFill="0" applyBorder="0" applyAlignment="0"/>
    <xf numFmtId="191" fontId="20" fillId="0" borderId="0" applyFill="0" applyBorder="0" applyAlignment="0"/>
    <xf numFmtId="178" fontId="37" fillId="0" borderId="0" applyFill="0" applyBorder="0" applyAlignment="0"/>
    <xf numFmtId="178" fontId="37" fillId="0" borderId="0" applyFill="0" applyBorder="0" applyAlignment="0"/>
    <xf numFmtId="190" fontId="20" fillId="0" borderId="0" applyFill="0" applyBorder="0" applyAlignment="0"/>
    <xf numFmtId="183" fontId="37" fillId="0" borderId="0" applyFill="0" applyBorder="0" applyAlignment="0"/>
    <xf numFmtId="183" fontId="37" fillId="0" borderId="0" applyFill="0" applyBorder="0" applyAlignment="0"/>
    <xf numFmtId="176" fontId="20" fillId="0" borderId="0" applyFill="0" applyBorder="0" applyAlignment="0"/>
    <xf numFmtId="179" fontId="37" fillId="0" borderId="0" applyFill="0" applyBorder="0" applyAlignment="0"/>
    <xf numFmtId="179" fontId="37" fillId="0" borderId="0" applyFill="0" applyBorder="0" applyAlignment="0"/>
    <xf numFmtId="191" fontId="20" fillId="0" borderId="0" applyFill="0" applyBorder="0" applyAlignment="0"/>
    <xf numFmtId="0" fontId="38" fillId="0" borderId="0" applyNumberFormat="0" applyFill="0" applyBorder="0" applyAlignment="0" applyProtection="0"/>
    <xf numFmtId="0" fontId="38" fillId="0" borderId="0" applyNumberFormat="0" applyFill="0" applyBorder="0" applyAlignment="0" applyProtection="0"/>
    <xf numFmtId="0" fontId="53" fillId="0" borderId="0" applyProtection="0"/>
    <xf numFmtId="0" fontId="40" fillId="0" borderId="0" applyProtection="0"/>
    <xf numFmtId="0" fontId="40" fillId="0" borderId="0" applyProtection="0"/>
    <xf numFmtId="0" fontId="54" fillId="0" borderId="0" applyProtection="0"/>
    <xf numFmtId="0" fontId="55" fillId="0" borderId="0" applyProtection="0"/>
    <xf numFmtId="0" fontId="56" fillId="0" borderId="0" applyProtection="0"/>
    <xf numFmtId="0" fontId="57" fillId="0" borderId="0" applyProtection="0"/>
    <xf numFmtId="0" fontId="58" fillId="0" borderId="0" applyProtection="0"/>
    <xf numFmtId="2" fontId="20" fillId="0" borderId="0" applyFont="0" applyFill="0" applyBorder="0" applyAlignment="0" applyProtection="0"/>
    <xf numFmtId="2" fontId="59" fillId="0" borderId="0" applyFill="0" applyBorder="0" applyAlignment="0" applyProtection="0"/>
    <xf numFmtId="0" fontId="39" fillId="36" borderId="0" applyNumberFormat="0" applyBorder="0" applyAlignment="0" applyProtection="0"/>
    <xf numFmtId="0" fontId="39" fillId="36" borderId="0" applyNumberFormat="0" applyBorder="0" applyAlignment="0" applyProtection="0"/>
    <xf numFmtId="38" fontId="40" fillId="49" borderId="0" applyNumberFormat="0" applyBorder="0" applyAlignment="0" applyProtection="0"/>
    <xf numFmtId="38" fontId="40" fillId="49" borderId="0" applyNumberFormat="0" applyBorder="0" applyAlignment="0" applyProtection="0"/>
    <xf numFmtId="38" fontId="40" fillId="49" borderId="0" applyNumberFormat="0" applyBorder="0" applyAlignment="0" applyProtection="0"/>
    <xf numFmtId="0" fontId="41" fillId="0" borderId="54" applyNumberFormat="0" applyAlignment="0" applyProtection="0">
      <alignment horizontal="left" vertical="center"/>
    </xf>
    <xf numFmtId="0" fontId="41" fillId="0" borderId="48">
      <alignment horizontal="left" vertical="center"/>
    </xf>
    <xf numFmtId="0" fontId="42" fillId="0" borderId="0" applyNumberFormat="0" applyFill="0" applyBorder="0" applyAlignment="0" applyProtection="0"/>
    <xf numFmtId="0" fontId="42" fillId="0" borderId="0" applyNumberFormat="0" applyFont="0" applyFill="0" applyAlignment="0" applyProtection="0"/>
    <xf numFmtId="0" fontId="42" fillId="0" borderId="0" applyNumberFormat="0" applyFont="0" applyFill="0" applyAlignment="0" applyProtection="0"/>
    <xf numFmtId="0" fontId="41" fillId="48" borderId="0" applyNumberFormat="0" applyFill="0" applyBorder="0" applyAlignment="0" applyProtection="0"/>
    <xf numFmtId="0" fontId="41" fillId="0" borderId="0" applyNumberFormat="0" applyFill="0" applyBorder="0" applyAlignment="0" applyProtection="0"/>
    <xf numFmtId="0" fontId="41" fillId="0" borderId="0" applyNumberFormat="0" applyFont="0" applyFill="0" applyAlignment="0" applyProtection="0"/>
    <xf numFmtId="0" fontId="41" fillId="0" borderId="0" applyNumberFormat="0" applyFont="0" applyFill="0" applyAlignment="0" applyProtection="0"/>
    <xf numFmtId="0" fontId="43" fillId="0" borderId="55" applyNumberFormat="0" applyFill="0" applyAlignment="0" applyProtection="0"/>
    <xf numFmtId="0" fontId="43" fillId="0" borderId="55"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2" fillId="48" borderId="0" applyNumberFormat="0" applyFill="0" applyBorder="0" applyAlignment="0" applyProtection="0"/>
    <xf numFmtId="0" fontId="42" fillId="48" borderId="0" applyNumberFormat="0" applyFill="0" applyBorder="0" applyAlignment="0" applyProtection="0"/>
    <xf numFmtId="0" fontId="41" fillId="48" borderId="0" applyNumberFormat="0" applyFill="0" applyBorder="0" applyAlignment="0" applyProtection="0"/>
    <xf numFmtId="0" fontId="41" fillId="0" borderId="0" applyNumberFormat="0" applyFill="0" applyBorder="0" applyAlignment="0" applyProtection="0"/>
    <xf numFmtId="0" fontId="41" fillId="48" borderId="0" applyNumberFormat="0" applyFill="0" applyBorder="0" applyAlignment="0" applyProtection="0"/>
    <xf numFmtId="0" fontId="41" fillId="48" borderId="0" applyNumberFormat="0" applyFill="0" applyBorder="0" applyAlignment="0" applyProtection="0"/>
    <xf numFmtId="0" fontId="41" fillId="48" borderId="0" applyNumberFormat="0" applyFill="0" applyBorder="0" applyAlignment="0" applyProtection="0"/>
    <xf numFmtId="0" fontId="30" fillId="0" borderId="0" applyNumberFormat="0" applyFill="0" applyBorder="0" applyAlignment="0" applyProtection="0">
      <alignment vertical="top"/>
      <protection locked="0"/>
    </xf>
    <xf numFmtId="0" fontId="61" fillId="0" borderId="0" applyNumberFormat="0" applyFill="0" applyBorder="0" applyAlignment="0" applyProtection="0"/>
    <xf numFmtId="10" fontId="40" fillId="50" borderId="56" applyNumberFormat="0" applyBorder="0" applyAlignment="0" applyProtection="0"/>
    <xf numFmtId="10" fontId="40" fillId="50" borderId="56" applyNumberFormat="0" applyBorder="0" applyAlignment="0" applyProtection="0"/>
    <xf numFmtId="10" fontId="40" fillId="50" borderId="56" applyNumberFormat="0" applyBorder="0" applyAlignment="0" applyProtection="0"/>
    <xf numFmtId="0" fontId="44" fillId="35" borderId="52" applyNumberFormat="0" applyAlignment="0" applyProtection="0"/>
    <xf numFmtId="0" fontId="44" fillId="35" borderId="52" applyNumberFormat="0" applyAlignment="0" applyProtection="0"/>
    <xf numFmtId="0" fontId="44" fillId="35" borderId="52" applyNumberFormat="0" applyAlignment="0" applyProtection="0"/>
    <xf numFmtId="0" fontId="44" fillId="35" borderId="52" applyNumberFormat="0" applyAlignment="0" applyProtection="0"/>
    <xf numFmtId="178" fontId="45" fillId="0" borderId="0" applyFill="0" applyBorder="0" applyAlignment="0"/>
    <xf numFmtId="178" fontId="45" fillId="0" borderId="0" applyFill="0" applyBorder="0" applyAlignment="0"/>
    <xf numFmtId="190" fontId="20" fillId="0" borderId="0" applyFill="0" applyBorder="0" applyAlignment="0"/>
    <xf numFmtId="179" fontId="45" fillId="0" borderId="0" applyFill="0" applyBorder="0" applyAlignment="0"/>
    <xf numFmtId="179" fontId="45" fillId="0" borderId="0" applyFill="0" applyBorder="0" applyAlignment="0"/>
    <xf numFmtId="191" fontId="20" fillId="0" borderId="0" applyFill="0" applyBorder="0" applyAlignment="0"/>
    <xf numFmtId="178" fontId="45" fillId="0" borderId="0" applyFill="0" applyBorder="0" applyAlignment="0"/>
    <xf numFmtId="178" fontId="45" fillId="0" borderId="0" applyFill="0" applyBorder="0" applyAlignment="0"/>
    <xf numFmtId="190" fontId="20" fillId="0" borderId="0" applyFill="0" applyBorder="0" applyAlignment="0"/>
    <xf numFmtId="183" fontId="45" fillId="0" borderId="0" applyFill="0" applyBorder="0" applyAlignment="0"/>
    <xf numFmtId="183" fontId="45" fillId="0" borderId="0" applyFill="0" applyBorder="0" applyAlignment="0"/>
    <xf numFmtId="176" fontId="20" fillId="0" borderId="0" applyFill="0" applyBorder="0" applyAlignment="0"/>
    <xf numFmtId="179" fontId="45" fillId="0" borderId="0" applyFill="0" applyBorder="0" applyAlignment="0"/>
    <xf numFmtId="179" fontId="45" fillId="0" borderId="0" applyFill="0" applyBorder="0" applyAlignment="0"/>
    <xf numFmtId="191" fontId="20" fillId="0" borderId="0" applyFill="0" applyBorder="0" applyAlignment="0"/>
    <xf numFmtId="0" fontId="46" fillId="0" borderId="57" applyNumberFormat="0" applyFill="0" applyAlignment="0" applyProtection="0"/>
    <xf numFmtId="0" fontId="46" fillId="0" borderId="57" applyNumberFormat="0" applyFill="0" applyAlignment="0" applyProtection="0"/>
    <xf numFmtId="0" fontId="20" fillId="0" borderId="0" applyFont="0" applyFill="0" applyBorder="0" applyAlignment="0" applyProtection="0"/>
    <xf numFmtId="44" fontId="20" fillId="0" borderId="0" applyFont="0" applyFill="0" applyBorder="0" applyAlignment="0" applyProtection="0"/>
    <xf numFmtId="0" fontId="63" fillId="4"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186" fontId="48" fillId="0" borderId="0"/>
    <xf numFmtId="186" fontId="48" fillId="0" borderId="0"/>
    <xf numFmtId="194" fontId="20"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60" fillId="0" borderId="0">
      <alignment vertical="top"/>
    </xf>
    <xf numFmtId="0" fontId="17" fillId="0" borderId="0"/>
    <xf numFmtId="0" fontId="20" fillId="0" borderId="0"/>
    <xf numFmtId="0" fontId="17" fillId="0" borderId="0"/>
    <xf numFmtId="0" fontId="20" fillId="0" borderId="0"/>
    <xf numFmtId="0" fontId="17" fillId="0" borderId="0"/>
    <xf numFmtId="0" fontId="20" fillId="0" borderId="0"/>
    <xf numFmtId="0" fontId="17" fillId="0" borderId="0"/>
    <xf numFmtId="0" fontId="20" fillId="0" borderId="0"/>
    <xf numFmtId="0" fontId="17" fillId="0" borderId="0"/>
    <xf numFmtId="0" fontId="17" fillId="0" borderId="0"/>
    <xf numFmtId="0" fontId="17" fillId="0" borderId="0"/>
    <xf numFmtId="0" fontId="17"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20" fillId="0" borderId="0"/>
    <xf numFmtId="0" fontId="20" fillId="0" borderId="0"/>
    <xf numFmtId="0" fontId="17"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7" borderId="58" applyNumberFormat="0" applyFont="0" applyAlignment="0" applyProtection="0"/>
    <xf numFmtId="0" fontId="20" fillId="37" borderId="58" applyNumberFormat="0" applyFont="0" applyAlignment="0" applyProtection="0"/>
    <xf numFmtId="0" fontId="1" fillId="8" borderId="8" applyNumberFormat="0" applyFont="0" applyAlignment="0" applyProtection="0"/>
    <xf numFmtId="0" fontId="49" fillId="46" borderId="59" applyNumberFormat="0" applyAlignment="0" applyProtection="0"/>
    <xf numFmtId="0" fontId="49" fillId="46" borderId="59" applyNumberFormat="0" applyAlignment="0" applyProtection="0"/>
    <xf numFmtId="182" fontId="20" fillId="0" borderId="0" applyFont="0" applyFill="0" applyBorder="0" applyAlignment="0" applyProtection="0"/>
    <xf numFmtId="182" fontId="20" fillId="0" borderId="0" applyFont="0" applyFill="0" applyBorder="0" applyAlignment="0" applyProtection="0"/>
    <xf numFmtId="175"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95"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78" fontId="50" fillId="0" borderId="0" applyFill="0" applyBorder="0" applyAlignment="0"/>
    <xf numFmtId="178" fontId="50" fillId="0" borderId="0" applyFill="0" applyBorder="0" applyAlignment="0"/>
    <xf numFmtId="190" fontId="20" fillId="0" borderId="0" applyFill="0" applyBorder="0" applyAlignment="0"/>
    <xf numFmtId="179" fontId="50" fillId="0" borderId="0" applyFill="0" applyBorder="0" applyAlignment="0"/>
    <xf numFmtId="179" fontId="50" fillId="0" borderId="0" applyFill="0" applyBorder="0" applyAlignment="0"/>
    <xf numFmtId="191" fontId="20" fillId="0" borderId="0" applyFill="0" applyBorder="0" applyAlignment="0"/>
    <xf numFmtId="178" fontId="50" fillId="0" borderId="0" applyFill="0" applyBorder="0" applyAlignment="0"/>
    <xf numFmtId="178" fontId="50" fillId="0" borderId="0" applyFill="0" applyBorder="0" applyAlignment="0"/>
    <xf numFmtId="190" fontId="20" fillId="0" borderId="0" applyFill="0" applyBorder="0" applyAlignment="0"/>
    <xf numFmtId="183" fontId="50" fillId="0" borderId="0" applyFill="0" applyBorder="0" applyAlignment="0"/>
    <xf numFmtId="183" fontId="50" fillId="0" borderId="0" applyFill="0" applyBorder="0" applyAlignment="0"/>
    <xf numFmtId="176" fontId="20" fillId="0" borderId="0" applyFill="0" applyBorder="0" applyAlignment="0"/>
    <xf numFmtId="179" fontId="50" fillId="0" borderId="0" applyFill="0" applyBorder="0" applyAlignment="0"/>
    <xf numFmtId="179" fontId="50" fillId="0" borderId="0" applyFill="0" applyBorder="0" applyAlignment="0"/>
    <xf numFmtId="191" fontId="20" fillId="0" borderId="0" applyFill="0" applyBorder="0" applyAlignment="0"/>
    <xf numFmtId="0" fontId="20" fillId="51" borderId="0"/>
    <xf numFmtId="0" fontId="40" fillId="0" borderId="0" applyNumberFormat="0" applyFont="0" applyAlignment="0"/>
    <xf numFmtId="0" fontId="40" fillId="0" borderId="0" applyNumberFormat="0" applyFont="0" applyAlignment="0"/>
    <xf numFmtId="49" fontId="34" fillId="0" borderId="0" applyFill="0" applyBorder="0" applyAlignment="0"/>
    <xf numFmtId="184" fontId="34" fillId="0" borderId="0" applyFill="0" applyBorder="0" applyAlignment="0"/>
    <xf numFmtId="184" fontId="34" fillId="0" borderId="0" applyFill="0" applyBorder="0" applyAlignment="0"/>
    <xf numFmtId="174" fontId="20" fillId="0" borderId="0" applyFill="0" applyBorder="0" applyAlignment="0"/>
    <xf numFmtId="185" fontId="34" fillId="0" borderId="0" applyFill="0" applyBorder="0" applyAlignment="0"/>
    <xf numFmtId="185" fontId="34" fillId="0" borderId="0" applyFill="0" applyBorder="0" applyAlignment="0"/>
    <xf numFmtId="177" fontId="20" fillId="0" borderId="0" applyFill="0" applyBorder="0" applyAlignment="0"/>
    <xf numFmtId="0" fontId="51" fillId="0" borderId="0" applyNumberFormat="0" applyFill="0" applyBorder="0" applyAlignment="0" applyProtection="0"/>
    <xf numFmtId="0" fontId="51" fillId="0" borderId="0" applyNumberFormat="0" applyFill="0" applyBorder="0" applyAlignment="0" applyProtection="0"/>
    <xf numFmtId="0" fontId="2" fillId="0" borderId="0" applyNumberFormat="0" applyFill="0" applyBorder="0" applyAlignment="0" applyProtection="0"/>
    <xf numFmtId="0" fontId="59" fillId="0" borderId="60" applyNumberFormat="0" applyFill="0" applyAlignment="0" applyProtection="0"/>
    <xf numFmtId="0" fontId="20" fillId="0" borderId="61" applyNumberFormat="0" applyFont="0" applyFill="0" applyAlignment="0" applyProtection="0"/>
    <xf numFmtId="0" fontId="20" fillId="0" borderId="62" applyNumberFormat="0" applyFont="0" applyBorder="0" applyAlignment="0" applyProtection="0"/>
    <xf numFmtId="0" fontId="20" fillId="0" borderId="62" applyNumberFormat="0" applyFont="0" applyBorder="0" applyAlignment="0" applyProtection="0"/>
    <xf numFmtId="172" fontId="20" fillId="0" borderId="0" applyFont="0" applyFill="0" applyBorder="0" applyAlignment="0" applyProtection="0"/>
    <xf numFmtId="173" fontId="20" fillId="0" borderId="0" applyFon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60" fillId="0" borderId="0">
      <alignment vertical="top"/>
    </xf>
    <xf numFmtId="0" fontId="60" fillId="0" borderId="0">
      <alignment vertical="top"/>
    </xf>
  </cellStyleXfs>
  <cellXfs count="746">
    <xf numFmtId="0" fontId="0" fillId="0" borderId="0" xfId="0"/>
    <xf numFmtId="164" fontId="17" fillId="0" borderId="0" xfId="0" applyNumberFormat="1" applyFont="1"/>
    <xf numFmtId="164" fontId="18" fillId="0" borderId="10" xfId="0" applyNumberFormat="1" applyFont="1" applyBorder="1"/>
    <xf numFmtId="164" fontId="17" fillId="0" borderId="10" xfId="0" applyNumberFormat="1" applyFont="1" applyBorder="1"/>
    <xf numFmtId="164" fontId="17" fillId="0" borderId="11" xfId="0" applyNumberFormat="1" applyFont="1" applyBorder="1"/>
    <xf numFmtId="164" fontId="17" fillId="0" borderId="12" xfId="0" applyNumberFormat="1" applyFont="1" applyBorder="1"/>
    <xf numFmtId="164" fontId="17" fillId="0" borderId="13" xfId="0" applyNumberFormat="1" applyFont="1" applyBorder="1" applyAlignment="1">
      <alignment horizontal="right"/>
    </xf>
    <xf numFmtId="164" fontId="18" fillId="0" borderId="14" xfId="0" quotePrefix="1" applyNumberFormat="1" applyFont="1" applyBorder="1" applyAlignment="1">
      <alignment horizontal="center"/>
    </xf>
    <xf numFmtId="164" fontId="18" fillId="0" borderId="15" xfId="0" quotePrefix="1" applyNumberFormat="1" applyFont="1" applyBorder="1" applyAlignment="1">
      <alignment horizontal="center"/>
    </xf>
    <xf numFmtId="164" fontId="18" fillId="0" borderId="16" xfId="0" quotePrefix="1" applyNumberFormat="1" applyFont="1" applyBorder="1" applyAlignment="1">
      <alignment horizontal="center"/>
    </xf>
    <xf numFmtId="164" fontId="18" fillId="0" borderId="17" xfId="0" quotePrefix="1" applyNumberFormat="1" applyFont="1" applyBorder="1" applyAlignment="1">
      <alignment horizontal="center"/>
    </xf>
    <xf numFmtId="164" fontId="18" fillId="0" borderId="18" xfId="0" quotePrefix="1" applyNumberFormat="1" applyFont="1" applyBorder="1" applyAlignment="1">
      <alignment horizontal="center"/>
    </xf>
    <xf numFmtId="164" fontId="18" fillId="0" borderId="0" xfId="0" quotePrefix="1" applyNumberFormat="1" applyFont="1" applyAlignment="1">
      <alignment horizontal="center"/>
    </xf>
    <xf numFmtId="164" fontId="17" fillId="0" borderId="18" xfId="0" applyNumberFormat="1" applyFont="1" applyBorder="1"/>
    <xf numFmtId="164" fontId="18" fillId="0" borderId="0" xfId="0" applyNumberFormat="1" applyFont="1"/>
    <xf numFmtId="164" fontId="19" fillId="0" borderId="19" xfId="0" applyNumberFormat="1" applyFont="1" applyBorder="1" applyAlignment="1">
      <alignment horizontal="right"/>
    </xf>
    <xf numFmtId="164" fontId="18" fillId="0" borderId="20" xfId="34" applyNumberFormat="1" applyFont="1" applyFill="1" applyBorder="1" applyAlignment="1">
      <alignment horizontal="right"/>
    </xf>
    <xf numFmtId="164" fontId="18" fillId="0" borderId="21" xfId="0" applyNumberFormat="1" applyFont="1" applyBorder="1" applyAlignment="1">
      <alignment horizontal="right"/>
    </xf>
    <xf numFmtId="164" fontId="18" fillId="0" borderId="22" xfId="0" applyNumberFormat="1" applyFont="1" applyBorder="1" applyAlignment="1">
      <alignment horizontal="right"/>
    </xf>
    <xf numFmtId="164" fontId="18" fillId="0" borderId="21" xfId="34" applyNumberFormat="1" applyFont="1" applyFill="1" applyBorder="1" applyAlignment="1">
      <alignment horizontal="right"/>
    </xf>
    <xf numFmtId="164" fontId="18" fillId="0" borderId="23" xfId="34" applyNumberFormat="1" applyFont="1" applyFill="1" applyBorder="1" applyAlignment="1">
      <alignment horizontal="right"/>
    </xf>
    <xf numFmtId="164" fontId="18" fillId="0" borderId="20" xfId="0" applyNumberFormat="1" applyFont="1" applyBorder="1" applyAlignment="1">
      <alignment horizontal="right"/>
    </xf>
    <xf numFmtId="164" fontId="18" fillId="0" borderId="18" xfId="0" applyNumberFormat="1" applyFont="1" applyBorder="1" applyAlignment="1">
      <alignment horizontal="right"/>
    </xf>
    <xf numFmtId="164" fontId="18" fillId="0" borderId="0" xfId="0" applyNumberFormat="1" applyFont="1" applyAlignment="1">
      <alignment horizontal="right"/>
    </xf>
    <xf numFmtId="164" fontId="18" fillId="0" borderId="24" xfId="0" applyNumberFormat="1" applyFont="1" applyBorder="1"/>
    <xf numFmtId="164" fontId="18" fillId="0" borderId="25" xfId="0" applyNumberFormat="1" applyFont="1" applyBorder="1"/>
    <xf numFmtId="164" fontId="18" fillId="0" borderId="26" xfId="0" applyNumberFormat="1" applyFont="1" applyBorder="1" applyAlignment="1">
      <alignment horizontal="right"/>
    </xf>
    <xf numFmtId="164" fontId="18" fillId="0" borderId="27" xfId="34" applyNumberFormat="1" applyFont="1" applyFill="1" applyBorder="1" applyAlignment="1">
      <alignment horizontal="right"/>
    </xf>
    <xf numFmtId="164" fontId="18" fillId="0" borderId="19" xfId="34" applyNumberFormat="1" applyFont="1" applyFill="1" applyBorder="1" applyAlignment="1">
      <alignment horizontal="right"/>
    </xf>
    <xf numFmtId="164" fontId="18" fillId="0" borderId="0" xfId="34" applyNumberFormat="1" applyFont="1" applyFill="1" applyBorder="1" applyAlignment="1">
      <alignment horizontal="right"/>
    </xf>
    <xf numFmtId="164" fontId="18" fillId="0" borderId="28" xfId="34" applyNumberFormat="1" applyFont="1" applyFill="1" applyBorder="1" applyAlignment="1">
      <alignment horizontal="right"/>
    </xf>
    <xf numFmtId="164" fontId="18" fillId="0" borderId="29" xfId="34" applyNumberFormat="1" applyFont="1" applyFill="1" applyBorder="1" applyAlignment="1">
      <alignment horizontal="right"/>
    </xf>
    <xf numFmtId="164" fontId="18" fillId="0" borderId="26" xfId="34" applyNumberFormat="1" applyFont="1" applyFill="1" applyBorder="1" applyAlignment="1">
      <alignment horizontal="right"/>
    </xf>
    <xf numFmtId="164" fontId="18" fillId="0" borderId="25" xfId="34" applyNumberFormat="1" applyFont="1" applyFill="1" applyBorder="1" applyAlignment="1">
      <alignment horizontal="right"/>
    </xf>
    <xf numFmtId="164" fontId="18" fillId="0" borderId="30" xfId="34" applyNumberFormat="1" applyFont="1" applyFill="1" applyBorder="1" applyAlignment="1">
      <alignment horizontal="right"/>
    </xf>
    <xf numFmtId="164" fontId="18" fillId="0" borderId="31" xfId="0" applyNumberFormat="1" applyFont="1" applyBorder="1" applyAlignment="1">
      <alignment horizontal="right"/>
    </xf>
    <xf numFmtId="164" fontId="19" fillId="0" borderId="32" xfId="0" applyNumberFormat="1" applyFont="1" applyBorder="1"/>
    <xf numFmtId="164" fontId="21" fillId="0" borderId="0" xfId="0" applyNumberFormat="1" applyFont="1"/>
    <xf numFmtId="164" fontId="19" fillId="0" borderId="0" xfId="0" applyNumberFormat="1" applyFont="1"/>
    <xf numFmtId="164" fontId="21" fillId="0" borderId="23" xfId="0" applyNumberFormat="1" applyFont="1" applyBorder="1"/>
    <xf numFmtId="164" fontId="19" fillId="0" borderId="21" xfId="0" applyNumberFormat="1" applyFont="1" applyBorder="1" applyAlignment="1">
      <alignment horizontal="right"/>
    </xf>
    <xf numFmtId="164" fontId="18" fillId="0" borderId="23" xfId="0" applyNumberFormat="1" applyFont="1" applyBorder="1" applyAlignment="1">
      <alignment horizontal="right"/>
    </xf>
    <xf numFmtId="164" fontId="18" fillId="0" borderId="33" xfId="0" applyNumberFormat="1" applyFont="1" applyBorder="1" applyAlignment="1">
      <alignment horizontal="right"/>
    </xf>
    <xf numFmtId="164" fontId="21" fillId="0" borderId="18" xfId="0" applyNumberFormat="1" applyFont="1" applyBorder="1"/>
    <xf numFmtId="164" fontId="17" fillId="0" borderId="19" xfId="0" applyNumberFormat="1" applyFont="1" applyBorder="1" applyAlignment="1">
      <alignment horizontal="right"/>
    </xf>
    <xf numFmtId="164" fontId="17" fillId="0" borderId="27" xfId="0" applyNumberFormat="1" applyFont="1" applyBorder="1" applyAlignment="1">
      <alignment horizontal="right"/>
    </xf>
    <xf numFmtId="164" fontId="17" fillId="0" borderId="29" xfId="0" applyNumberFormat="1" applyFont="1" applyBorder="1" applyAlignment="1">
      <alignment horizontal="right"/>
    </xf>
    <xf numFmtId="164" fontId="17" fillId="0" borderId="28" xfId="0" applyNumberFormat="1" applyFont="1" applyBorder="1" applyAlignment="1">
      <alignment horizontal="right"/>
    </xf>
    <xf numFmtId="164" fontId="17" fillId="0" borderId="18" xfId="0" applyNumberFormat="1" applyFont="1" applyBorder="1" applyAlignment="1">
      <alignment horizontal="right"/>
    </xf>
    <xf numFmtId="164" fontId="17" fillId="0" borderId="0" xfId="0" applyNumberFormat="1" applyFont="1" applyAlignment="1">
      <alignment horizontal="right"/>
    </xf>
    <xf numFmtId="164" fontId="19" fillId="0" borderId="18" xfId="0" applyNumberFormat="1" applyFont="1" applyBorder="1"/>
    <xf numFmtId="164" fontId="17" fillId="0" borderId="0" xfId="0" applyNumberFormat="1" applyFont="1" applyAlignment="1">
      <alignment horizontal="left"/>
    </xf>
    <xf numFmtId="164" fontId="17" fillId="0" borderId="19" xfId="0" applyNumberFormat="1" applyFont="1" applyBorder="1" applyAlignment="1">
      <alignment horizontal="left"/>
    </xf>
    <xf numFmtId="164" fontId="17" fillId="0" borderId="0" xfId="0" applyNumberFormat="1" applyFont="1"/>
    <xf numFmtId="0" fontId="0" fillId="0" borderId="0" xfId="0"/>
    <xf numFmtId="0" fontId="0" fillId="0" borderId="19" xfId="0" applyBorder="1"/>
    <xf numFmtId="164" fontId="22" fillId="0" borderId="0" xfId="0" applyNumberFormat="1" applyFont="1" applyAlignment="1">
      <alignment horizontal="left"/>
    </xf>
    <xf numFmtId="164" fontId="22" fillId="0" borderId="19" xfId="0" applyNumberFormat="1" applyFont="1" applyBorder="1" applyAlignment="1">
      <alignment horizontal="left"/>
    </xf>
    <xf numFmtId="164" fontId="23" fillId="0" borderId="0" xfId="0" applyNumberFormat="1" applyFont="1"/>
    <xf numFmtId="164" fontId="24" fillId="0" borderId="19" xfId="0" applyNumberFormat="1" applyFont="1" applyBorder="1" applyAlignment="1">
      <alignment horizontal="right"/>
    </xf>
    <xf numFmtId="164" fontId="18" fillId="0" borderId="19" xfId="34" applyNumberFormat="1" applyFont="1" applyFill="1" applyBorder="1" applyAlignment="1">
      <alignment horizontal="center"/>
    </xf>
    <xf numFmtId="164" fontId="18" fillId="0" borderId="0" xfId="34" applyNumberFormat="1" applyFont="1" applyFill="1" applyBorder="1" applyAlignment="1">
      <alignment horizontal="center"/>
    </xf>
    <xf numFmtId="164" fontId="18" fillId="0" borderId="28" xfId="34" applyNumberFormat="1" applyFont="1" applyFill="1" applyBorder="1" applyAlignment="1">
      <alignment horizontal="center"/>
    </xf>
    <xf numFmtId="164" fontId="18" fillId="0" borderId="29" xfId="34" applyNumberFormat="1" applyFont="1" applyFill="1" applyBorder="1" applyAlignment="1">
      <alignment horizontal="center"/>
    </xf>
    <xf numFmtId="164" fontId="18" fillId="0" borderId="19" xfId="0" applyNumberFormat="1" applyFont="1" applyBorder="1" applyAlignment="1">
      <alignment horizontal="right"/>
    </xf>
    <xf numFmtId="164" fontId="18" fillId="0" borderId="28" xfId="0" applyNumberFormat="1" applyFont="1" applyBorder="1" applyAlignment="1">
      <alignment horizontal="right"/>
    </xf>
    <xf numFmtId="164" fontId="18" fillId="0" borderId="27" xfId="0" applyNumberFormat="1" applyFont="1" applyBorder="1" applyAlignment="1">
      <alignment horizontal="right"/>
    </xf>
    <xf numFmtId="164" fontId="18" fillId="0" borderId="18" xfId="34" applyNumberFormat="1" applyFont="1" applyFill="1" applyBorder="1" applyAlignment="1">
      <alignment horizontal="center"/>
    </xf>
    <xf numFmtId="164" fontId="22" fillId="0" borderId="0" xfId="0" applyNumberFormat="1" applyFont="1"/>
    <xf numFmtId="164" fontId="22" fillId="0" borderId="0" xfId="0" applyNumberFormat="1" applyFont="1" applyAlignment="1">
      <alignment horizontal="right"/>
    </xf>
    <xf numFmtId="164" fontId="18" fillId="0" borderId="27" xfId="34" applyNumberFormat="1" applyFont="1" applyFill="1" applyBorder="1" applyAlignment="1">
      <alignment horizontal="center"/>
    </xf>
    <xf numFmtId="164" fontId="18" fillId="0" borderId="34" xfId="34" applyNumberFormat="1" applyFont="1" applyFill="1" applyBorder="1" applyAlignment="1">
      <alignment horizontal="center"/>
    </xf>
    <xf numFmtId="164" fontId="25" fillId="0" borderId="0" xfId="0" applyNumberFormat="1" applyFont="1"/>
    <xf numFmtId="164" fontId="22" fillId="0" borderId="19" xfId="0" applyNumberFormat="1" applyFont="1" applyBorder="1" applyAlignment="1">
      <alignment horizontal="right"/>
    </xf>
    <xf numFmtId="164" fontId="24" fillId="0" borderId="0" xfId="0" applyNumberFormat="1" applyFont="1"/>
    <xf numFmtId="164" fontId="26" fillId="0" borderId="0" xfId="0" applyNumberFormat="1" applyFont="1" applyAlignment="1">
      <alignment horizontal="left"/>
    </xf>
    <xf numFmtId="164" fontId="17" fillId="0" borderId="27" xfId="34" applyNumberFormat="1" applyFont="1" applyFill="1" applyBorder="1" applyAlignment="1">
      <alignment horizontal="center"/>
    </xf>
    <xf numFmtId="164" fontId="17" fillId="0" borderId="19" xfId="34" applyNumberFormat="1" applyFont="1" applyFill="1" applyBorder="1" applyAlignment="1">
      <alignment horizontal="center"/>
    </xf>
    <xf numFmtId="164" fontId="17" fillId="0" borderId="0" xfId="34" applyNumberFormat="1" applyFont="1" applyFill="1" applyBorder="1" applyAlignment="1">
      <alignment horizontal="center"/>
    </xf>
    <xf numFmtId="164" fontId="17" fillId="0" borderId="28" xfId="34" applyNumberFormat="1" applyFont="1" applyFill="1" applyBorder="1" applyAlignment="1">
      <alignment horizontal="center"/>
    </xf>
    <xf numFmtId="164" fontId="17" fillId="0" borderId="29" xfId="34" applyNumberFormat="1" applyFont="1" applyFill="1" applyBorder="1" applyAlignment="1">
      <alignment horizontal="center"/>
    </xf>
    <xf numFmtId="164" fontId="24" fillId="0" borderId="0" xfId="0" applyNumberFormat="1" applyFont="1" applyAlignment="1">
      <alignment horizontal="left"/>
    </xf>
    <xf numFmtId="164" fontId="19" fillId="0" borderId="27" xfId="0" applyNumberFormat="1" applyFont="1" applyBorder="1" applyAlignment="1">
      <alignment horizontal="right"/>
    </xf>
    <xf numFmtId="164" fontId="19" fillId="0" borderId="28" xfId="0" applyNumberFormat="1" applyFont="1" applyBorder="1" applyAlignment="1">
      <alignment horizontal="right"/>
    </xf>
    <xf numFmtId="164" fontId="19" fillId="0" borderId="29" xfId="0" applyNumberFormat="1" applyFont="1" applyBorder="1" applyAlignment="1">
      <alignment horizontal="right"/>
    </xf>
    <xf numFmtId="164" fontId="19" fillId="0" borderId="0" xfId="0" applyNumberFormat="1" applyFont="1" applyAlignment="1">
      <alignment horizontal="right"/>
    </xf>
    <xf numFmtId="164" fontId="19" fillId="0" borderId="18" xfId="0" applyNumberFormat="1" applyFont="1" applyBorder="1" applyAlignment="1">
      <alignment horizontal="right"/>
    </xf>
    <xf numFmtId="164" fontId="27" fillId="0" borderId="0" xfId="0" applyNumberFormat="1" applyFont="1" applyAlignment="1">
      <alignment horizontal="left"/>
    </xf>
    <xf numFmtId="164" fontId="19" fillId="0" borderId="27" xfId="34" applyNumberFormat="1" applyFont="1" applyFill="1" applyBorder="1" applyAlignment="1">
      <alignment horizontal="center"/>
    </xf>
    <xf numFmtId="164" fontId="19" fillId="0" borderId="19" xfId="34" applyNumberFormat="1" applyFont="1" applyFill="1" applyBorder="1" applyAlignment="1">
      <alignment horizontal="center"/>
    </xf>
    <xf numFmtId="164" fontId="19" fillId="0" borderId="29" xfId="34" applyNumberFormat="1" applyFont="1" applyFill="1" applyBorder="1" applyAlignment="1">
      <alignment horizontal="center"/>
    </xf>
    <xf numFmtId="164" fontId="17" fillId="0" borderId="27" xfId="35" applyNumberFormat="1" applyFont="1" applyBorder="1" applyAlignment="1">
      <alignment horizontal="right"/>
    </xf>
    <xf numFmtId="165" fontId="17" fillId="0" borderId="18" xfId="34" applyFont="1" applyFill="1" applyBorder="1" applyAlignment="1">
      <alignment horizontal="right"/>
    </xf>
    <xf numFmtId="164" fontId="18" fillId="0" borderId="18" xfId="0" applyNumberFormat="1" applyFont="1" applyBorder="1"/>
    <xf numFmtId="164" fontId="18" fillId="0" borderId="35" xfId="34" applyNumberFormat="1" applyFont="1" applyFill="1" applyBorder="1" applyAlignment="1">
      <alignment horizontal="center"/>
    </xf>
    <xf numFmtId="164" fontId="18" fillId="0" borderId="26" xfId="34" applyNumberFormat="1" applyFont="1" applyFill="1" applyBorder="1" applyAlignment="1">
      <alignment horizontal="center"/>
    </xf>
    <xf numFmtId="164" fontId="18" fillId="0" borderId="31" xfId="34" applyNumberFormat="1" applyFont="1" applyFill="1" applyBorder="1" applyAlignment="1">
      <alignment horizontal="center"/>
    </xf>
    <xf numFmtId="164" fontId="18" fillId="0" borderId="30" xfId="34" applyNumberFormat="1" applyFont="1" applyFill="1" applyBorder="1" applyAlignment="1">
      <alignment horizontal="center"/>
    </xf>
    <xf numFmtId="165" fontId="18" fillId="0" borderId="18" xfId="34" applyFont="1" applyFill="1" applyBorder="1" applyAlignment="1">
      <alignment horizontal="center"/>
    </xf>
    <xf numFmtId="164" fontId="17" fillId="0" borderId="32" xfId="0" applyNumberFormat="1" applyFont="1" applyBorder="1"/>
    <xf numFmtId="164" fontId="18" fillId="0" borderId="23" xfId="0" applyNumberFormat="1" applyFont="1" applyBorder="1"/>
    <xf numFmtId="164" fontId="17" fillId="0" borderId="23" xfId="0" applyNumberFormat="1" applyFont="1" applyBorder="1"/>
    <xf numFmtId="164" fontId="24" fillId="0" borderId="21" xfId="0" applyNumberFormat="1" applyFont="1" applyBorder="1" applyAlignment="1">
      <alignment horizontal="right"/>
    </xf>
    <xf numFmtId="164" fontId="18" fillId="0" borderId="20" xfId="34" applyNumberFormat="1" applyFont="1" applyFill="1" applyBorder="1" applyAlignment="1">
      <alignment horizontal="center"/>
    </xf>
    <xf numFmtId="164" fontId="18" fillId="0" borderId="35" xfId="0" applyNumberFormat="1" applyFont="1" applyBorder="1" applyAlignment="1">
      <alignment horizontal="right"/>
    </xf>
    <xf numFmtId="164" fontId="18" fillId="0" borderId="25" xfId="0" applyNumberFormat="1" applyFont="1" applyBorder="1" applyAlignment="1">
      <alignment horizontal="right"/>
    </xf>
    <xf numFmtId="164" fontId="17" fillId="0" borderId="36" xfId="0" applyNumberFormat="1" applyFont="1" applyBorder="1"/>
    <xf numFmtId="164" fontId="18" fillId="0" borderId="37" xfId="0" applyNumberFormat="1" applyFont="1" applyBorder="1"/>
    <xf numFmtId="164" fontId="17" fillId="0" borderId="37" xfId="0" applyNumberFormat="1" applyFont="1" applyBorder="1"/>
    <xf numFmtId="164" fontId="22" fillId="0" borderId="37" xfId="0" applyNumberFormat="1" applyFont="1" applyBorder="1"/>
    <xf numFmtId="164" fontId="24" fillId="0" borderId="38" xfId="0" applyNumberFormat="1" applyFont="1" applyBorder="1" applyAlignment="1">
      <alignment horizontal="right"/>
    </xf>
    <xf numFmtId="164" fontId="18" fillId="0" borderId="39" xfId="34" applyNumberFormat="1" applyFont="1" applyFill="1" applyBorder="1" applyAlignment="1">
      <alignment horizontal="center"/>
    </xf>
    <xf numFmtId="164" fontId="18" fillId="0" borderId="38" xfId="34" applyNumberFormat="1" applyFont="1" applyFill="1" applyBorder="1" applyAlignment="1">
      <alignment horizontal="center"/>
    </xf>
    <xf numFmtId="164" fontId="18" fillId="0" borderId="40" xfId="34" applyNumberFormat="1" applyFont="1" applyFill="1" applyBorder="1" applyAlignment="1">
      <alignment horizontal="center"/>
    </xf>
    <xf numFmtId="164" fontId="18" fillId="0" borderId="37" xfId="34" applyNumberFormat="1" applyFont="1" applyFill="1" applyBorder="1" applyAlignment="1">
      <alignment horizontal="center"/>
    </xf>
    <xf numFmtId="164" fontId="18" fillId="0" borderId="41" xfId="34" applyNumberFormat="1" applyFont="1" applyFill="1" applyBorder="1" applyAlignment="1">
      <alignment horizontal="center"/>
    </xf>
    <xf numFmtId="164" fontId="17" fillId="0" borderId="42" xfId="0" applyNumberFormat="1" applyFont="1" applyBorder="1"/>
    <xf numFmtId="164" fontId="24" fillId="0" borderId="10" xfId="0" applyNumberFormat="1" applyFont="1" applyBorder="1" applyAlignment="1">
      <alignment horizontal="right"/>
    </xf>
    <xf numFmtId="164" fontId="17" fillId="0" borderId="34" xfId="34" applyNumberFormat="1" applyFont="1" applyFill="1" applyBorder="1" applyAlignment="1">
      <alignment horizontal="center"/>
    </xf>
    <xf numFmtId="164" fontId="17" fillId="0" borderId="10" xfId="34" applyNumberFormat="1" applyFont="1" applyFill="1" applyBorder="1" applyAlignment="1">
      <alignment horizontal="center"/>
    </xf>
    <xf numFmtId="164" fontId="17" fillId="0" borderId="43" xfId="34" applyNumberFormat="1" applyFont="1" applyFill="1" applyBorder="1" applyAlignment="1">
      <alignment horizontal="center"/>
    </xf>
    <xf numFmtId="164" fontId="17" fillId="0" borderId="18" xfId="34" applyNumberFormat="1" applyFont="1" applyFill="1" applyBorder="1" applyAlignment="1">
      <alignment horizontal="center"/>
    </xf>
    <xf numFmtId="164" fontId="18" fillId="0" borderId="44" xfId="0" applyNumberFormat="1" applyFont="1" applyBorder="1" applyAlignment="1">
      <alignment horizontal="right"/>
    </xf>
    <xf numFmtId="164" fontId="18" fillId="0" borderId="0" xfId="0" applyNumberFormat="1" applyFont="1" applyAlignment="1">
      <alignment horizontal="left"/>
    </xf>
    <xf numFmtId="164" fontId="17" fillId="0" borderId="27" xfId="0" applyNumberFormat="1" applyFont="1" applyBorder="1"/>
    <xf numFmtId="164" fontId="17" fillId="0" borderId="19" xfId="36" applyNumberFormat="1" applyFont="1" applyBorder="1" applyAlignment="1">
      <alignment horizontal="right"/>
    </xf>
    <xf numFmtId="164" fontId="17" fillId="0" borderId="34" xfId="0" applyNumberFormat="1" applyFont="1" applyBorder="1" applyAlignment="1">
      <alignment horizontal="right"/>
    </xf>
    <xf numFmtId="164" fontId="17" fillId="0" borderId="19" xfId="37" applyNumberFormat="1" applyFont="1" applyBorder="1" applyAlignment="1">
      <alignment horizontal="right"/>
    </xf>
    <xf numFmtId="164" fontId="17" fillId="0" borderId="0" xfId="0" applyNumberFormat="1" applyFont="1" applyAlignment="1">
      <alignment horizontal="left"/>
    </xf>
    <xf numFmtId="164" fontId="17" fillId="0" borderId="27" xfId="36" applyNumberFormat="1" applyFont="1" applyBorder="1" applyAlignment="1">
      <alignment horizontal="right"/>
    </xf>
    <xf numFmtId="164" fontId="17" fillId="0" borderId="27" xfId="37" applyNumberFormat="1" applyFont="1" applyBorder="1" applyAlignment="1">
      <alignment horizontal="right"/>
    </xf>
    <xf numFmtId="164" fontId="23" fillId="0" borderId="19" xfId="0" applyNumberFormat="1" applyFont="1" applyBorder="1" applyAlignment="1">
      <alignment horizontal="right"/>
    </xf>
    <xf numFmtId="164" fontId="25" fillId="0" borderId="19" xfId="0" applyNumberFormat="1" applyFont="1" applyBorder="1" applyAlignment="1">
      <alignment horizontal="right"/>
    </xf>
    <xf numFmtId="164" fontId="25" fillId="0" borderId="19" xfId="36" applyNumberFormat="1" applyFont="1" applyBorder="1" applyAlignment="1">
      <alignment horizontal="right"/>
    </xf>
    <xf numFmtId="164" fontId="18" fillId="0" borderId="29" xfId="0" applyNumberFormat="1" applyFont="1" applyBorder="1" applyAlignment="1">
      <alignment horizontal="right"/>
    </xf>
    <xf numFmtId="164" fontId="21" fillId="0" borderId="19" xfId="0" applyNumberFormat="1" applyFont="1" applyBorder="1" applyAlignment="1">
      <alignment horizontal="right"/>
    </xf>
    <xf numFmtId="164" fontId="18" fillId="0" borderId="19" xfId="36" applyNumberFormat="1" applyFont="1" applyBorder="1" applyAlignment="1">
      <alignment horizontal="right"/>
    </xf>
    <xf numFmtId="164" fontId="18" fillId="0" borderId="19" xfId="37" applyNumberFormat="1" applyFont="1" applyBorder="1" applyAlignment="1">
      <alignment horizontal="right"/>
    </xf>
    <xf numFmtId="164" fontId="22" fillId="0" borderId="19" xfId="36" applyNumberFormat="1" applyFont="1" applyBorder="1" applyAlignment="1">
      <alignment horizontal="right"/>
    </xf>
    <xf numFmtId="164" fontId="19" fillId="0" borderId="34" xfId="0" applyNumberFormat="1" applyFont="1" applyBorder="1" applyAlignment="1">
      <alignment horizontal="right"/>
    </xf>
    <xf numFmtId="164" fontId="19" fillId="0" borderId="19" xfId="37" applyNumberFormat="1" applyFont="1" applyBorder="1" applyAlignment="1">
      <alignment horizontal="right"/>
    </xf>
    <xf numFmtId="164" fontId="21" fillId="0" borderId="0" xfId="0" applyNumberFormat="1" applyFont="1" applyAlignment="1">
      <alignment horizontal="right"/>
    </xf>
    <xf numFmtId="164" fontId="24" fillId="0" borderId="0" xfId="0" applyNumberFormat="1" applyFont="1" applyAlignment="1">
      <alignment horizontal="left" indent="1"/>
    </xf>
    <xf numFmtId="164" fontId="24" fillId="0" borderId="19" xfId="36" applyNumberFormat="1" applyFont="1" applyBorder="1" applyAlignment="1">
      <alignment horizontal="right"/>
    </xf>
    <xf numFmtId="164" fontId="19" fillId="0" borderId="19" xfId="38" applyNumberFormat="1" applyFont="1" applyBorder="1" applyAlignment="1">
      <alignment horizontal="right"/>
    </xf>
    <xf numFmtId="164" fontId="19" fillId="0" borderId="27" xfId="38" applyNumberFormat="1" applyFont="1" applyBorder="1" applyAlignment="1">
      <alignment horizontal="right"/>
    </xf>
    <xf numFmtId="164" fontId="18" fillId="0" borderId="34" xfId="0" applyNumberFormat="1" applyFont="1" applyBorder="1" applyAlignment="1">
      <alignment horizontal="right"/>
    </xf>
    <xf numFmtId="164" fontId="18" fillId="0" borderId="27" xfId="36" applyNumberFormat="1" applyFont="1" applyBorder="1" applyAlignment="1">
      <alignment horizontal="right"/>
    </xf>
    <xf numFmtId="164" fontId="18" fillId="0" borderId="27" xfId="37" applyNumberFormat="1" applyFont="1" applyBorder="1" applyAlignment="1">
      <alignment horizontal="right"/>
    </xf>
    <xf numFmtId="164" fontId="24" fillId="0" borderId="0" xfId="0" applyNumberFormat="1" applyFont="1" applyAlignment="1">
      <alignment horizontal="right"/>
    </xf>
    <xf numFmtId="164" fontId="17" fillId="0" borderId="0" xfId="39" applyNumberFormat="1" applyFont="1" applyFill="1" applyBorder="1" applyProtection="1"/>
    <xf numFmtId="164" fontId="22" fillId="0" borderId="0" xfId="0" applyNumberFormat="1" applyFont="1" applyAlignment="1">
      <alignment horizontal="left"/>
    </xf>
    <xf numFmtId="164" fontId="22" fillId="0" borderId="0" xfId="0" applyNumberFormat="1" applyFont="1" applyAlignment="1">
      <alignment horizontal="left" indent="1"/>
    </xf>
    <xf numFmtId="164" fontId="17" fillId="0" borderId="27" xfId="40" applyNumberFormat="1" applyFont="1" applyFill="1" applyBorder="1" applyProtection="1"/>
    <xf numFmtId="164" fontId="19" fillId="0" borderId="27" xfId="40" applyNumberFormat="1" applyFont="1" applyFill="1" applyBorder="1" applyProtection="1"/>
    <xf numFmtId="164" fontId="17" fillId="0" borderId="27" xfId="34" applyNumberFormat="1" applyFont="1" applyFill="1" applyBorder="1" applyAlignment="1">
      <alignment horizontal="right"/>
    </xf>
    <xf numFmtId="164" fontId="24" fillId="0" borderId="0" xfId="0" applyNumberFormat="1" applyFont="1" applyAlignment="1">
      <alignment horizontal="left" indent="2"/>
    </xf>
    <xf numFmtId="164" fontId="19" fillId="0" borderId="35" xfId="0" applyNumberFormat="1" applyFont="1" applyBorder="1" applyAlignment="1">
      <alignment horizontal="right"/>
    </xf>
    <xf numFmtId="164" fontId="19" fillId="0" borderId="26" xfId="0" applyNumberFormat="1" applyFont="1" applyBorder="1" applyAlignment="1">
      <alignment horizontal="right"/>
    </xf>
    <xf numFmtId="164" fontId="19" fillId="0" borderId="45" xfId="0" applyNumberFormat="1" applyFont="1" applyBorder="1" applyAlignment="1">
      <alignment horizontal="right"/>
    </xf>
    <xf numFmtId="164" fontId="18" fillId="0" borderId="36" xfId="0" applyNumberFormat="1" applyFont="1" applyBorder="1"/>
    <xf numFmtId="164" fontId="18" fillId="0" borderId="38" xfId="0" applyNumberFormat="1" applyFont="1" applyBorder="1"/>
    <xf numFmtId="164" fontId="18" fillId="0" borderId="46" xfId="0" applyNumberFormat="1" applyFont="1" applyBorder="1"/>
    <xf numFmtId="164" fontId="18" fillId="0" borderId="39" xfId="0" applyNumberFormat="1" applyFont="1" applyBorder="1"/>
    <xf numFmtId="164" fontId="18" fillId="0" borderId="40" xfId="0" applyNumberFormat="1" applyFont="1" applyBorder="1"/>
    <xf numFmtId="164" fontId="18" fillId="0" borderId="47" xfId="0" applyNumberFormat="1" applyFont="1" applyBorder="1" applyAlignment="1">
      <alignment horizontal="left" vertical="top"/>
    </xf>
    <xf numFmtId="164" fontId="18" fillId="0" borderId="48" xfId="0" applyNumberFormat="1" applyFont="1" applyBorder="1" applyAlignment="1">
      <alignment horizontal="left" vertical="top"/>
    </xf>
    <xf numFmtId="164" fontId="18" fillId="0" borderId="11" xfId="0" applyNumberFormat="1" applyFont="1" applyBorder="1"/>
    <xf numFmtId="164" fontId="18" fillId="0" borderId="12" xfId="0" applyNumberFormat="1" applyFont="1" applyBorder="1"/>
    <xf numFmtId="164" fontId="17" fillId="0" borderId="12" xfId="0" applyNumberFormat="1" applyFont="1" applyBorder="1" applyAlignment="1">
      <alignment horizontal="left"/>
    </xf>
    <xf numFmtId="164" fontId="18" fillId="0" borderId="49" xfId="0" applyNumberFormat="1" applyFont="1" applyBorder="1"/>
    <xf numFmtId="164" fontId="18" fillId="0" borderId="13" xfId="0" applyNumberFormat="1" applyFont="1" applyBorder="1"/>
    <xf numFmtId="164" fontId="18" fillId="0" borderId="50" xfId="0" applyNumberFormat="1" applyFont="1" applyBorder="1"/>
    <xf numFmtId="164" fontId="17" fillId="0" borderId="49" xfId="0" applyNumberFormat="1" applyFont="1" applyBorder="1" applyAlignment="1">
      <alignment horizontal="right"/>
    </xf>
    <xf numFmtId="164" fontId="18" fillId="0" borderId="44" xfId="34" applyNumberFormat="1" applyFont="1" applyFill="1" applyBorder="1" applyAlignment="1"/>
    <xf numFmtId="164" fontId="18" fillId="0" borderId="18" xfId="34" applyNumberFormat="1" applyFont="1" applyFill="1" applyBorder="1" applyAlignment="1"/>
    <xf numFmtId="164" fontId="18" fillId="0" borderId="0" xfId="34" applyNumberFormat="1" applyFont="1" applyFill="1" applyBorder="1" applyAlignment="1"/>
    <xf numFmtId="164" fontId="18" fillId="0" borderId="18" xfId="0" applyNumberFormat="1" applyFont="1" applyBorder="1" applyAlignment="1">
      <alignment horizontal="left"/>
    </xf>
    <xf numFmtId="164" fontId="18" fillId="0" borderId="0" xfId="0" applyNumberFormat="1" applyFont="1" applyAlignment="1">
      <alignment horizontal="left"/>
    </xf>
    <xf numFmtId="164" fontId="18" fillId="0" borderId="19" xfId="0" applyNumberFormat="1" applyFont="1" applyBorder="1" applyAlignment="1">
      <alignment horizontal="left"/>
    </xf>
    <xf numFmtId="164" fontId="18" fillId="0" borderId="28" xfId="0" applyNumberFormat="1" applyFont="1" applyBorder="1"/>
    <xf numFmtId="164" fontId="18" fillId="0" borderId="29" xfId="0" applyNumberFormat="1" applyFont="1" applyBorder="1"/>
    <xf numFmtId="164" fontId="18" fillId="0" borderId="27" xfId="0" applyNumberFormat="1" applyFont="1" applyBorder="1"/>
    <xf numFmtId="164" fontId="18" fillId="0" borderId="29" xfId="34" applyNumberFormat="1" applyFont="1" applyFill="1" applyBorder="1" applyAlignment="1"/>
    <xf numFmtId="164" fontId="17" fillId="0" borderId="18" xfId="0" applyNumberFormat="1" applyFont="1" applyBorder="1" applyAlignment="1">
      <alignment horizontal="left" indent="1"/>
    </xf>
    <xf numFmtId="164" fontId="17" fillId="0" borderId="0" xfId="0" applyNumberFormat="1" applyFont="1" applyAlignment="1">
      <alignment horizontal="left" indent="1"/>
    </xf>
    <xf numFmtId="164" fontId="17" fillId="0" borderId="19" xfId="0" applyNumberFormat="1" applyFont="1" applyBorder="1" applyAlignment="1">
      <alignment horizontal="left" indent="1"/>
    </xf>
    <xf numFmtId="164" fontId="17" fillId="0" borderId="18" xfId="0" applyNumberFormat="1" applyFont="1" applyBorder="1" applyAlignment="1">
      <alignment horizontal="left" indent="1"/>
    </xf>
    <xf numFmtId="164" fontId="17" fillId="0" borderId="0" xfId="0" applyNumberFormat="1" applyFont="1" applyAlignment="1">
      <alignment horizontal="left" indent="1"/>
    </xf>
    <xf numFmtId="164" fontId="17" fillId="0" borderId="19" xfId="0" applyNumberFormat="1" applyFont="1" applyBorder="1"/>
    <xf numFmtId="164" fontId="17" fillId="0" borderId="34" xfId="0" applyNumberFormat="1" applyFont="1" applyBorder="1"/>
    <xf numFmtId="164" fontId="17" fillId="0" borderId="19" xfId="41" applyNumberFormat="1" applyFont="1" applyBorder="1" applyAlignment="1">
      <alignment horizontal="right"/>
    </xf>
    <xf numFmtId="164" fontId="21" fillId="0" borderId="27" xfId="0" applyNumberFormat="1" applyFont="1" applyBorder="1" applyAlignment="1">
      <alignment horizontal="right"/>
    </xf>
    <xf numFmtId="164" fontId="18" fillId="0" borderId="19" xfId="0" applyNumberFormat="1" applyFont="1" applyBorder="1"/>
    <xf numFmtId="164" fontId="18" fillId="0" borderId="34" xfId="0" applyNumberFormat="1" applyFont="1" applyBorder="1"/>
    <xf numFmtId="164" fontId="17" fillId="0" borderId="19" xfId="42" applyNumberFormat="1" applyFont="1" applyBorder="1" applyAlignment="1">
      <alignment horizontal="right"/>
    </xf>
    <xf numFmtId="164" fontId="17" fillId="0" borderId="19" xfId="43" applyNumberFormat="1" applyFont="1" applyBorder="1" applyAlignment="1">
      <alignment horizontal="right"/>
    </xf>
    <xf numFmtId="164" fontId="18" fillId="0" borderId="51" xfId="0" applyNumberFormat="1" applyFont="1" applyBorder="1"/>
    <xf numFmtId="164" fontId="17" fillId="0" borderId="28" xfId="0" applyNumberFormat="1" applyFont="1" applyBorder="1"/>
    <xf numFmtId="164" fontId="17" fillId="0" borderId="18" xfId="0" applyNumberFormat="1" applyFont="1" applyBorder="1" applyAlignment="1">
      <alignment horizontal="left"/>
    </xf>
    <xf numFmtId="164" fontId="17" fillId="0" borderId="24" xfId="0" applyNumberFormat="1" applyFont="1" applyBorder="1"/>
    <xf numFmtId="164" fontId="17" fillId="0" borderId="25" xfId="0" applyNumberFormat="1" applyFont="1" applyBorder="1"/>
    <xf numFmtId="164" fontId="17" fillId="0" borderId="35" xfId="0" applyNumberFormat="1" applyFont="1" applyBorder="1" applyAlignment="1">
      <alignment horizontal="right"/>
    </xf>
    <xf numFmtId="164" fontId="17" fillId="0" borderId="26" xfId="0" applyNumberFormat="1" applyFont="1" applyBorder="1" applyAlignment="1">
      <alignment horizontal="right"/>
    </xf>
    <xf numFmtId="164" fontId="17" fillId="0" borderId="31" xfId="0" applyNumberFormat="1" applyFont="1" applyBorder="1" applyAlignment="1">
      <alignment horizontal="right"/>
    </xf>
    <xf numFmtId="164" fontId="18" fillId="0" borderId="33" xfId="34" applyNumberFormat="1" applyFont="1" applyFill="1" applyBorder="1" applyAlignment="1"/>
    <xf numFmtId="164" fontId="18" fillId="0" borderId="20" xfId="34" applyNumberFormat="1" applyFont="1" applyFill="1" applyBorder="1" applyAlignment="1"/>
    <xf numFmtId="164" fontId="18" fillId="0" borderId="22" xfId="34" applyNumberFormat="1" applyFont="1" applyFill="1" applyBorder="1" applyAlignment="1"/>
    <xf numFmtId="164" fontId="17" fillId="0" borderId="19" xfId="44" applyNumberFormat="1" applyFont="1" applyBorder="1"/>
    <xf numFmtId="164" fontId="17" fillId="0" borderId="24" xfId="0" applyNumberFormat="1" applyFont="1" applyBorder="1" applyAlignment="1">
      <alignment horizontal="left"/>
    </xf>
    <xf numFmtId="164" fontId="17" fillId="0" borderId="25" xfId="0" applyNumberFormat="1" applyFont="1" applyBorder="1" applyAlignment="1">
      <alignment horizontal="left"/>
    </xf>
    <xf numFmtId="164" fontId="17" fillId="0" borderId="26" xfId="0" applyNumberFormat="1" applyFont="1" applyBorder="1" applyAlignment="1">
      <alignment horizontal="left"/>
    </xf>
    <xf numFmtId="164" fontId="17" fillId="0" borderId="26" xfId="0" applyNumberFormat="1" applyFont="1" applyBorder="1"/>
    <xf numFmtId="164" fontId="17" fillId="0" borderId="35" xfId="0" applyNumberFormat="1" applyFont="1" applyBorder="1"/>
    <xf numFmtId="164" fontId="18" fillId="0" borderId="41" xfId="0" applyNumberFormat="1" applyFont="1" applyBorder="1"/>
    <xf numFmtId="164" fontId="19" fillId="0" borderId="12" xfId="0" applyNumberFormat="1" applyFont="1" applyBorder="1" applyAlignment="1">
      <alignment horizontal="left"/>
    </xf>
    <xf numFmtId="164" fontId="19" fillId="0" borderId="0" xfId="0" applyNumberFormat="1" applyFont="1" applyAlignment="1">
      <alignment horizontal="left"/>
    </xf>
    <xf numFmtId="164" fontId="19" fillId="0" borderId="0" xfId="0" applyNumberFormat="1" applyFont="1" applyAlignment="1">
      <alignment horizontal="left"/>
    </xf>
    <xf numFmtId="164" fontId="19" fillId="0" borderId="0" xfId="0" applyNumberFormat="1" applyFont="1" applyAlignment="1">
      <alignment horizontal="left" vertical="center"/>
    </xf>
    <xf numFmtId="164" fontId="19" fillId="0" borderId="0" xfId="0" applyNumberFormat="1" applyFont="1" applyBorder="1"/>
    <xf numFmtId="164" fontId="17" fillId="0" borderId="0" xfId="0" applyNumberFormat="1" applyFont="1" applyBorder="1"/>
    <xf numFmtId="164" fontId="19" fillId="0" borderId="0" xfId="0" applyNumberFormat="1" applyFont="1" applyBorder="1" applyAlignment="1">
      <alignment horizontal="left"/>
    </xf>
    <xf numFmtId="164" fontId="18" fillId="0" borderId="0" xfId="0" applyNumberFormat="1" applyFont="1" applyBorder="1"/>
    <xf numFmtId="0" fontId="17" fillId="0" borderId="18" xfId="0" applyFont="1" applyBorder="1"/>
    <xf numFmtId="0" fontId="0" fillId="0" borderId="69" xfId="0" applyBorder="1" applyAlignment="1">
      <alignment horizontal="center"/>
    </xf>
    <xf numFmtId="0" fontId="18" fillId="0" borderId="67" xfId="0" applyFont="1" applyBorder="1" applyAlignment="1">
      <alignment horizontal="center"/>
    </xf>
    <xf numFmtId="0" fontId="0" fillId="0" borderId="68" xfId="0" applyBorder="1" applyAlignment="1">
      <alignment horizontal="center"/>
    </xf>
    <xf numFmtId="0" fontId="0" fillId="0" borderId="67" xfId="0" applyBorder="1" applyAlignment="1">
      <alignment horizontal="center"/>
    </xf>
    <xf numFmtId="0" fontId="18" fillId="0" borderId="66" xfId="0" applyFont="1" applyBorder="1" applyAlignment="1">
      <alignment horizontal="center"/>
    </xf>
    <xf numFmtId="0" fontId="18" fillId="0" borderId="19" xfId="0" applyFont="1" applyBorder="1" applyAlignment="1">
      <alignment horizontal="right"/>
    </xf>
    <xf numFmtId="0" fontId="18" fillId="0" borderId="18" xfId="0" applyFont="1" applyBorder="1"/>
    <xf numFmtId="165" fontId="17" fillId="0" borderId="0" xfId="34" applyFont="1" applyFill="1" applyBorder="1" applyAlignment="1"/>
    <xf numFmtId="0" fontId="18" fillId="0" borderId="18" xfId="0" applyFont="1" applyBorder="1" applyAlignment="1">
      <alignment horizontal="center"/>
    </xf>
    <xf numFmtId="0" fontId="0" fillId="0" borderId="17" xfId="0" applyBorder="1"/>
    <xf numFmtId="0" fontId="0" fillId="0" borderId="15" xfId="0" applyBorder="1"/>
    <xf numFmtId="0" fontId="18" fillId="0" borderId="14" xfId="0" quotePrefix="1" applyFont="1" applyBorder="1" applyAlignment="1">
      <alignment horizontal="center"/>
    </xf>
    <xf numFmtId="0" fontId="18" fillId="0" borderId="13" xfId="0" applyFont="1" applyBorder="1" applyAlignment="1">
      <alignment horizontal="right"/>
    </xf>
    <xf numFmtId="0" fontId="18" fillId="0" borderId="11" xfId="0" applyFont="1" applyBorder="1"/>
    <xf numFmtId="165" fontId="17" fillId="0" borderId="0" xfId="34" applyFont="1" applyFill="1" applyAlignment="1"/>
    <xf numFmtId="164" fontId="17" fillId="0" borderId="0" xfId="34" applyNumberFormat="1" applyFont="1" applyFill="1" applyAlignment="1"/>
    <xf numFmtId="0" fontId="17" fillId="0" borderId="0" xfId="0" applyFont="1"/>
    <xf numFmtId="3" fontId="17" fillId="0" borderId="10" xfId="0" applyNumberFormat="1" applyFont="1" applyBorder="1"/>
    <xf numFmtId="0" fontId="18" fillId="0" borderId="0" xfId="0" applyFont="1"/>
    <xf numFmtId="0" fontId="17" fillId="0" borderId="10" xfId="0" applyFont="1" applyBorder="1"/>
    <xf numFmtId="0" fontId="18" fillId="0" borderId="10" xfId="0" applyFont="1" applyBorder="1"/>
    <xf numFmtId="0" fontId="29" fillId="0" borderId="0" xfId="0" applyFont="1"/>
    <xf numFmtId="164" fontId="19" fillId="0" borderId="0" xfId="137" applyNumberFormat="1" applyFont="1" applyFill="1" applyBorder="1" applyAlignment="1">
      <alignment horizontal="center"/>
    </xf>
    <xf numFmtId="0" fontId="18" fillId="0" borderId="28" xfId="0" applyFont="1" applyBorder="1" applyAlignment="1">
      <alignment horizontal="right"/>
    </xf>
    <xf numFmtId="0" fontId="18" fillId="0" borderId="0" xfId="0" applyFont="1" applyAlignment="1">
      <alignment horizontal="right"/>
    </xf>
    <xf numFmtId="0" fontId="18" fillId="0" borderId="20" xfId="0" applyFont="1" applyBorder="1" applyAlignment="1">
      <alignment horizontal="right"/>
    </xf>
    <xf numFmtId="3" fontId="18" fillId="0" borderId="20" xfId="0" applyNumberFormat="1" applyFont="1" applyBorder="1" applyAlignment="1">
      <alignment horizontal="right"/>
    </xf>
    <xf numFmtId="3" fontId="18" fillId="0" borderId="33" xfId="0" applyNumberFormat="1" applyFont="1" applyBorder="1" applyAlignment="1">
      <alignment horizontal="right"/>
    </xf>
    <xf numFmtId="0" fontId="25" fillId="0" borderId="24" xfId="0" applyFont="1" applyBorder="1"/>
    <xf numFmtId="0" fontId="18" fillId="0" borderId="25" xfId="0" applyFont="1" applyBorder="1"/>
    <xf numFmtId="0" fontId="18" fillId="0" borderId="26" xfId="0" applyFont="1" applyBorder="1" applyAlignment="1">
      <alignment horizontal="right"/>
    </xf>
    <xf numFmtId="0" fontId="18" fillId="0" borderId="30" xfId="0" applyFont="1" applyBorder="1" applyAlignment="1">
      <alignment horizontal="right"/>
    </xf>
    <xf numFmtId="0" fontId="18" fillId="0" borderId="25" xfId="0" applyFont="1" applyBorder="1" applyAlignment="1">
      <alignment horizontal="right"/>
    </xf>
    <xf numFmtId="0" fontId="18" fillId="0" borderId="35" xfId="0" applyFont="1" applyBorder="1" applyAlignment="1">
      <alignment horizontal="right"/>
    </xf>
    <xf numFmtId="2" fontId="17" fillId="0" borderId="18" xfId="0" applyNumberFormat="1" applyFont="1" applyBorder="1"/>
    <xf numFmtId="0" fontId="25" fillId="0" borderId="18" xfId="0" applyFont="1" applyBorder="1"/>
    <xf numFmtId="0" fontId="18" fillId="0" borderId="33" xfId="0" applyFont="1" applyBorder="1" applyAlignment="1">
      <alignment horizontal="right"/>
    </xf>
    <xf numFmtId="0" fontId="18" fillId="0" borderId="27" xfId="0" applyFont="1" applyBorder="1" applyAlignment="1">
      <alignment horizontal="right"/>
    </xf>
    <xf numFmtId="0" fontId="22" fillId="0" borderId="18" xfId="0" applyFont="1" applyBorder="1" applyAlignment="1">
      <alignment horizontal="left"/>
    </xf>
    <xf numFmtId="37" fontId="22" fillId="0" borderId="0" xfId="0" applyNumberFormat="1" applyFont="1"/>
    <xf numFmtId="37" fontId="22" fillId="0" borderId="0" xfId="0" applyNumberFormat="1" applyFont="1" applyAlignment="1">
      <alignment horizontal="right"/>
    </xf>
    <xf numFmtId="164" fontId="17" fillId="0" borderId="18" xfId="34" applyNumberFormat="1" applyFont="1" applyFill="1" applyBorder="1" applyAlignment="1"/>
    <xf numFmtId="171" fontId="65" fillId="0" borderId="18" xfId="0" applyNumberFormat="1" applyFont="1" applyBorder="1"/>
    <xf numFmtId="37" fontId="24" fillId="0" borderId="0" xfId="0" quotePrefix="1" applyNumberFormat="1" applyFont="1" applyAlignment="1">
      <alignment horizontal="right"/>
    </xf>
    <xf numFmtId="171" fontId="17" fillId="0" borderId="18" xfId="0" applyNumberFormat="1" applyFont="1" applyBorder="1"/>
    <xf numFmtId="0" fontId="19" fillId="0" borderId="0" xfId="0" quotePrefix="1" applyFont="1" applyAlignment="1">
      <alignment horizontal="right"/>
    </xf>
    <xf numFmtId="0" fontId="22" fillId="0" borderId="0" xfId="0" applyFont="1"/>
    <xf numFmtId="0" fontId="17" fillId="0" borderId="18" xfId="0" applyFont="1" applyBorder="1" applyAlignment="1">
      <alignment horizontal="left"/>
    </xf>
    <xf numFmtId="37" fontId="17" fillId="0" borderId="0" xfId="0" applyNumberFormat="1" applyFont="1"/>
    <xf numFmtId="37" fontId="17" fillId="0" borderId="0" xfId="0" applyNumberFormat="1" applyFont="1" applyAlignment="1">
      <alignment horizontal="left"/>
    </xf>
    <xf numFmtId="37" fontId="17" fillId="0" borderId="0" xfId="0" applyNumberFormat="1" applyFont="1" applyAlignment="1">
      <alignment horizontal="left"/>
    </xf>
    <xf numFmtId="37" fontId="19" fillId="0" borderId="0" xfId="0" applyNumberFormat="1" applyFont="1" applyAlignment="1">
      <alignment horizontal="right"/>
    </xf>
    <xf numFmtId="0" fontId="22" fillId="0" borderId="0" xfId="0" applyFont="1" applyAlignment="1">
      <alignment horizontal="right"/>
    </xf>
    <xf numFmtId="37" fontId="19" fillId="0" borderId="0" xfId="0" quotePrefix="1" applyNumberFormat="1" applyFont="1" applyAlignment="1">
      <alignment horizontal="right"/>
    </xf>
    <xf numFmtId="0" fontId="22" fillId="0" borderId="24" xfId="0" applyFont="1" applyBorder="1" applyAlignment="1">
      <alignment horizontal="left"/>
    </xf>
    <xf numFmtId="37" fontId="22" fillId="0" borderId="25" xfId="0" applyNumberFormat="1" applyFont="1" applyBorder="1"/>
    <xf numFmtId="0" fontId="17" fillId="0" borderId="25" xfId="0" applyFont="1" applyBorder="1"/>
    <xf numFmtId="37" fontId="22" fillId="0" borderId="26" xfId="0" applyNumberFormat="1" applyFont="1" applyBorder="1" applyAlignment="1">
      <alignment horizontal="right"/>
    </xf>
    <xf numFmtId="37" fontId="24" fillId="0" borderId="19" xfId="0" quotePrefix="1" applyNumberFormat="1" applyFont="1" applyBorder="1" applyAlignment="1">
      <alignment horizontal="right"/>
    </xf>
    <xf numFmtId="165" fontId="17" fillId="0" borderId="0" xfId="34" applyFont="1" applyFill="1" applyBorder="1" applyAlignment="1">
      <alignment horizontal="right"/>
    </xf>
    <xf numFmtId="0" fontId="22" fillId="0" borderId="18" xfId="0" applyFont="1" applyBorder="1"/>
    <xf numFmtId="164" fontId="17" fillId="0" borderId="0" xfId="34" applyNumberFormat="1" applyFont="1" applyFill="1" applyBorder="1" applyAlignment="1"/>
    <xf numFmtId="37" fontId="22" fillId="0" borderId="19" xfId="0" applyNumberFormat="1" applyFont="1" applyBorder="1" applyAlignment="1">
      <alignment horizontal="right"/>
    </xf>
    <xf numFmtId="197" fontId="18" fillId="0" borderId="18" xfId="34" applyNumberFormat="1" applyFont="1" applyFill="1" applyBorder="1" applyAlignment="1">
      <alignment horizontal="center"/>
    </xf>
    <xf numFmtId="0" fontId="22" fillId="0" borderId="0" xfId="0" applyFont="1" applyAlignment="1">
      <alignment horizontal="left"/>
    </xf>
    <xf numFmtId="164" fontId="17" fillId="0" borderId="0" xfId="34" applyNumberFormat="1" applyFont="1" applyFill="1" applyBorder="1" applyAlignment="1">
      <alignment horizontal="right"/>
    </xf>
    <xf numFmtId="165" fontId="17" fillId="0" borderId="0" xfId="0" applyNumberFormat="1" applyFont="1"/>
    <xf numFmtId="43" fontId="17" fillId="0" borderId="0" xfId="0" applyNumberFormat="1" applyFont="1"/>
    <xf numFmtId="37" fontId="24" fillId="0" borderId="19" xfId="0" applyNumberFormat="1" applyFont="1" applyBorder="1" applyAlignment="1">
      <alignment horizontal="right"/>
    </xf>
    <xf numFmtId="0" fontId="24" fillId="0" borderId="18" xfId="0" applyFont="1" applyBorder="1" applyAlignment="1">
      <alignment horizontal="left" indent="1"/>
    </xf>
    <xf numFmtId="0" fontId="19" fillId="0" borderId="0" xfId="0" applyFont="1"/>
    <xf numFmtId="164" fontId="19" fillId="0" borderId="0" xfId="34" applyNumberFormat="1" applyFont="1" applyFill="1" applyBorder="1" applyAlignment="1">
      <alignment horizontal="center"/>
    </xf>
    <xf numFmtId="164" fontId="19" fillId="0" borderId="28" xfId="34" applyNumberFormat="1" applyFont="1" applyFill="1" applyBorder="1" applyAlignment="1">
      <alignment horizontal="center"/>
    </xf>
    <xf numFmtId="0" fontId="22" fillId="0" borderId="18" xfId="0" applyFont="1" applyBorder="1" applyAlignment="1">
      <alignment horizontal="left" indent="1"/>
    </xf>
    <xf numFmtId="0" fontId="17" fillId="0" borderId="0" xfId="0" applyFont="1" applyAlignment="1">
      <alignment horizontal="left"/>
    </xf>
    <xf numFmtId="0" fontId="17" fillId="0" borderId="24" xfId="0" applyFont="1" applyBorder="1" applyAlignment="1">
      <alignment horizontal="left"/>
    </xf>
    <xf numFmtId="0" fontId="17" fillId="0" borderId="25" xfId="0" applyFont="1" applyBorder="1" applyAlignment="1">
      <alignment horizontal="left"/>
    </xf>
    <xf numFmtId="164" fontId="18" fillId="0" borderId="39" xfId="0" applyNumberFormat="1" applyFont="1" applyBorder="1" applyAlignment="1">
      <alignment horizontal="right"/>
    </xf>
    <xf numFmtId="164" fontId="18" fillId="0" borderId="41" xfId="0" applyNumberFormat="1" applyFont="1" applyBorder="1" applyAlignment="1">
      <alignment horizontal="right"/>
    </xf>
    <xf numFmtId="164" fontId="18" fillId="0" borderId="37" xfId="0" applyNumberFormat="1" applyFont="1" applyBorder="1" applyAlignment="1">
      <alignment horizontal="right"/>
    </xf>
    <xf numFmtId="164" fontId="18" fillId="0" borderId="38" xfId="0" applyNumberFormat="1" applyFont="1" applyBorder="1" applyAlignment="1">
      <alignment horizontal="right"/>
    </xf>
    <xf numFmtId="164" fontId="18" fillId="0" borderId="40" xfId="0" applyNumberFormat="1" applyFont="1" applyBorder="1" applyAlignment="1">
      <alignment horizontal="right"/>
    </xf>
    <xf numFmtId="0" fontId="25" fillId="0" borderId="47" xfId="0" applyFont="1" applyBorder="1"/>
    <xf numFmtId="37" fontId="22" fillId="0" borderId="48" xfId="0" applyNumberFormat="1" applyFont="1" applyBorder="1"/>
    <xf numFmtId="0" fontId="17" fillId="0" borderId="48" xfId="0" applyFont="1" applyBorder="1"/>
    <xf numFmtId="37" fontId="22" fillId="0" borderId="63" xfId="0" applyNumberFormat="1" applyFont="1" applyBorder="1" applyAlignment="1">
      <alignment horizontal="right"/>
    </xf>
    <xf numFmtId="164" fontId="18" fillId="0" borderId="48" xfId="0" applyNumberFormat="1" applyFont="1" applyBorder="1" applyAlignment="1">
      <alignment horizontal="right"/>
    </xf>
    <xf numFmtId="164" fontId="18" fillId="0" borderId="64" xfId="0" applyNumberFormat="1" applyFont="1" applyBorder="1" applyAlignment="1">
      <alignment horizontal="right"/>
    </xf>
    <xf numFmtId="164" fontId="18" fillId="0" borderId="10" xfId="0" applyNumberFormat="1" applyFont="1" applyBorder="1" applyAlignment="1">
      <alignment horizontal="right"/>
    </xf>
    <xf numFmtId="164" fontId="18" fillId="0" borderId="70" xfId="0" applyNumberFormat="1" applyFont="1" applyBorder="1" applyAlignment="1">
      <alignment horizontal="right"/>
    </xf>
    <xf numFmtId="164" fontId="18" fillId="0" borderId="65" xfId="0" applyNumberFormat="1" applyFont="1" applyBorder="1" applyAlignment="1">
      <alignment horizontal="right"/>
    </xf>
    <xf numFmtId="164" fontId="17" fillId="0" borderId="44" xfId="0" applyNumberFormat="1" applyFont="1" applyBorder="1" applyAlignment="1">
      <alignment horizontal="right"/>
    </xf>
    <xf numFmtId="0" fontId="25" fillId="0" borderId="36" xfId="0" applyFont="1" applyBorder="1"/>
    <xf numFmtId="37" fontId="22" fillId="0" borderId="37" xfId="0" applyNumberFormat="1" applyFont="1" applyBorder="1"/>
    <xf numFmtId="0" fontId="17" fillId="0" borderId="37" xfId="0" applyFont="1" applyBorder="1"/>
    <xf numFmtId="37" fontId="24" fillId="0" borderId="38" xfId="0" quotePrefix="1" applyNumberFormat="1" applyFont="1" applyBorder="1" applyAlignment="1">
      <alignment horizontal="right"/>
    </xf>
    <xf numFmtId="197" fontId="18" fillId="0" borderId="0" xfId="0" applyNumberFormat="1" applyFont="1" applyAlignment="1">
      <alignment horizontal="right"/>
    </xf>
    <xf numFmtId="0" fontId="24" fillId="0" borderId="0" xfId="0" applyFont="1"/>
    <xf numFmtId="164" fontId="22" fillId="0" borderId="0" xfId="34" applyNumberFormat="1" applyFont="1" applyFill="1" applyBorder="1" applyAlignment="1"/>
    <xf numFmtId="0" fontId="17" fillId="0" borderId="0" xfId="0" applyFont="1" applyAlignment="1">
      <alignment horizontal="center"/>
    </xf>
    <xf numFmtId="0" fontId="17" fillId="0" borderId="0" xfId="0" applyFont="1" applyBorder="1"/>
    <xf numFmtId="196" fontId="64" fillId="0" borderId="0" xfId="140" applyNumberFormat="1" applyFont="1" applyFill="1" applyBorder="1"/>
    <xf numFmtId="165" fontId="17" fillId="0" borderId="0" xfId="0" applyNumberFormat="1" applyFont="1" applyBorder="1"/>
    <xf numFmtId="0" fontId="19" fillId="0" borderId="0" xfId="0" applyFont="1" applyBorder="1"/>
    <xf numFmtId="2" fontId="18" fillId="0" borderId="18" xfId="0" applyNumberFormat="1" applyFont="1" applyBorder="1"/>
    <xf numFmtId="164" fontId="17" fillId="0" borderId="28" xfId="1" applyNumberFormat="1" applyFont="1" applyFill="1" applyBorder="1" applyAlignment="1">
      <alignment horizontal="center"/>
    </xf>
    <xf numFmtId="164" fontId="17" fillId="0" borderId="0" xfId="1" applyNumberFormat="1" applyFont="1" applyFill="1" applyBorder="1" applyAlignment="1">
      <alignment horizontal="center"/>
    </xf>
    <xf numFmtId="164" fontId="17" fillId="0" borderId="18" xfId="1" applyNumberFormat="1" applyFont="1" applyFill="1" applyBorder="1" applyAlignment="1"/>
    <xf numFmtId="0" fontId="22" fillId="0" borderId="25" xfId="0" applyFont="1" applyBorder="1"/>
    <xf numFmtId="164" fontId="17" fillId="0" borderId="25" xfId="0" applyNumberFormat="1" applyFont="1" applyBorder="1" applyAlignment="1">
      <alignment horizontal="right"/>
    </xf>
    <xf numFmtId="0" fontId="25" fillId="0" borderId="32" xfId="0" applyFont="1" applyBorder="1"/>
    <xf numFmtId="164" fontId="18" fillId="0" borderId="28" xfId="1" applyNumberFormat="1" applyFont="1" applyFill="1" applyBorder="1" applyAlignment="1">
      <alignment horizontal="center"/>
    </xf>
    <xf numFmtId="164" fontId="18" fillId="0" borderId="0" xfId="1" applyNumberFormat="1" applyFont="1" applyFill="1" applyBorder="1" applyAlignment="1">
      <alignment horizontal="center"/>
    </xf>
    <xf numFmtId="197" fontId="18" fillId="0" borderId="18" xfId="1" applyNumberFormat="1" applyFont="1" applyFill="1" applyBorder="1" applyAlignment="1">
      <alignment horizontal="center"/>
    </xf>
    <xf numFmtId="164" fontId="19" fillId="0" borderId="0" xfId="1" applyNumberFormat="1" applyFont="1" applyFill="1" applyBorder="1" applyAlignment="1">
      <alignment horizontal="center"/>
    </xf>
    <xf numFmtId="164" fontId="19" fillId="0" borderId="28" xfId="1" applyNumberFormat="1" applyFont="1" applyFill="1" applyBorder="1" applyAlignment="1">
      <alignment horizontal="center"/>
    </xf>
    <xf numFmtId="171" fontId="19" fillId="0" borderId="18" xfId="0" applyNumberFormat="1" applyFont="1" applyBorder="1"/>
    <xf numFmtId="37" fontId="22" fillId="0" borderId="37" xfId="0" applyNumberFormat="1" applyFont="1" applyBorder="1" applyAlignment="1">
      <alignment horizontal="right"/>
    </xf>
    <xf numFmtId="164" fontId="18" fillId="0" borderId="41" xfId="1" applyNumberFormat="1" applyFont="1" applyFill="1" applyBorder="1" applyAlignment="1">
      <alignment horizontal="center"/>
    </xf>
    <xf numFmtId="164" fontId="18" fillId="0" borderId="37" xfId="1" applyNumberFormat="1" applyFont="1" applyFill="1" applyBorder="1" applyAlignment="1">
      <alignment horizontal="center"/>
    </xf>
    <xf numFmtId="164" fontId="18" fillId="0" borderId="39" xfId="1" applyNumberFormat="1" applyFont="1" applyFill="1" applyBorder="1" applyAlignment="1">
      <alignment horizontal="center"/>
    </xf>
    <xf numFmtId="164" fontId="18" fillId="0" borderId="40" xfId="1" applyNumberFormat="1" applyFont="1" applyFill="1" applyBorder="1" applyAlignment="1">
      <alignment horizontal="center"/>
    </xf>
    <xf numFmtId="164" fontId="17" fillId="0" borderId="19" xfId="1" applyNumberFormat="1" applyFont="1" applyFill="1" applyBorder="1" applyAlignment="1">
      <alignment horizontal="center"/>
    </xf>
    <xf numFmtId="0" fontId="19" fillId="0" borderId="0" xfId="0" quotePrefix="1" applyFont="1"/>
    <xf numFmtId="37" fontId="24" fillId="0" borderId="12" xfId="0" applyNumberFormat="1" applyFont="1" applyBorder="1"/>
    <xf numFmtId="164" fontId="22" fillId="0" borderId="0" xfId="1" applyNumberFormat="1" applyFont="1" applyFill="1" applyBorder="1" applyAlignment="1"/>
    <xf numFmtId="164" fontId="17" fillId="0" borderId="0" xfId="1" applyNumberFormat="1" applyFont="1" applyFill="1" applyBorder="1" applyAlignment="1"/>
    <xf numFmtId="164" fontId="17" fillId="0" borderId="0" xfId="137" applyNumberFormat="1" applyFont="1" applyFill="1" applyBorder="1" applyAlignment="1"/>
    <xf numFmtId="37" fontId="24" fillId="0" borderId="0" xfId="0" applyNumberFormat="1" applyFont="1"/>
    <xf numFmtId="164" fontId="22" fillId="0" borderId="0" xfId="137" applyNumberFormat="1" applyFont="1" applyFill="1" applyBorder="1" applyAlignment="1"/>
    <xf numFmtId="164" fontId="29" fillId="0" borderId="0" xfId="0" applyNumberFormat="1" applyFont="1"/>
    <xf numFmtId="164" fontId="17" fillId="0" borderId="49" xfId="0" applyNumberFormat="1" applyFont="1" applyBorder="1"/>
    <xf numFmtId="164" fontId="17" fillId="0" borderId="14" xfId="0" applyNumberFormat="1" applyFont="1" applyBorder="1"/>
    <xf numFmtId="164" fontId="17" fillId="0" borderId="15" xfId="0" applyNumberFormat="1" applyFont="1" applyBorder="1"/>
    <xf numFmtId="164" fontId="18" fillId="0" borderId="15" xfId="0" applyNumberFormat="1" applyFont="1" applyBorder="1" applyAlignment="1">
      <alignment horizontal="center"/>
    </xf>
    <xf numFmtId="164" fontId="18" fillId="0" borderId="15" xfId="0" applyNumberFormat="1" applyFont="1" applyBorder="1" applyAlignment="1">
      <alignment horizontal="center"/>
    </xf>
    <xf numFmtId="164" fontId="18" fillId="0" borderId="14" xfId="0" applyNumberFormat="1" applyFont="1" applyBorder="1" applyAlignment="1">
      <alignment horizontal="center"/>
    </xf>
    <xf numFmtId="164" fontId="18" fillId="0" borderId="15" xfId="0" quotePrefix="1" applyNumberFormat="1" applyFont="1" applyBorder="1" applyAlignment="1">
      <alignment horizontal="center"/>
    </xf>
    <xf numFmtId="164" fontId="18" fillId="0" borderId="17" xfId="0" quotePrefix="1" applyNumberFormat="1" applyFont="1" applyBorder="1" applyAlignment="1">
      <alignment horizontal="center"/>
    </xf>
    <xf numFmtId="164" fontId="18" fillId="52" borderId="0" xfId="0" applyNumberFormat="1" applyFont="1" applyFill="1" applyAlignment="1">
      <alignment horizontal="right"/>
    </xf>
    <xf numFmtId="164" fontId="18" fillId="0" borderId="24" xfId="0" applyNumberFormat="1" applyFont="1" applyBorder="1" applyAlignment="1">
      <alignment horizontal="left"/>
    </xf>
    <xf numFmtId="164" fontId="18" fillId="0" borderId="25" xfId="0" applyNumberFormat="1" applyFont="1" applyBorder="1" applyAlignment="1">
      <alignment horizontal="center"/>
    </xf>
    <xf numFmtId="164" fontId="18" fillId="0" borderId="30" xfId="0" applyNumberFormat="1" applyFont="1" applyBorder="1" applyAlignment="1">
      <alignment horizontal="right"/>
    </xf>
    <xf numFmtId="164" fontId="18" fillId="52" borderId="25" xfId="0" applyNumberFormat="1" applyFont="1" applyFill="1" applyBorder="1" applyAlignment="1">
      <alignment horizontal="right"/>
    </xf>
    <xf numFmtId="164" fontId="18" fillId="0" borderId="45" xfId="0" applyNumberFormat="1" applyFont="1" applyBorder="1" applyAlignment="1">
      <alignment horizontal="right"/>
    </xf>
    <xf numFmtId="164" fontId="17" fillId="0" borderId="27" xfId="0" applyNumberFormat="1" applyFont="1" applyBorder="1" applyAlignment="1">
      <alignment horizontal="center"/>
    </xf>
    <xf numFmtId="164" fontId="18" fillId="0" borderId="27" xfId="0" applyNumberFormat="1" applyFont="1" applyBorder="1" applyAlignment="1">
      <alignment horizontal="center"/>
    </xf>
    <xf numFmtId="164" fontId="18" fillId="0" borderId="0" xfId="1" applyNumberFormat="1" applyFont="1" applyFill="1" applyBorder="1"/>
    <xf numFmtId="164" fontId="18" fillId="0" borderId="28" xfId="1" applyNumberFormat="1" applyFont="1" applyFill="1" applyBorder="1"/>
    <xf numFmtId="164" fontId="18" fillId="0" borderId="0" xfId="341" applyNumberFormat="1" applyFont="1"/>
    <xf numFmtId="164" fontId="17" fillId="0" borderId="33" xfId="0" applyNumberFormat="1" applyFont="1" applyBorder="1"/>
    <xf numFmtId="164" fontId="17" fillId="0" borderId="21" xfId="0" applyNumberFormat="1" applyFont="1" applyBorder="1"/>
    <xf numFmtId="164" fontId="17" fillId="0" borderId="23" xfId="1" applyNumberFormat="1" applyFont="1" applyFill="1" applyBorder="1"/>
    <xf numFmtId="164" fontId="17" fillId="0" borderId="67" xfId="1" applyNumberFormat="1" applyFont="1" applyFill="1" applyBorder="1"/>
    <xf numFmtId="164" fontId="17" fillId="0" borderId="23" xfId="341" applyNumberFormat="1" applyBorder="1"/>
    <xf numFmtId="164" fontId="17" fillId="0" borderId="20" xfId="341" applyNumberFormat="1" applyBorder="1"/>
    <xf numFmtId="164" fontId="17" fillId="0" borderId="20" xfId="0" applyNumberFormat="1" applyFont="1" applyBorder="1"/>
    <xf numFmtId="164" fontId="17" fillId="0" borderId="27" xfId="341" applyNumberFormat="1" applyBorder="1"/>
    <xf numFmtId="164" fontId="17" fillId="0" borderId="35" xfId="341" applyNumberFormat="1" applyBorder="1"/>
    <xf numFmtId="164" fontId="17" fillId="0" borderId="0" xfId="341" applyNumberFormat="1"/>
    <xf numFmtId="164" fontId="17" fillId="0" borderId="18" xfId="0" applyNumberFormat="1" applyFont="1" applyBorder="1" applyAlignment="1">
      <alignment horizontal="left"/>
    </xf>
    <xf numFmtId="164" fontId="17" fillId="0" borderId="30" xfId="0" applyNumberFormat="1" applyFont="1" applyBorder="1"/>
    <xf numFmtId="164" fontId="17" fillId="0" borderId="25" xfId="341" applyNumberFormat="1" applyBorder="1"/>
    <xf numFmtId="164" fontId="17" fillId="0" borderId="28" xfId="0" applyNumberFormat="1" applyFont="1" applyBorder="1" applyAlignment="1">
      <alignment horizontal="center"/>
    </xf>
    <xf numFmtId="164" fontId="17" fillId="0" borderId="0" xfId="0" applyNumberFormat="1" applyFont="1" applyAlignment="1">
      <alignment horizontal="center"/>
    </xf>
    <xf numFmtId="164" fontId="18" fillId="0" borderId="28" xfId="0" applyNumberFormat="1" applyFont="1" applyBorder="1" applyAlignment="1">
      <alignment horizontal="center"/>
    </xf>
    <xf numFmtId="164" fontId="18" fillId="0" borderId="0" xfId="0" applyNumberFormat="1" applyFont="1" applyAlignment="1">
      <alignment horizontal="center"/>
    </xf>
    <xf numFmtId="164" fontId="17" fillId="0" borderId="33" xfId="0" applyNumberFormat="1" applyFont="1" applyBorder="1" applyAlignment="1">
      <alignment horizontal="center"/>
    </xf>
    <xf numFmtId="198" fontId="17" fillId="0" borderId="27" xfId="0" applyNumberFormat="1" applyFont="1" applyBorder="1" applyAlignment="1">
      <alignment horizontal="right"/>
    </xf>
    <xf numFmtId="198" fontId="17" fillId="0" borderId="28" xfId="0" applyNumberFormat="1" applyFont="1" applyBorder="1" applyAlignment="1">
      <alignment horizontal="right"/>
    </xf>
    <xf numFmtId="198" fontId="17" fillId="0" borderId="27" xfId="0" applyNumberFormat="1" applyFont="1" applyBorder="1" applyAlignment="1">
      <alignment horizontal="center"/>
    </xf>
    <xf numFmtId="198" fontId="17" fillId="0" borderId="28" xfId="0" applyNumberFormat="1" applyFont="1" applyBorder="1" applyAlignment="1">
      <alignment horizontal="center"/>
    </xf>
    <xf numFmtId="164" fontId="17" fillId="0" borderId="71" xfId="0" applyNumberFormat="1" applyFont="1" applyBorder="1"/>
    <xf numFmtId="164" fontId="17" fillId="0" borderId="71" xfId="341" applyNumberFormat="1" applyBorder="1"/>
    <xf numFmtId="198" fontId="17" fillId="0" borderId="30" xfId="0" applyNumberFormat="1" applyFont="1" applyBorder="1" applyAlignment="1">
      <alignment horizontal="center"/>
    </xf>
    <xf numFmtId="198" fontId="17" fillId="0" borderId="0" xfId="0" applyNumberFormat="1" applyFont="1" applyAlignment="1">
      <alignment horizontal="center"/>
    </xf>
    <xf numFmtId="198" fontId="17" fillId="0" borderId="0" xfId="0" applyNumberFormat="1" applyFont="1" applyAlignment="1">
      <alignment horizontal="right"/>
    </xf>
    <xf numFmtId="198" fontId="17" fillId="0" borderId="33" xfId="0" applyNumberFormat="1" applyFont="1" applyBorder="1" applyAlignment="1">
      <alignment horizontal="center"/>
    </xf>
    <xf numFmtId="164" fontId="17" fillId="0" borderId="30" xfId="0" applyNumberFormat="1" applyFont="1" applyBorder="1" applyAlignment="1">
      <alignment horizontal="center"/>
    </xf>
    <xf numFmtId="164" fontId="17" fillId="0" borderId="21" xfId="1" applyNumberFormat="1" applyFont="1" applyFill="1" applyBorder="1"/>
    <xf numFmtId="164" fontId="17" fillId="0" borderId="0" xfId="1" applyNumberFormat="1" applyFont="1" applyFill="1" applyBorder="1"/>
    <xf numFmtId="164" fontId="17" fillId="0" borderId="28" xfId="1" applyNumberFormat="1" applyFont="1" applyFill="1" applyBorder="1"/>
    <xf numFmtId="164" fontId="17" fillId="0" borderId="33" xfId="1" applyNumberFormat="1" applyFont="1" applyFill="1" applyBorder="1"/>
    <xf numFmtId="164" fontId="17" fillId="0" borderId="19" xfId="1" applyNumberFormat="1" applyFont="1" applyFill="1" applyBorder="1"/>
    <xf numFmtId="164" fontId="17" fillId="53" borderId="0" xfId="341" applyNumberFormat="1" applyFill="1"/>
    <xf numFmtId="164" fontId="18" fillId="0" borderId="32" xfId="0" applyNumberFormat="1" applyFont="1" applyBorder="1"/>
    <xf numFmtId="164" fontId="18" fillId="0" borderId="21" xfId="0" applyNumberFormat="1" applyFont="1" applyBorder="1"/>
    <xf numFmtId="164" fontId="18" fillId="0" borderId="33" xfId="0" applyNumberFormat="1" applyFont="1" applyBorder="1" applyAlignment="1">
      <alignment horizontal="center"/>
    </xf>
    <xf numFmtId="164" fontId="18" fillId="0" borderId="23" xfId="0" applyNumberFormat="1" applyFont="1" applyBorder="1" applyAlignment="1">
      <alignment horizontal="center"/>
    </xf>
    <xf numFmtId="164" fontId="18" fillId="0" borderId="33" xfId="0" applyNumberFormat="1" applyFont="1" applyBorder="1"/>
    <xf numFmtId="164" fontId="18" fillId="0" borderId="23" xfId="341" applyNumberFormat="1" applyFont="1" applyBorder="1"/>
    <xf numFmtId="164" fontId="18" fillId="0" borderId="72" xfId="0" applyNumberFormat="1" applyFont="1" applyBorder="1"/>
    <xf numFmtId="0" fontId="19" fillId="0" borderId="12" xfId="0" applyFont="1" applyBorder="1"/>
    <xf numFmtId="199" fontId="17" fillId="0" borderId="0" xfId="0" applyNumberFormat="1" applyFont="1"/>
    <xf numFmtId="199" fontId="19" fillId="0" borderId="0" xfId="0" applyNumberFormat="1" applyFont="1"/>
    <xf numFmtId="43" fontId="17" fillId="0" borderId="0" xfId="1" applyFont="1" applyFill="1" applyBorder="1"/>
    <xf numFmtId="200" fontId="17" fillId="0" borderId="0" xfId="0" applyNumberFormat="1" applyFont="1"/>
    <xf numFmtId="201" fontId="17" fillId="0" borderId="0" xfId="0" applyNumberFormat="1" applyFont="1"/>
    <xf numFmtId="164" fontId="29" fillId="0" borderId="10" xfId="0" applyNumberFormat="1" applyFont="1" applyBorder="1"/>
    <xf numFmtId="164" fontId="18" fillId="0" borderId="14" xfId="0" applyNumberFormat="1" applyFont="1" applyBorder="1"/>
    <xf numFmtId="164" fontId="18" fillId="0" borderId="15" xfId="0" applyNumberFormat="1" applyFont="1" applyBorder="1"/>
    <xf numFmtId="0" fontId="66" fillId="0" borderId="25" xfId="0" applyFont="1" applyBorder="1"/>
    <xf numFmtId="0" fontId="66" fillId="0" borderId="30" xfId="0" applyFont="1" applyBorder="1"/>
    <xf numFmtId="0" fontId="18" fillId="0" borderId="15" xfId="0" quotePrefix="1" applyFont="1" applyBorder="1" applyAlignment="1">
      <alignment horizontal="center"/>
    </xf>
    <xf numFmtId="0" fontId="0" fillId="0" borderId="15" xfId="0" applyBorder="1" applyAlignment="1">
      <alignment horizontal="center"/>
    </xf>
    <xf numFmtId="0" fontId="0" fillId="0" borderId="17" xfId="0" applyBorder="1" applyAlignment="1">
      <alignment horizontal="center"/>
    </xf>
    <xf numFmtId="164" fontId="18" fillId="0" borderId="30" xfId="0" applyNumberFormat="1" applyFont="1" applyBorder="1" applyAlignment="1">
      <alignment horizontal="left"/>
    </xf>
    <xf numFmtId="164" fontId="18" fillId="0" borderId="25" xfId="0" applyNumberFormat="1" applyFont="1" applyBorder="1" applyAlignment="1">
      <alignment horizontal="left"/>
    </xf>
    <xf numFmtId="164" fontId="18" fillId="0" borderId="30" xfId="0" applyNumberFormat="1" applyFont="1" applyBorder="1" applyAlignment="1">
      <alignment horizontal="center"/>
    </xf>
    <xf numFmtId="164" fontId="17" fillId="0" borderId="18" xfId="0" applyNumberFormat="1" applyFont="1" applyBorder="1" applyAlignment="1">
      <alignment horizontal="center"/>
    </xf>
    <xf numFmtId="164" fontId="17" fillId="0" borderId="23" xfId="0" applyNumberFormat="1" applyFont="1" applyBorder="1" applyAlignment="1">
      <alignment horizontal="center"/>
    </xf>
    <xf numFmtId="164" fontId="17" fillId="0" borderId="72" xfId="0" applyNumberFormat="1" applyFont="1" applyBorder="1"/>
    <xf numFmtId="164" fontId="18" fillId="0" borderId="0" xfId="341" applyNumberFormat="1" applyFont="1" applyAlignment="1">
      <alignment horizontal="center"/>
    </xf>
    <xf numFmtId="164" fontId="17" fillId="0" borderId="23" xfId="341" applyNumberFormat="1" applyBorder="1" applyAlignment="1">
      <alignment horizontal="center"/>
    </xf>
    <xf numFmtId="164" fontId="17" fillId="0" borderId="21" xfId="0" applyNumberFormat="1" applyFont="1" applyBorder="1" applyAlignment="1">
      <alignment horizontal="center"/>
    </xf>
    <xf numFmtId="164" fontId="17" fillId="0" borderId="0" xfId="341" applyNumberFormat="1" applyAlignment="1">
      <alignment horizontal="center"/>
    </xf>
    <xf numFmtId="164" fontId="17" fillId="0" borderId="19" xfId="0" applyNumberFormat="1" applyFont="1" applyBorder="1" applyAlignment="1">
      <alignment horizontal="center"/>
    </xf>
    <xf numFmtId="164" fontId="17" fillId="0" borderId="25" xfId="341" applyNumberFormat="1" applyBorder="1" applyAlignment="1">
      <alignment horizontal="center"/>
    </xf>
    <xf numFmtId="164" fontId="17" fillId="0" borderId="26" xfId="0" applyNumberFormat="1" applyFont="1" applyBorder="1" applyAlignment="1">
      <alignment horizontal="center"/>
    </xf>
    <xf numFmtId="164" fontId="17" fillId="0" borderId="25" xfId="0" applyNumberFormat="1" applyFont="1" applyBorder="1" applyAlignment="1">
      <alignment horizontal="center"/>
    </xf>
    <xf numFmtId="164" fontId="17" fillId="0" borderId="28" xfId="0" applyNumberFormat="1" applyFont="1" applyBorder="1" applyAlignment="1">
      <alignment horizontal="left"/>
    </xf>
    <xf numFmtId="164" fontId="17" fillId="0" borderId="30" xfId="0" applyNumberFormat="1" applyFont="1" applyBorder="1" applyAlignment="1">
      <alignment horizontal="left"/>
    </xf>
    <xf numFmtId="164" fontId="18" fillId="0" borderId="0" xfId="1" applyNumberFormat="1" applyFont="1" applyFill="1" applyBorder="1" applyAlignment="1">
      <alignment horizontal="right"/>
    </xf>
    <xf numFmtId="164" fontId="18" fillId="0" borderId="28" xfId="1" applyNumberFormat="1" applyFont="1" applyFill="1" applyBorder="1" applyAlignment="1">
      <alignment horizontal="right"/>
    </xf>
    <xf numFmtId="43" fontId="18" fillId="0" borderId="0" xfId="1" applyFont="1" applyFill="1"/>
    <xf numFmtId="164" fontId="17" fillId="0" borderId="23" xfId="1" applyNumberFormat="1" applyFont="1" applyFill="1" applyBorder="1" applyAlignment="1">
      <alignment horizontal="right"/>
    </xf>
    <xf numFmtId="164" fontId="17" fillId="0" borderId="21" xfId="1" applyNumberFormat="1" applyFont="1" applyFill="1" applyBorder="1" applyAlignment="1">
      <alignment horizontal="right"/>
    </xf>
    <xf numFmtId="164" fontId="17" fillId="0" borderId="0" xfId="1" applyNumberFormat="1" applyFont="1" applyFill="1" applyBorder="1" applyAlignment="1">
      <alignment horizontal="right"/>
    </xf>
    <xf numFmtId="164" fontId="17" fillId="0" borderId="28" xfId="1" applyNumberFormat="1" applyFont="1" applyFill="1" applyBorder="1" applyAlignment="1">
      <alignment horizontal="right"/>
    </xf>
    <xf numFmtId="164" fontId="17" fillId="0" borderId="33" xfId="1" applyNumberFormat="1" applyFont="1" applyFill="1" applyBorder="1" applyAlignment="1">
      <alignment horizontal="right"/>
    </xf>
    <xf numFmtId="43" fontId="17" fillId="0" borderId="0" xfId="1" applyFont="1" applyFill="1"/>
    <xf numFmtId="164" fontId="17" fillId="0" borderId="19" xfId="1" applyNumberFormat="1" applyFont="1" applyFill="1" applyBorder="1" applyAlignment="1">
      <alignment horizontal="right"/>
    </xf>
    <xf numFmtId="164" fontId="17" fillId="0" borderId="66" xfId="0" applyNumberFormat="1" applyFont="1" applyBorder="1"/>
    <xf numFmtId="164" fontId="17" fillId="0" borderId="67" xfId="1" applyNumberFormat="1" applyFont="1" applyFill="1" applyBorder="1" applyAlignment="1">
      <alignment horizontal="right"/>
    </xf>
    <xf numFmtId="164" fontId="17" fillId="0" borderId="68" xfId="1" applyNumberFormat="1" applyFont="1" applyFill="1" applyBorder="1" applyAlignment="1">
      <alignment horizontal="right"/>
    </xf>
    <xf numFmtId="164" fontId="17" fillId="0" borderId="66" xfId="1" applyNumberFormat="1" applyFont="1" applyFill="1" applyBorder="1" applyAlignment="1">
      <alignment horizontal="right"/>
    </xf>
    <xf numFmtId="164" fontId="17" fillId="0" borderId="67" xfId="1" applyNumberFormat="1" applyFont="1" applyFill="1" applyBorder="1" applyAlignment="1">
      <alignment horizontal="left"/>
    </xf>
    <xf numFmtId="164" fontId="17" fillId="0" borderId="73" xfId="0" applyNumberFormat="1" applyFont="1" applyBorder="1"/>
    <xf numFmtId="164" fontId="17" fillId="0" borderId="27" xfId="1" applyNumberFormat="1" applyFont="1" applyFill="1" applyBorder="1" applyAlignment="1">
      <alignment horizontal="right"/>
    </xf>
    <xf numFmtId="164" fontId="17" fillId="0" borderId="25" xfId="1" applyNumberFormat="1" applyFont="1" applyFill="1" applyBorder="1" applyAlignment="1">
      <alignment horizontal="right"/>
    </xf>
    <xf numFmtId="164" fontId="17" fillId="0" borderId="26" xfId="1" applyNumberFormat="1" applyFont="1" applyFill="1" applyBorder="1" applyAlignment="1">
      <alignment horizontal="right"/>
    </xf>
    <xf numFmtId="164" fontId="17" fillId="0" borderId="30" xfId="1" applyNumberFormat="1" applyFont="1" applyFill="1" applyBorder="1" applyAlignment="1">
      <alignment horizontal="right"/>
    </xf>
    <xf numFmtId="171" fontId="17" fillId="0" borderId="30" xfId="1" applyNumberFormat="1" applyFont="1" applyFill="1" applyBorder="1" applyAlignment="1">
      <alignment horizontal="right"/>
    </xf>
    <xf numFmtId="171" fontId="17" fillId="0" borderId="26" xfId="1" applyNumberFormat="1" applyFont="1" applyFill="1" applyBorder="1" applyAlignment="1">
      <alignment horizontal="right"/>
    </xf>
    <xf numFmtId="164" fontId="18" fillId="0" borderId="18" xfId="0" applyNumberFormat="1" applyFont="1" applyBorder="1" applyAlignment="1">
      <alignment horizontal="center"/>
    </xf>
    <xf numFmtId="164" fontId="17" fillId="0" borderId="74" xfId="0" applyNumberFormat="1" applyFont="1" applyBorder="1"/>
    <xf numFmtId="164" fontId="17" fillId="0" borderId="75" xfId="0" applyNumberFormat="1" applyFont="1" applyBorder="1"/>
    <xf numFmtId="164" fontId="17" fillId="0" borderId="10" xfId="1" applyNumberFormat="1" applyFont="1" applyFill="1" applyBorder="1" applyAlignment="1">
      <alignment horizontal="right"/>
    </xf>
    <xf numFmtId="164" fontId="17" fillId="0" borderId="75" xfId="1" applyNumberFormat="1" applyFont="1" applyFill="1" applyBorder="1" applyAlignment="1">
      <alignment horizontal="right"/>
    </xf>
    <xf numFmtId="164" fontId="17" fillId="0" borderId="43" xfId="1" applyNumberFormat="1" applyFont="1" applyFill="1" applyBorder="1" applyAlignment="1">
      <alignment horizontal="right"/>
    </xf>
    <xf numFmtId="164" fontId="19" fillId="0" borderId="0" xfId="1" applyNumberFormat="1" applyFont="1" applyFill="1" applyBorder="1" applyAlignment="1">
      <alignment horizontal="left"/>
    </xf>
    <xf numFmtId="164" fontId="17" fillId="0" borderId="11" xfId="0" applyNumberFormat="1" applyFont="1" applyBorder="1" applyAlignment="1">
      <alignment horizontal="right"/>
    </xf>
    <xf numFmtId="0" fontId="18" fillId="0" borderId="25" xfId="0" applyFont="1" applyBorder="1" applyAlignment="1">
      <alignment horizontal="center"/>
    </xf>
    <xf numFmtId="0" fontId="18" fillId="0" borderId="30" xfId="0" applyFont="1" applyBorder="1" applyAlignment="1">
      <alignment horizontal="center"/>
    </xf>
    <xf numFmtId="0" fontId="18" fillId="0" borderId="45" xfId="0" applyFont="1" applyBorder="1" applyAlignment="1">
      <alignment horizontal="center"/>
    </xf>
    <xf numFmtId="164" fontId="17" fillId="0" borderId="28" xfId="0" applyNumberFormat="1" applyFont="1" applyBorder="1" applyAlignment="1">
      <alignment horizontal="left" indent="1"/>
    </xf>
    <xf numFmtId="164" fontId="17" fillId="0" borderId="33" xfId="0" applyNumberFormat="1" applyFont="1" applyBorder="1" applyAlignment="1">
      <alignment horizontal="left" indent="1"/>
    </xf>
    <xf numFmtId="164" fontId="17" fillId="0" borderId="23" xfId="0" applyNumberFormat="1" applyFont="1" applyBorder="1" applyAlignment="1">
      <alignment horizontal="left" indent="1"/>
    </xf>
    <xf numFmtId="164" fontId="17" fillId="0" borderId="30" xfId="0" applyNumberFormat="1" applyFont="1" applyBorder="1" applyAlignment="1">
      <alignment horizontal="left" indent="1"/>
    </xf>
    <xf numFmtId="164" fontId="17" fillId="0" borderId="25" xfId="0" applyNumberFormat="1" applyFont="1" applyBorder="1" applyAlignment="1">
      <alignment horizontal="left" indent="1"/>
    </xf>
    <xf numFmtId="164" fontId="18" fillId="0" borderId="28" xfId="0" applyNumberFormat="1" applyFont="1" applyBorder="1" applyAlignment="1">
      <alignment horizontal="left"/>
    </xf>
    <xf numFmtId="164" fontId="17" fillId="0" borderId="66" xfId="0" applyNumberFormat="1" applyFont="1" applyBorder="1" applyAlignment="1">
      <alignment horizontal="left" indent="1"/>
    </xf>
    <xf numFmtId="196" fontId="17" fillId="0" borderId="67" xfId="1" applyNumberFormat="1" applyFont="1" applyFill="1" applyBorder="1" applyAlignment="1">
      <alignment horizontal="right"/>
    </xf>
    <xf numFmtId="164" fontId="17" fillId="0" borderId="67" xfId="0" applyNumberFormat="1" applyFont="1" applyBorder="1"/>
    <xf numFmtId="164" fontId="17" fillId="0" borderId="29" xfId="1" applyNumberFormat="1" applyFont="1" applyFill="1" applyBorder="1" applyAlignment="1">
      <alignment horizontal="right"/>
    </xf>
    <xf numFmtId="0" fontId="18" fillId="0" borderId="25" xfId="0" quotePrefix="1" applyFont="1" applyBorder="1" applyAlignment="1">
      <alignment horizontal="center"/>
    </xf>
    <xf numFmtId="0" fontId="18" fillId="0" borderId="25" xfId="0" applyFont="1" applyBorder="1" applyAlignment="1">
      <alignment horizontal="center"/>
    </xf>
    <xf numFmtId="164" fontId="18" fillId="0" borderId="25" xfId="1" applyNumberFormat="1" applyFont="1" applyFill="1" applyBorder="1" applyAlignment="1">
      <alignment horizontal="right"/>
    </xf>
    <xf numFmtId="164" fontId="17" fillId="0" borderId="68" xfId="0" applyNumberFormat="1" applyFont="1" applyBorder="1"/>
    <xf numFmtId="164" fontId="22" fillId="0" borderId="0" xfId="1" applyNumberFormat="1" applyFont="1" applyFill="1" applyBorder="1" applyAlignment="1">
      <alignment horizontal="right"/>
    </xf>
    <xf numFmtId="164" fontId="22" fillId="0" borderId="28" xfId="1" applyNumberFormat="1" applyFont="1" applyFill="1" applyBorder="1" applyAlignment="1">
      <alignment horizontal="right"/>
    </xf>
    <xf numFmtId="164" fontId="22" fillId="0" borderId="10" xfId="1" applyNumberFormat="1" applyFont="1" applyFill="1" applyBorder="1" applyAlignment="1">
      <alignment horizontal="right"/>
    </xf>
    <xf numFmtId="164" fontId="22" fillId="0" borderId="75" xfId="1" applyNumberFormat="1" applyFont="1" applyFill="1" applyBorder="1" applyAlignment="1">
      <alignment horizontal="right"/>
    </xf>
    <xf numFmtId="164" fontId="22" fillId="0" borderId="12" xfId="1" applyNumberFormat="1" applyFont="1" applyFill="1" applyBorder="1" applyAlignment="1">
      <alignment horizontal="right"/>
    </xf>
    <xf numFmtId="164" fontId="17" fillId="0" borderId="12" xfId="1" applyNumberFormat="1" applyFont="1" applyFill="1" applyBorder="1" applyAlignment="1">
      <alignment horizontal="right"/>
    </xf>
    <xf numFmtId="164" fontId="18" fillId="0" borderId="25" xfId="0" applyNumberFormat="1" applyFont="1" applyBorder="1" applyAlignment="1">
      <alignment horizontal="center"/>
    </xf>
    <xf numFmtId="164" fontId="18" fillId="0" borderId="25" xfId="0" quotePrefix="1" applyNumberFormat="1" applyFont="1" applyBorder="1" applyAlignment="1">
      <alignment horizontal="center"/>
    </xf>
    <xf numFmtId="164" fontId="18" fillId="0" borderId="45" xfId="0" applyNumberFormat="1" applyFont="1" applyBorder="1" applyAlignment="1">
      <alignment horizontal="center"/>
    </xf>
    <xf numFmtId="164" fontId="19" fillId="0" borderId="28" xfId="0" applyNumberFormat="1" applyFont="1" applyBorder="1"/>
    <xf numFmtId="164" fontId="21" fillId="0" borderId="12" xfId="0" applyNumberFormat="1" applyFont="1" applyBorder="1" applyAlignment="1">
      <alignment horizontal="right"/>
    </xf>
    <xf numFmtId="164" fontId="18" fillId="0" borderId="76" xfId="0" applyNumberFormat="1" applyFont="1" applyBorder="1"/>
    <xf numFmtId="164" fontId="18" fillId="0" borderId="12" xfId="0" quotePrefix="1" applyNumberFormat="1" applyFont="1" applyBorder="1" applyAlignment="1">
      <alignment horizontal="center"/>
    </xf>
    <xf numFmtId="164" fontId="18" fillId="0" borderId="12" xfId="0" applyNumberFormat="1" applyFont="1" applyBorder="1" applyAlignment="1">
      <alignment horizontal="center"/>
    </xf>
    <xf numFmtId="164" fontId="18" fillId="0" borderId="12" xfId="0" applyNumberFormat="1" applyFont="1" applyBorder="1" applyAlignment="1">
      <alignment horizontal="center"/>
    </xf>
    <xf numFmtId="164" fontId="18" fillId="0" borderId="76" xfId="0" applyNumberFormat="1" applyFont="1" applyBorder="1" applyAlignment="1">
      <alignment horizontal="center"/>
    </xf>
    <xf numFmtId="164" fontId="18" fillId="0" borderId="50" xfId="0" applyNumberFormat="1" applyFont="1" applyBorder="1" applyAlignment="1">
      <alignment horizontal="center"/>
    </xf>
    <xf numFmtId="164" fontId="18" fillId="0" borderId="72" xfId="0" applyNumberFormat="1" applyFont="1" applyBorder="1" applyAlignment="1">
      <alignment horizontal="right"/>
    </xf>
    <xf numFmtId="164" fontId="21" fillId="0" borderId="25" xfId="0" applyNumberFormat="1" applyFont="1" applyBorder="1" applyAlignment="1">
      <alignment horizontal="right"/>
    </xf>
    <xf numFmtId="164" fontId="18" fillId="0" borderId="25" xfId="1" applyNumberFormat="1" applyFont="1" applyFill="1" applyBorder="1" applyAlignment="1">
      <alignment horizontal="center"/>
    </xf>
    <xf numFmtId="164" fontId="18" fillId="0" borderId="18" xfId="1" applyNumberFormat="1" applyFont="1" applyFill="1" applyBorder="1" applyAlignment="1">
      <alignment horizontal="center"/>
    </xf>
    <xf numFmtId="164" fontId="17" fillId="0" borderId="23" xfId="1" applyNumberFormat="1" applyFont="1" applyFill="1" applyBorder="1" applyAlignment="1">
      <alignment horizontal="center"/>
    </xf>
    <xf numFmtId="164" fontId="17" fillId="0" borderId="21" xfId="1" applyNumberFormat="1" applyFont="1" applyFill="1" applyBorder="1" applyAlignment="1">
      <alignment horizontal="center"/>
    </xf>
    <xf numFmtId="164" fontId="17" fillId="0" borderId="33" xfId="1" applyNumberFormat="1" applyFont="1" applyFill="1" applyBorder="1" applyAlignment="1">
      <alignment horizontal="center"/>
    </xf>
    <xf numFmtId="164" fontId="17" fillId="0" borderId="18" xfId="1" applyNumberFormat="1" applyFont="1" applyFill="1" applyBorder="1" applyAlignment="1">
      <alignment horizontal="center"/>
    </xf>
    <xf numFmtId="164" fontId="17" fillId="0" borderId="20" xfId="1" applyNumberFormat="1" applyFont="1" applyFill="1" applyBorder="1" applyAlignment="1">
      <alignment horizontal="center"/>
    </xf>
    <xf numFmtId="164" fontId="17" fillId="0" borderId="20" xfId="1" applyNumberFormat="1" applyFont="1" applyFill="1" applyBorder="1" applyAlignment="1">
      <alignment horizontal="right"/>
    </xf>
    <xf numFmtId="164" fontId="17" fillId="0" borderId="35" xfId="1" applyNumberFormat="1" applyFont="1" applyFill="1" applyBorder="1" applyAlignment="1">
      <alignment horizontal="center"/>
    </xf>
    <xf numFmtId="164" fontId="17" fillId="0" borderId="35" xfId="1" applyNumberFormat="1" applyFont="1" applyFill="1" applyBorder="1" applyAlignment="1">
      <alignment horizontal="right"/>
    </xf>
    <xf numFmtId="164" fontId="17" fillId="0" borderId="25" xfId="1" applyNumberFormat="1" applyFont="1" applyFill="1" applyBorder="1" applyAlignment="1">
      <alignment horizontal="center"/>
    </xf>
    <xf numFmtId="164" fontId="17" fillId="0" borderId="26" xfId="1" applyNumberFormat="1" applyFont="1" applyFill="1" applyBorder="1" applyAlignment="1">
      <alignment horizontal="center"/>
    </xf>
    <xf numFmtId="164" fontId="17" fillId="0" borderId="30" xfId="1" applyNumberFormat="1" applyFont="1" applyFill="1" applyBorder="1" applyAlignment="1">
      <alignment horizontal="center"/>
    </xf>
    <xf numFmtId="202" fontId="17" fillId="0" borderId="0" xfId="34" applyNumberFormat="1" applyFont="1" applyFill="1" applyBorder="1" applyAlignment="1">
      <alignment horizontal="right"/>
    </xf>
    <xf numFmtId="164" fontId="17" fillId="0" borderId="18" xfId="0" quotePrefix="1" applyNumberFormat="1" applyFont="1" applyBorder="1"/>
    <xf numFmtId="164" fontId="18" fillId="0" borderId="67" xfId="0" applyNumberFormat="1" applyFont="1" applyBorder="1"/>
    <xf numFmtId="164" fontId="17" fillId="0" borderId="67" xfId="1" applyNumberFormat="1" applyFont="1" applyFill="1" applyBorder="1" applyAlignment="1">
      <alignment horizontal="center"/>
    </xf>
    <xf numFmtId="164" fontId="17" fillId="0" borderId="27" xfId="1" applyNumberFormat="1" applyFont="1" applyFill="1" applyBorder="1" applyAlignment="1">
      <alignment horizontal="center"/>
    </xf>
    <xf numFmtId="164" fontId="17" fillId="0" borderId="66" xfId="1" applyNumberFormat="1" applyFont="1" applyFill="1" applyBorder="1" applyAlignment="1">
      <alignment horizontal="center"/>
    </xf>
    <xf numFmtId="164" fontId="18" fillId="0" borderId="68" xfId="1" applyNumberFormat="1" applyFont="1" applyFill="1" applyBorder="1" applyAlignment="1">
      <alignment horizontal="center"/>
    </xf>
    <xf numFmtId="164" fontId="18" fillId="0" borderId="29" xfId="1" applyNumberFormat="1" applyFont="1" applyFill="1" applyBorder="1" applyAlignment="1">
      <alignment horizontal="center"/>
    </xf>
    <xf numFmtId="164" fontId="17" fillId="0" borderId="45" xfId="1" applyNumberFormat="1" applyFont="1" applyFill="1" applyBorder="1" applyAlignment="1">
      <alignment horizontal="center"/>
    </xf>
    <xf numFmtId="203" fontId="17" fillId="0" borderId="0" xfId="0" applyNumberFormat="1" applyFont="1"/>
    <xf numFmtId="164" fontId="18" fillId="0" borderId="67" xfId="1" applyNumberFormat="1" applyFont="1" applyFill="1" applyBorder="1" applyAlignment="1">
      <alignment horizontal="center"/>
    </xf>
    <xf numFmtId="164" fontId="18" fillId="0" borderId="27" xfId="1" applyNumberFormat="1" applyFont="1" applyFill="1" applyBorder="1" applyAlignment="1">
      <alignment horizontal="center"/>
    </xf>
    <xf numFmtId="164" fontId="18" fillId="0" borderId="67" xfId="1" applyNumberFormat="1" applyFont="1" applyFill="1" applyBorder="1" applyAlignment="1">
      <alignment horizontal="right"/>
    </xf>
    <xf numFmtId="164" fontId="18" fillId="0" borderId="66" xfId="1" applyNumberFormat="1" applyFont="1" applyFill="1" applyBorder="1" applyAlignment="1">
      <alignment horizontal="center"/>
    </xf>
    <xf numFmtId="164" fontId="19" fillId="0" borderId="10" xfId="0" applyNumberFormat="1" applyFont="1" applyBorder="1" applyAlignment="1">
      <alignment horizontal="right"/>
    </xf>
    <xf numFmtId="164" fontId="18" fillId="0" borderId="38" xfId="1" applyNumberFormat="1" applyFont="1" applyFill="1" applyBorder="1" applyAlignment="1">
      <alignment horizontal="center"/>
    </xf>
    <xf numFmtId="164" fontId="19" fillId="0" borderId="12" xfId="0" quotePrefix="1" applyNumberFormat="1" applyFont="1" applyBorder="1" applyAlignment="1">
      <alignment horizontal="left"/>
    </xf>
    <xf numFmtId="164" fontId="19" fillId="0" borderId="0" xfId="0" quotePrefix="1" applyNumberFormat="1" applyFont="1"/>
    <xf numFmtId="164" fontId="19" fillId="0" borderId="0" xfId="0" quotePrefix="1" applyNumberFormat="1" applyFont="1" applyAlignment="1">
      <alignment horizontal="right"/>
    </xf>
    <xf numFmtId="204" fontId="17" fillId="0" borderId="0" xfId="1" applyNumberFormat="1" applyFont="1" applyFill="1"/>
    <xf numFmtId="165" fontId="18" fillId="0" borderId="0" xfId="0" applyNumberFormat="1" applyFont="1"/>
    <xf numFmtId="205" fontId="17" fillId="0" borderId="0" xfId="0" applyNumberFormat="1" applyFont="1"/>
    <xf numFmtId="206" fontId="17" fillId="0" borderId="0" xfId="0" applyNumberFormat="1" applyFont="1"/>
    <xf numFmtId="207" fontId="17" fillId="0" borderId="0" xfId="1" applyNumberFormat="1" applyFont="1" applyFill="1"/>
    <xf numFmtId="204" fontId="17" fillId="0" borderId="0" xfId="0" applyNumberFormat="1" applyFont="1"/>
    <xf numFmtId="165" fontId="17" fillId="0" borderId="0" xfId="34" applyFont="1" applyFill="1" applyBorder="1"/>
    <xf numFmtId="164" fontId="17" fillId="0" borderId="0" xfId="34" applyNumberFormat="1" applyFont="1" applyFill="1" applyBorder="1"/>
    <xf numFmtId="208" fontId="17" fillId="0" borderId="0" xfId="0" applyNumberFormat="1" applyFont="1"/>
    <xf numFmtId="0" fontId="17" fillId="0" borderId="0" xfId="0" applyFont="1" applyAlignment="1">
      <alignment horizontal="right"/>
    </xf>
    <xf numFmtId="208" fontId="17" fillId="0" borderId="0" xfId="34" applyNumberFormat="1" applyFont="1" applyFill="1" applyBorder="1"/>
    <xf numFmtId="165" fontId="17" fillId="0" borderId="0" xfId="34" applyFont="1" applyFill="1"/>
    <xf numFmtId="0" fontId="17" fillId="0" borderId="34" xfId="0" applyFont="1" applyBorder="1"/>
    <xf numFmtId="0" fontId="18" fillId="0" borderId="12" xfId="0" applyFont="1" applyBorder="1"/>
    <xf numFmtId="0" fontId="18" fillId="0" borderId="12" xfId="0" applyFont="1" applyBorder="1" applyAlignment="1">
      <alignment horizontal="right"/>
    </xf>
    <xf numFmtId="0" fontId="18" fillId="0" borderId="15" xfId="0" applyFont="1" applyBorder="1" applyAlignment="1">
      <alignment horizontal="center"/>
    </xf>
    <xf numFmtId="0" fontId="18" fillId="0" borderId="77" xfId="0" applyFont="1" applyBorder="1" applyAlignment="1">
      <alignment horizontal="center"/>
    </xf>
    <xf numFmtId="0" fontId="18" fillId="0" borderId="17" xfId="0" applyFont="1" applyBorder="1" applyAlignment="1">
      <alignment horizontal="center"/>
    </xf>
    <xf numFmtId="0" fontId="18" fillId="0" borderId="22" xfId="0" applyFont="1" applyBorder="1" applyAlignment="1">
      <alignment horizontal="right"/>
    </xf>
    <xf numFmtId="0" fontId="18" fillId="0" borderId="24" xfId="0" applyFont="1" applyBorder="1"/>
    <xf numFmtId="0" fontId="18" fillId="0" borderId="35" xfId="278" applyFont="1" applyBorder="1" applyAlignment="1">
      <alignment horizontal="right"/>
    </xf>
    <xf numFmtId="0" fontId="18" fillId="0" borderId="35" xfId="0" applyFont="1" applyBorder="1" applyAlignment="1">
      <alignment horizontal="center"/>
    </xf>
    <xf numFmtId="0" fontId="18" fillId="0" borderId="31" xfId="0" applyFont="1" applyBorder="1" applyAlignment="1">
      <alignment horizontal="center"/>
    </xf>
    <xf numFmtId="0" fontId="17" fillId="0" borderId="28" xfId="0" applyFont="1" applyBorder="1" applyAlignment="1">
      <alignment horizontal="center"/>
    </xf>
    <xf numFmtId="0" fontId="17" fillId="0" borderId="27" xfId="0" applyFont="1" applyBorder="1" applyAlignment="1">
      <alignment horizontal="center"/>
    </xf>
    <xf numFmtId="0" fontId="17" fillId="0" borderId="29" xfId="0" applyFont="1" applyBorder="1" applyAlignment="1">
      <alignment horizontal="center"/>
    </xf>
    <xf numFmtId="0" fontId="19" fillId="0" borderId="0" xfId="0" applyFont="1" applyAlignment="1">
      <alignment horizontal="right"/>
    </xf>
    <xf numFmtId="0" fontId="17" fillId="0" borderId="18" xfId="0" applyFont="1" applyBorder="1" applyAlignment="1">
      <alignment horizontal="right"/>
    </xf>
    <xf numFmtId="209" fontId="17" fillId="0" borderId="0" xfId="0" applyNumberFormat="1" applyFont="1" applyAlignment="1">
      <alignment horizontal="right"/>
    </xf>
    <xf numFmtId="164" fontId="22" fillId="0" borderId="28" xfId="34" applyNumberFormat="1" applyFont="1" applyFill="1" applyBorder="1" applyAlignment="1">
      <alignment horizontal="right"/>
    </xf>
    <xf numFmtId="164" fontId="22" fillId="0" borderId="27" xfId="34" applyNumberFormat="1" applyFont="1" applyFill="1" applyBorder="1" applyAlignment="1">
      <alignment horizontal="right"/>
    </xf>
    <xf numFmtId="164" fontId="17" fillId="0" borderId="28" xfId="34" applyNumberFormat="1" applyFont="1" applyFill="1" applyBorder="1" applyAlignment="1">
      <alignment horizontal="right"/>
    </xf>
    <xf numFmtId="164" fontId="22" fillId="0" borderId="29" xfId="34" applyNumberFormat="1" applyFont="1" applyFill="1" applyBorder="1" applyAlignment="1">
      <alignment horizontal="right"/>
    </xf>
    <xf numFmtId="164" fontId="17" fillId="0" borderId="29" xfId="34" applyNumberFormat="1" applyFont="1" applyFill="1" applyBorder="1" applyAlignment="1">
      <alignment horizontal="right"/>
    </xf>
    <xf numFmtId="0" fontId="18" fillId="0" borderId="34" xfId="0" applyFont="1" applyBorder="1"/>
    <xf numFmtId="164" fontId="25" fillId="0" borderId="28" xfId="34" applyNumberFormat="1" applyFont="1" applyFill="1" applyBorder="1" applyAlignment="1">
      <alignment horizontal="right"/>
    </xf>
    <xf numFmtId="164" fontId="25" fillId="0" borderId="27" xfId="34" applyNumberFormat="1" applyFont="1" applyFill="1" applyBorder="1" applyAlignment="1">
      <alignment horizontal="right"/>
    </xf>
    <xf numFmtId="164" fontId="25" fillId="0" borderId="29" xfId="34" applyNumberFormat="1" applyFont="1" applyFill="1" applyBorder="1" applyAlignment="1">
      <alignment horizontal="right"/>
    </xf>
    <xf numFmtId="0" fontId="18" fillId="0" borderId="18" xfId="0" applyFont="1" applyBorder="1" applyAlignment="1">
      <alignment horizontal="right"/>
    </xf>
    <xf numFmtId="0" fontId="17" fillId="0" borderId="0" xfId="0" quotePrefix="1" applyFont="1" applyAlignment="1">
      <alignment horizontal="right"/>
    </xf>
    <xf numFmtId="164" fontId="18" fillId="0" borderId="75" xfId="34" applyNumberFormat="1" applyFont="1" applyFill="1" applyBorder="1" applyAlignment="1">
      <alignment horizontal="right"/>
    </xf>
    <xf numFmtId="164" fontId="18" fillId="0" borderId="64" xfId="34" applyNumberFormat="1" applyFont="1" applyFill="1" applyBorder="1" applyAlignment="1">
      <alignment horizontal="right"/>
    </xf>
    <xf numFmtId="164" fontId="18" fillId="0" borderId="65" xfId="34" applyNumberFormat="1" applyFont="1" applyFill="1" applyBorder="1" applyAlignment="1">
      <alignment horizontal="right"/>
    </xf>
    <xf numFmtId="165" fontId="17" fillId="0" borderId="0" xfId="0" applyNumberFormat="1" applyFont="1" applyAlignment="1">
      <alignment horizontal="right"/>
    </xf>
    <xf numFmtId="164" fontId="17" fillId="0" borderId="29" xfId="0" applyNumberFormat="1" applyFont="1" applyBorder="1"/>
    <xf numFmtId="0" fontId="17" fillId="0" borderId="0" xfId="0" applyFont="1" applyAlignment="1">
      <alignment horizontal="left" indent="1"/>
    </xf>
    <xf numFmtId="0" fontId="19" fillId="0" borderId="19" xfId="0" applyFont="1" applyBorder="1" applyAlignment="1">
      <alignment horizontal="right"/>
    </xf>
    <xf numFmtId="164" fontId="17" fillId="0" borderId="19" xfId="34" applyNumberFormat="1" applyFont="1" applyFill="1" applyBorder="1" applyAlignment="1">
      <alignment horizontal="right"/>
    </xf>
    <xf numFmtId="0" fontId="17" fillId="0" borderId="42" xfId="0" applyFont="1" applyBorder="1"/>
    <xf numFmtId="0" fontId="17" fillId="0" borderId="10" xfId="0" applyFont="1" applyBorder="1" applyAlignment="1">
      <alignment horizontal="right"/>
    </xf>
    <xf numFmtId="164" fontId="17" fillId="0" borderId="75" xfId="34" applyNumberFormat="1" applyFont="1" applyFill="1" applyBorder="1" applyAlignment="1">
      <alignment horizontal="right"/>
    </xf>
    <xf numFmtId="164" fontId="17" fillId="0" borderId="64" xfId="34" applyNumberFormat="1" applyFont="1" applyFill="1" applyBorder="1" applyAlignment="1">
      <alignment horizontal="right"/>
    </xf>
    <xf numFmtId="164" fontId="17" fillId="0" borderId="65" xfId="34" applyNumberFormat="1" applyFont="1" applyFill="1" applyBorder="1" applyAlignment="1">
      <alignment horizontal="right"/>
    </xf>
    <xf numFmtId="164" fontId="17" fillId="0" borderId="48" xfId="34" applyNumberFormat="1" applyFont="1" applyFill="1" applyBorder="1" applyAlignment="1">
      <alignment horizontal="right"/>
    </xf>
    <xf numFmtId="0" fontId="22" fillId="0" borderId="11" xfId="0" applyFont="1" applyBorder="1"/>
    <xf numFmtId="0" fontId="67" fillId="0" borderId="12" xfId="0" applyFont="1" applyBorder="1"/>
    <xf numFmtId="0" fontId="17" fillId="0" borderId="12" xfId="0" applyFont="1" applyBorder="1"/>
    <xf numFmtId="0" fontId="17" fillId="0" borderId="12" xfId="0" applyFont="1" applyBorder="1" applyAlignment="1">
      <alignment horizontal="right"/>
    </xf>
    <xf numFmtId="164" fontId="17" fillId="0" borderId="76" xfId="34" applyNumberFormat="1" applyFont="1" applyFill="1" applyBorder="1" applyAlignment="1">
      <alignment horizontal="right"/>
    </xf>
    <xf numFmtId="164" fontId="17" fillId="0" borderId="49" xfId="34" applyNumberFormat="1" applyFont="1" applyFill="1" applyBorder="1" applyAlignment="1">
      <alignment horizontal="right"/>
    </xf>
    <xf numFmtId="164" fontId="17" fillId="0" borderId="44" xfId="34" applyNumberFormat="1" applyFont="1" applyFill="1" applyBorder="1" applyAlignment="1">
      <alignment horizontal="right"/>
    </xf>
    <xf numFmtId="0" fontId="68" fillId="0" borderId="0" xfId="0" applyFont="1"/>
    <xf numFmtId="0" fontId="67" fillId="0" borderId="18" xfId="0" applyFont="1" applyBorder="1"/>
    <xf numFmtId="0" fontId="67" fillId="0" borderId="0" xfId="0" applyFont="1"/>
    <xf numFmtId="164" fontId="17" fillId="0" borderId="28" xfId="278" applyNumberFormat="1" applyFont="1" applyBorder="1"/>
    <xf numFmtId="0" fontId="19" fillId="0" borderId="0" xfId="0" applyFont="1" applyAlignment="1">
      <alignment horizontal="left"/>
    </xf>
    <xf numFmtId="0" fontId="19" fillId="0" borderId="0" xfId="0" quotePrefix="1" applyFont="1" applyAlignment="1">
      <alignment horizontal="left"/>
    </xf>
    <xf numFmtId="0" fontId="19" fillId="0" borderId="0" xfId="0" quotePrefix="1" applyFont="1" applyAlignment="1">
      <alignment vertical="top"/>
    </xf>
    <xf numFmtId="0" fontId="69" fillId="0" borderId="0" xfId="0" applyFont="1" applyAlignment="1">
      <alignment vertical="top"/>
    </xf>
    <xf numFmtId="171" fontId="17" fillId="0" borderId="0" xfId="34" applyNumberFormat="1" applyFont="1" applyFill="1" applyBorder="1" applyAlignment="1">
      <alignment horizontal="right"/>
    </xf>
    <xf numFmtId="210" fontId="17" fillId="0" borderId="0" xfId="34" applyNumberFormat="1" applyFont="1" applyFill="1" applyBorder="1" applyAlignment="1">
      <alignment horizontal="right"/>
    </xf>
    <xf numFmtId="0" fontId="17" fillId="0" borderId="0" xfId="0" applyFont="1" applyFill="1" applyBorder="1"/>
    <xf numFmtId="0" fontId="17" fillId="0" borderId="0" xfId="0" applyFont="1" applyFill="1" applyBorder="1" applyAlignment="1">
      <alignment horizontal="right"/>
    </xf>
    <xf numFmtId="164" fontId="17" fillId="0" borderId="0" xfId="0" applyNumberFormat="1" applyFont="1" applyFill="1" applyBorder="1"/>
    <xf numFmtId="165" fontId="17" fillId="0" borderId="0" xfId="0" applyNumberFormat="1" applyFont="1" applyFill="1" applyBorder="1"/>
    <xf numFmtId="0" fontId="20" fillId="0" borderId="0" xfId="0" applyFont="1"/>
    <xf numFmtId="0" fontId="29" fillId="0" borderId="10" xfId="0" applyFont="1" applyBorder="1"/>
    <xf numFmtId="0" fontId="20" fillId="0" borderId="10" xfId="0" applyFont="1" applyBorder="1"/>
    <xf numFmtId="17" fontId="18" fillId="0" borderId="14" xfId="0" quotePrefix="1" applyNumberFormat="1" applyFont="1" applyBorder="1" applyAlignment="1">
      <alignment horizontal="center"/>
    </xf>
    <xf numFmtId="0" fontId="20" fillId="0" borderId="18" xfId="0" applyFont="1" applyBorder="1"/>
    <xf numFmtId="0" fontId="18" fillId="0" borderId="20" xfId="278" applyFont="1" applyBorder="1" applyAlignment="1">
      <alignment horizontal="right"/>
    </xf>
    <xf numFmtId="0" fontId="18" fillId="0" borderId="21" xfId="0" applyFont="1" applyBorder="1" applyAlignment="1">
      <alignment horizontal="right"/>
    </xf>
    <xf numFmtId="0" fontId="18" fillId="0" borderId="0" xfId="0" applyFont="1" applyAlignment="1">
      <alignment horizontal="center"/>
    </xf>
    <xf numFmtId="165" fontId="62" fillId="0" borderId="18" xfId="0" applyNumberFormat="1" applyFont="1" applyBorder="1"/>
    <xf numFmtId="164" fontId="20" fillId="0" borderId="0" xfId="0" applyNumberFormat="1" applyFont="1"/>
    <xf numFmtId="165" fontId="20" fillId="0" borderId="18" xfId="0" applyNumberFormat="1" applyFont="1" applyBorder="1"/>
    <xf numFmtId="164" fontId="17" fillId="0" borderId="27" xfId="278" applyNumberFormat="1" applyFont="1" applyBorder="1" applyAlignment="1">
      <alignment horizontal="right"/>
    </xf>
    <xf numFmtId="165" fontId="20" fillId="0" borderId="0" xfId="0" applyNumberFormat="1" applyFont="1"/>
    <xf numFmtId="0" fontId="68" fillId="0" borderId="18" xfId="0" applyFont="1" applyBorder="1"/>
    <xf numFmtId="0" fontId="68" fillId="0" borderId="42" xfId="0" applyFont="1" applyBorder="1"/>
    <xf numFmtId="0" fontId="17" fillId="0" borderId="10" xfId="0" quotePrefix="1" applyFont="1" applyBorder="1"/>
    <xf numFmtId="0" fontId="17" fillId="0" borderId="10" xfId="0" quotePrefix="1" applyFont="1" applyBorder="1" applyAlignment="1">
      <alignment horizontal="right"/>
    </xf>
    <xf numFmtId="164" fontId="17" fillId="0" borderId="64" xfId="0" applyNumberFormat="1" applyFont="1" applyBorder="1" applyAlignment="1">
      <alignment horizontal="right"/>
    </xf>
    <xf numFmtId="164" fontId="17" fillId="0" borderId="64" xfId="1" applyNumberFormat="1" applyFont="1" applyFill="1" applyBorder="1" applyAlignment="1">
      <alignment horizontal="right"/>
    </xf>
    <xf numFmtId="164" fontId="17" fillId="0" borderId="65" xfId="1" applyNumberFormat="1" applyFont="1" applyFill="1" applyBorder="1" applyAlignment="1">
      <alignment horizontal="right"/>
    </xf>
    <xf numFmtId="0" fontId="22" fillId="0" borderId="42" xfId="0" applyFont="1" applyBorder="1"/>
    <xf numFmtId="198" fontId="17" fillId="0" borderId="64" xfId="0" applyNumberFormat="1" applyFont="1" applyBorder="1" applyAlignment="1">
      <alignment horizontal="right"/>
    </xf>
    <xf numFmtId="165" fontId="62" fillId="0" borderId="0" xfId="0" applyNumberFormat="1" applyFont="1"/>
    <xf numFmtId="0" fontId="62" fillId="0" borderId="0" xfId="0" applyFont="1"/>
    <xf numFmtId="164" fontId="62" fillId="0" borderId="0" xfId="0" applyNumberFormat="1" applyFont="1"/>
    <xf numFmtId="0" fontId="70" fillId="0" borderId="0" xfId="0" applyFont="1"/>
    <xf numFmtId="0" fontId="71" fillId="0" borderId="0" xfId="0" applyFont="1"/>
    <xf numFmtId="0" fontId="40" fillId="0" borderId="0" xfId="0" applyFont="1"/>
    <xf numFmtId="43" fontId="20" fillId="0" borderId="0" xfId="1" applyFont="1" applyFill="1"/>
    <xf numFmtId="43" fontId="20" fillId="0" borderId="0" xfId="1" applyFont="1"/>
    <xf numFmtId="164" fontId="20" fillId="0" borderId="0" xfId="1" applyNumberFormat="1" applyFont="1" applyFill="1"/>
    <xf numFmtId="164" fontId="20" fillId="0" borderId="0" xfId="1" applyNumberFormat="1" applyFont="1"/>
    <xf numFmtId="211" fontId="20" fillId="0" borderId="0" xfId="1" applyNumberFormat="1" applyFont="1" applyFill="1"/>
    <xf numFmtId="164" fontId="62" fillId="0" borderId="0" xfId="1" applyNumberFormat="1" applyFont="1" applyFill="1"/>
    <xf numFmtId="0" fontId="62" fillId="0" borderId="78" xfId="0" applyFont="1" applyBorder="1" applyAlignment="1">
      <alignment horizontal="left" vertical="center" wrapText="1"/>
    </xf>
    <xf numFmtId="0" fontId="62" fillId="0" borderId="79" xfId="0" applyFont="1" applyBorder="1" applyAlignment="1">
      <alignment horizontal="left" vertical="center" wrapText="1"/>
    </xf>
    <xf numFmtId="0" fontId="62" fillId="0" borderId="80" xfId="0" applyFont="1" applyBorder="1" applyAlignment="1">
      <alignment horizontal="left" vertical="center" wrapText="1"/>
    </xf>
    <xf numFmtId="0" fontId="48" fillId="0" borderId="81" xfId="0" applyFont="1" applyBorder="1" applyAlignment="1">
      <alignment vertical="center"/>
    </xf>
    <xf numFmtId="0" fontId="48" fillId="0" borderId="0" xfId="0" applyFont="1" applyAlignment="1">
      <alignment vertical="center"/>
    </xf>
    <xf numFmtId="0" fontId="20" fillId="0" borderId="82" xfId="0" applyFont="1" applyBorder="1" applyAlignment="1">
      <alignment horizontal="left" vertical="center" wrapText="1"/>
    </xf>
    <xf numFmtId="0" fontId="20" fillId="0" borderId="83" xfId="0" applyFont="1" applyBorder="1" applyAlignment="1">
      <alignment horizontal="left" vertical="center" wrapText="1"/>
    </xf>
    <xf numFmtId="0" fontId="20" fillId="0" borderId="84" xfId="0" applyFont="1" applyBorder="1" applyAlignment="1">
      <alignment horizontal="left" vertical="center" wrapText="1"/>
    </xf>
    <xf numFmtId="0" fontId="62" fillId="0" borderId="81" xfId="0" applyFont="1" applyBorder="1" applyAlignment="1">
      <alignment horizontal="left" vertical="center" wrapText="1"/>
    </xf>
    <xf numFmtId="0" fontId="48" fillId="0" borderId="0" xfId="0" applyFont="1" applyAlignment="1">
      <alignment horizontal="right"/>
    </xf>
    <xf numFmtId="0" fontId="48" fillId="0" borderId="0" xfId="0" applyFont="1"/>
    <xf numFmtId="0" fontId="72" fillId="0" borderId="0" xfId="0" applyFont="1"/>
    <xf numFmtId="165" fontId="48" fillId="0" borderId="0" xfId="34" applyFont="1" applyFill="1" applyBorder="1"/>
    <xf numFmtId="0" fontId="48" fillId="0" borderId="10" xfId="0" applyFont="1" applyBorder="1"/>
    <xf numFmtId="0" fontId="72" fillId="0" borderId="10" xfId="0" applyFont="1" applyBorder="1"/>
    <xf numFmtId="165" fontId="48" fillId="0" borderId="10" xfId="34" applyFont="1" applyFill="1" applyBorder="1"/>
    <xf numFmtId="0" fontId="18" fillId="0" borderId="76" xfId="0" applyFont="1" applyBorder="1"/>
    <xf numFmtId="17" fontId="18" fillId="0" borderId="15" xfId="0" quotePrefix="1" applyNumberFormat="1" applyFont="1" applyBorder="1" applyAlignment="1">
      <alignment horizontal="center"/>
    </xf>
    <xf numFmtId="17" fontId="18" fillId="0" borderId="77" xfId="0" quotePrefix="1" applyNumberFormat="1" applyFont="1" applyBorder="1" applyAlignment="1">
      <alignment horizontal="center"/>
    </xf>
    <xf numFmtId="17" fontId="18" fillId="0" borderId="17" xfId="0" quotePrefix="1" applyNumberFormat="1" applyFont="1" applyBorder="1" applyAlignment="1">
      <alignment horizontal="center"/>
    </xf>
    <xf numFmtId="0" fontId="18" fillId="0" borderId="28" xfId="0" applyFont="1" applyBorder="1" applyAlignment="1">
      <alignment horizontal="center"/>
    </xf>
    <xf numFmtId="164" fontId="18" fillId="0" borderId="72" xfId="34" applyNumberFormat="1" applyFont="1" applyFill="1" applyBorder="1" applyAlignment="1">
      <alignment horizontal="right"/>
    </xf>
    <xf numFmtId="164" fontId="18" fillId="0" borderId="35" xfId="34" applyNumberFormat="1" applyFont="1" applyFill="1" applyBorder="1" applyAlignment="1">
      <alignment horizontal="right"/>
    </xf>
    <xf numFmtId="0" fontId="18" fillId="0" borderId="45" xfId="0" applyFont="1" applyBorder="1" applyAlignment="1">
      <alignment horizontal="right"/>
    </xf>
    <xf numFmtId="0" fontId="18" fillId="0" borderId="32" xfId="0" applyFont="1" applyBorder="1"/>
    <xf numFmtId="0" fontId="18" fillId="0" borderId="23" xfId="0" applyFont="1" applyBorder="1"/>
    <xf numFmtId="0" fontId="18" fillId="0" borderId="33" xfId="0" applyFont="1" applyBorder="1" applyAlignment="1">
      <alignment horizontal="center"/>
    </xf>
    <xf numFmtId="0" fontId="18" fillId="0" borderId="20" xfId="0" applyFont="1" applyBorder="1" applyAlignment="1">
      <alignment horizontal="center"/>
    </xf>
    <xf numFmtId="0" fontId="18" fillId="0" borderId="21" xfId="0" applyFont="1" applyBorder="1" applyAlignment="1">
      <alignment horizontal="center"/>
    </xf>
    <xf numFmtId="164" fontId="18" fillId="0" borderId="21" xfId="0" applyNumberFormat="1" applyFont="1" applyBorder="1" applyAlignment="1">
      <alignment horizontal="center"/>
    </xf>
    <xf numFmtId="0" fontId="18" fillId="0" borderId="23" xfId="0" applyFont="1" applyBorder="1" applyAlignment="1">
      <alignment horizontal="center"/>
    </xf>
    <xf numFmtId="0" fontId="18" fillId="0" borderId="72" xfId="0" applyFont="1" applyBorder="1" applyAlignment="1">
      <alignment horizontal="center"/>
    </xf>
    <xf numFmtId="0" fontId="18" fillId="0" borderId="0" xfId="0" applyFont="1" applyAlignment="1">
      <alignment horizontal="center"/>
    </xf>
    <xf numFmtId="164" fontId="18" fillId="0" borderId="85" xfId="0" applyNumberFormat="1" applyFont="1" applyBorder="1" applyAlignment="1">
      <alignment horizontal="right"/>
    </xf>
    <xf numFmtId="0" fontId="18" fillId="0" borderId="54" xfId="0" applyFont="1" applyBorder="1" applyAlignment="1">
      <alignment horizontal="right"/>
    </xf>
    <xf numFmtId="0" fontId="18" fillId="0" borderId="86" xfId="0" applyFont="1" applyBorder="1" applyAlignment="1">
      <alignment horizontal="right"/>
    </xf>
    <xf numFmtId="165" fontId="17" fillId="0" borderId="27" xfId="34" applyFont="1" applyFill="1" applyBorder="1" applyAlignment="1">
      <alignment horizontal="right"/>
    </xf>
    <xf numFmtId="165" fontId="17" fillId="0" borderId="19" xfId="34" applyFont="1" applyFill="1" applyBorder="1" applyAlignment="1">
      <alignment horizontal="right"/>
    </xf>
    <xf numFmtId="164" fontId="17" fillId="0" borderId="34" xfId="34" applyNumberFormat="1" applyFont="1" applyFill="1" applyBorder="1" applyAlignment="1">
      <alignment horizontal="right"/>
    </xf>
    <xf numFmtId="164" fontId="18" fillId="0" borderId="34" xfId="34" applyNumberFormat="1" applyFont="1" applyFill="1" applyBorder="1" applyAlignment="1">
      <alignment horizontal="right"/>
    </xf>
    <xf numFmtId="0" fontId="21" fillId="0" borderId="18" xfId="0" applyFont="1" applyBorder="1"/>
    <xf numFmtId="0" fontId="21" fillId="0" borderId="28" xfId="0" applyFont="1" applyBorder="1" applyAlignment="1">
      <alignment horizontal="center"/>
    </xf>
    <xf numFmtId="164" fontId="19" fillId="0" borderId="34" xfId="34" applyNumberFormat="1" applyFont="1" applyFill="1" applyBorder="1" applyAlignment="1">
      <alignment horizontal="center"/>
    </xf>
    <xf numFmtId="0" fontId="21" fillId="0" borderId="18" xfId="0" applyFont="1" applyBorder="1" applyAlignment="1">
      <alignment horizontal="left" indent="1"/>
    </xf>
    <xf numFmtId="0" fontId="18" fillId="0" borderId="0" xfId="0" applyFont="1" applyAlignment="1">
      <alignment horizontal="left" indent="1"/>
    </xf>
    <xf numFmtId="0" fontId="22" fillId="0" borderId="0" xfId="0" applyFont="1" applyAlignment="1">
      <alignment horizontal="left" wrapText="1"/>
    </xf>
    <xf numFmtId="0" fontId="18" fillId="0" borderId="28" xfId="0" applyFont="1" applyBorder="1" applyAlignment="1">
      <alignment horizontal="left" indent="1"/>
    </xf>
    <xf numFmtId="164" fontId="17" fillId="0" borderId="27" xfId="34" applyNumberFormat="1" applyFont="1" applyFill="1" applyBorder="1" applyAlignment="1">
      <alignment horizontal="left" indent="1"/>
    </xf>
    <xf numFmtId="0" fontId="17" fillId="0" borderId="18" xfId="0" applyFont="1" applyBorder="1" applyAlignment="1">
      <alignment horizontal="left" indent="1"/>
    </xf>
    <xf numFmtId="0" fontId="19" fillId="0" borderId="0" xfId="0" applyFont="1" applyAlignment="1">
      <alignment horizontal="left" indent="1"/>
    </xf>
    <xf numFmtId="164" fontId="17" fillId="0" borderId="19" xfId="34" applyNumberFormat="1" applyFont="1" applyFill="1" applyBorder="1" applyAlignment="1">
      <alignment horizontal="left" indent="1"/>
    </xf>
    <xf numFmtId="0" fontId="19" fillId="0" borderId="18" xfId="0" applyFont="1" applyBorder="1"/>
    <xf numFmtId="0" fontId="19" fillId="0" borderId="0" xfId="0" applyFont="1" applyAlignment="1">
      <alignment wrapText="1"/>
    </xf>
    <xf numFmtId="0" fontId="19" fillId="0" borderId="28" xfId="0" applyFont="1" applyBorder="1" applyAlignment="1">
      <alignment horizontal="center"/>
    </xf>
    <xf numFmtId="0" fontId="24" fillId="0" borderId="0" xfId="0" applyFont="1" applyAlignment="1">
      <alignment horizontal="left" wrapText="1" indent="1"/>
    </xf>
    <xf numFmtId="0" fontId="17" fillId="0" borderId="0" xfId="278" applyFont="1"/>
    <xf numFmtId="197" fontId="18" fillId="0" borderId="20" xfId="34" applyNumberFormat="1" applyFont="1" applyFill="1" applyBorder="1" applyAlignment="1">
      <alignment horizontal="right"/>
    </xf>
    <xf numFmtId="197" fontId="18" fillId="0" borderId="21" xfId="34" applyNumberFormat="1" applyFont="1" applyFill="1" applyBorder="1" applyAlignment="1">
      <alignment horizontal="right"/>
    </xf>
    <xf numFmtId="197" fontId="18" fillId="0" borderId="72" xfId="34" applyNumberFormat="1" applyFont="1" applyFill="1" applyBorder="1" applyAlignment="1">
      <alignment horizontal="right"/>
    </xf>
    <xf numFmtId="37" fontId="17" fillId="0" borderId="35" xfId="34" applyNumberFormat="1" applyFont="1" applyFill="1" applyBorder="1" applyAlignment="1">
      <alignment horizontal="right"/>
    </xf>
    <xf numFmtId="37" fontId="17" fillId="0" borderId="26" xfId="34" applyNumberFormat="1" applyFont="1" applyFill="1" applyBorder="1" applyAlignment="1">
      <alignment horizontal="right"/>
    </xf>
    <xf numFmtId="37" fontId="17" fillId="0" borderId="25" xfId="34" applyNumberFormat="1" applyFont="1" applyFill="1" applyBorder="1" applyAlignment="1">
      <alignment horizontal="right"/>
    </xf>
    <xf numFmtId="37" fontId="17" fillId="0" borderId="45" xfId="34" applyNumberFormat="1" applyFont="1" applyFill="1" applyBorder="1" applyAlignment="1">
      <alignment horizontal="right"/>
    </xf>
    <xf numFmtId="164" fontId="21" fillId="0" borderId="20" xfId="34" applyNumberFormat="1" applyFont="1" applyFill="1" applyBorder="1" applyAlignment="1">
      <alignment horizontal="right"/>
    </xf>
    <xf numFmtId="164" fontId="21" fillId="0" borderId="21" xfId="34" applyNumberFormat="1" applyFont="1" applyFill="1" applyBorder="1" applyAlignment="1">
      <alignment horizontal="right"/>
    </xf>
    <xf numFmtId="164" fontId="21" fillId="0" borderId="23" xfId="34" applyNumberFormat="1" applyFont="1" applyFill="1" applyBorder="1" applyAlignment="1">
      <alignment horizontal="right"/>
    </xf>
    <xf numFmtId="164" fontId="21" fillId="0" borderId="72" xfId="34" applyNumberFormat="1" applyFont="1" applyFill="1" applyBorder="1" applyAlignment="1">
      <alignment horizontal="right"/>
    </xf>
    <xf numFmtId="164" fontId="21" fillId="0" borderId="27" xfId="34" applyNumberFormat="1" applyFont="1" applyFill="1" applyBorder="1" applyAlignment="1">
      <alignment horizontal="right"/>
    </xf>
    <xf numFmtId="164" fontId="21" fillId="0" borderId="19" xfId="34" applyNumberFormat="1" applyFont="1" applyFill="1" applyBorder="1" applyAlignment="1">
      <alignment horizontal="right"/>
    </xf>
    <xf numFmtId="164" fontId="21" fillId="0" borderId="0" xfId="34" applyNumberFormat="1" applyFont="1" applyFill="1" applyBorder="1" applyAlignment="1">
      <alignment horizontal="right"/>
    </xf>
    <xf numFmtId="164" fontId="21" fillId="0" borderId="34" xfId="34" applyNumberFormat="1" applyFont="1" applyFill="1" applyBorder="1" applyAlignment="1">
      <alignment horizontal="right"/>
    </xf>
    <xf numFmtId="0" fontId="21" fillId="0" borderId="0" xfId="0" applyFont="1"/>
    <xf numFmtId="4" fontId="17" fillId="0" borderId="0" xfId="0" applyNumberFormat="1" applyFont="1"/>
    <xf numFmtId="0" fontId="21" fillId="0" borderId="18" xfId="0" applyFont="1" applyBorder="1" applyAlignment="1">
      <alignment horizontal="right"/>
    </xf>
    <xf numFmtId="0" fontId="21" fillId="0" borderId="0" xfId="0" applyFont="1" applyAlignment="1">
      <alignment horizontal="right"/>
    </xf>
    <xf numFmtId="164" fontId="17" fillId="0" borderId="35" xfId="34" applyNumberFormat="1" applyFont="1" applyFill="1" applyBorder="1" applyAlignment="1">
      <alignment horizontal="right"/>
    </xf>
    <xf numFmtId="164" fontId="17" fillId="0" borderId="26" xfId="34" applyNumberFormat="1" applyFont="1" applyFill="1" applyBorder="1" applyAlignment="1">
      <alignment horizontal="right"/>
    </xf>
    <xf numFmtId="164" fontId="17" fillId="0" borderId="25" xfId="34" applyNumberFormat="1" applyFont="1" applyFill="1" applyBorder="1" applyAlignment="1">
      <alignment horizontal="right"/>
    </xf>
    <xf numFmtId="164" fontId="17" fillId="0" borderId="45" xfId="34" applyNumberFormat="1" applyFont="1" applyFill="1" applyBorder="1" applyAlignment="1">
      <alignment horizontal="right"/>
    </xf>
    <xf numFmtId="37" fontId="18" fillId="0" borderId="20" xfId="34" applyNumberFormat="1" applyFont="1" applyFill="1" applyBorder="1" applyAlignment="1">
      <alignment horizontal="right"/>
    </xf>
    <xf numFmtId="37" fontId="18" fillId="0" borderId="21" xfId="34" applyNumberFormat="1" applyFont="1" applyFill="1" applyBorder="1" applyAlignment="1">
      <alignment horizontal="right"/>
    </xf>
    <xf numFmtId="37" fontId="18" fillId="0" borderId="23" xfId="34" applyNumberFormat="1" applyFont="1" applyFill="1" applyBorder="1" applyAlignment="1">
      <alignment horizontal="right"/>
    </xf>
    <xf numFmtId="37" fontId="18" fillId="0" borderId="72" xfId="34" applyNumberFormat="1" applyFont="1" applyFill="1" applyBorder="1" applyAlignment="1">
      <alignment horizontal="right"/>
    </xf>
    <xf numFmtId="0" fontId="17" fillId="0" borderId="75" xfId="0" applyFont="1" applyBorder="1" applyAlignment="1">
      <alignment horizontal="center"/>
    </xf>
    <xf numFmtId="164" fontId="17" fillId="0" borderId="87" xfId="34" applyNumberFormat="1" applyFont="1" applyFill="1" applyBorder="1" applyAlignment="1">
      <alignment horizontal="right"/>
    </xf>
    <xf numFmtId="164" fontId="17" fillId="0" borderId="10" xfId="34" applyNumberFormat="1" applyFont="1" applyFill="1" applyBorder="1" applyAlignment="1">
      <alignment horizontal="right"/>
    </xf>
    <xf numFmtId="164" fontId="17" fillId="0" borderId="43" xfId="34" applyNumberFormat="1" applyFont="1" applyFill="1" applyBorder="1" applyAlignment="1">
      <alignment horizontal="right"/>
    </xf>
    <xf numFmtId="0" fontId="69" fillId="0" borderId="0" xfId="0" applyFont="1"/>
    <xf numFmtId="165" fontId="69" fillId="0" borderId="0" xfId="34" applyFont="1" applyFill="1" applyBorder="1"/>
    <xf numFmtId="164" fontId="48" fillId="0" borderId="0" xfId="34" applyNumberFormat="1" applyFont="1" applyFill="1" applyBorder="1" applyAlignment="1">
      <alignment horizontal="right"/>
    </xf>
    <xf numFmtId="164" fontId="48" fillId="0" borderId="0" xfId="34" applyNumberFormat="1" applyFont="1" applyFill="1" applyBorder="1" applyAlignment="1"/>
    <xf numFmtId="164" fontId="48" fillId="0" borderId="0" xfId="34" applyNumberFormat="1" applyFont="1" applyFill="1" applyBorder="1" applyAlignment="1">
      <alignment horizontal="left"/>
    </xf>
    <xf numFmtId="164" fontId="48" fillId="0" borderId="0" xfId="34" applyNumberFormat="1" applyFont="1" applyFill="1" applyBorder="1" applyAlignment="1">
      <alignment horizontal="left"/>
    </xf>
  </cellXfs>
  <cellStyles count="469">
    <cellStyle name="20% - Accent1" xfId="17" builtinId="30" customBuiltin="1"/>
    <cellStyle name="20% - Accent1 2" xfId="46" xr:uid="{DC2D812A-4E00-4F78-AE40-3226DDC56389}"/>
    <cellStyle name="20% - Accent1 3" xfId="47" xr:uid="{7EF34A93-3527-49D3-97B8-2508CC28F06E}"/>
    <cellStyle name="20% - Accent2" xfId="20" builtinId="34" customBuiltin="1"/>
    <cellStyle name="20% - Accent2 2" xfId="48" xr:uid="{E4E9B78F-2ADD-4ED7-95F7-416E7DF543FC}"/>
    <cellStyle name="20% - Accent2 3" xfId="49" xr:uid="{C1876AE6-96F7-4DE7-8B5B-B5AA8EE6EFCA}"/>
    <cellStyle name="20% - Accent3" xfId="23" builtinId="38" customBuiltin="1"/>
    <cellStyle name="20% - Accent3 2" xfId="50" xr:uid="{FC876EC9-455F-4FE5-8D5F-460DBA36BDF5}"/>
    <cellStyle name="20% - Accent3 3" xfId="51" xr:uid="{76F627B3-DE84-47C6-86F4-5AFDCAC021BC}"/>
    <cellStyle name="20% - Accent4" xfId="26" builtinId="42" customBuiltin="1"/>
    <cellStyle name="20% - Accent4 2" xfId="52" xr:uid="{F1FDE9BE-ABBF-4C94-BCB7-30F48B5E94C8}"/>
    <cellStyle name="20% - Accent4 3" xfId="53" xr:uid="{39E41767-3CF7-4E03-8623-01F19F9EB8FC}"/>
    <cellStyle name="20% - Accent5" xfId="29" builtinId="46" customBuiltin="1"/>
    <cellStyle name="20% - Accent5 2" xfId="54" xr:uid="{6DAAB9D6-F5EE-4DBC-A43C-6684587F243A}"/>
    <cellStyle name="20% - Accent5 3" xfId="55" xr:uid="{4CFBD66B-4D8B-4D06-AD47-6DD58B7A3886}"/>
    <cellStyle name="20% - Accent6" xfId="32" builtinId="50" customBuiltin="1"/>
    <cellStyle name="20% - Accent6 2" xfId="56" xr:uid="{3BF0966A-FEED-4737-BD83-E93A6DBCAA56}"/>
    <cellStyle name="20% - Accent6 3" xfId="57" xr:uid="{D091566A-C676-4476-AC3F-15AC8707C99D}"/>
    <cellStyle name="40% - Accent1" xfId="18" builtinId="31" customBuiltin="1"/>
    <cellStyle name="40% - Accent1 2" xfId="58" xr:uid="{3E287D13-0A5B-43A6-8357-84A16C15BB33}"/>
    <cellStyle name="40% - Accent1 3" xfId="59" xr:uid="{549FA158-AE06-4E6C-ADC3-DEE9D3444BE3}"/>
    <cellStyle name="40% - Accent2" xfId="21" builtinId="35" customBuiltin="1"/>
    <cellStyle name="40% - Accent2 2" xfId="60" xr:uid="{A4BD8FA2-696E-459C-B86D-78FEEEC8EFB4}"/>
    <cellStyle name="40% - Accent2 3" xfId="61" xr:uid="{3BC946F2-60FD-4F18-B40F-6C60B4FBC829}"/>
    <cellStyle name="40% - Accent3" xfId="24" builtinId="39" customBuiltin="1"/>
    <cellStyle name="40% - Accent3 2" xfId="62" xr:uid="{DB3B2BD2-CD02-48BE-8AC6-D607987B8AE5}"/>
    <cellStyle name="40% - Accent3 3" xfId="63" xr:uid="{A59825EA-0D77-4B40-B3E6-CCC579234E5B}"/>
    <cellStyle name="40% - Accent4" xfId="27" builtinId="43" customBuiltin="1"/>
    <cellStyle name="40% - Accent4 2" xfId="64" xr:uid="{18C28C9D-4666-4398-93B9-3D187DF4223F}"/>
    <cellStyle name="40% - Accent4 3" xfId="65" xr:uid="{0CF7C3DB-8E49-459B-B8FA-9E22406656DF}"/>
    <cellStyle name="40% - Accent5" xfId="30" builtinId="47" customBuiltin="1"/>
    <cellStyle name="40% - Accent5 2" xfId="66" xr:uid="{A5B49DFF-FB34-42F5-90F2-1A0347E7FAA9}"/>
    <cellStyle name="40% - Accent5 3" xfId="67" xr:uid="{13D46E20-245A-4D1E-BA6F-5C8E02D6260B}"/>
    <cellStyle name="40% - Accent6" xfId="33" builtinId="51" customBuiltin="1"/>
    <cellStyle name="40% - Accent6 2" xfId="68" xr:uid="{453E7D55-B9AE-4D71-95D9-A391B1500AAD}"/>
    <cellStyle name="40% - Accent6 3" xfId="69" xr:uid="{FCAA2F7D-B193-400C-AF4B-E7BAB38296B2}"/>
    <cellStyle name="60% - Accent1 2" xfId="71" xr:uid="{20677E0E-570C-43C6-81CF-11DF10FD6F85}"/>
    <cellStyle name="60% - Accent1 3" xfId="72" xr:uid="{980745FA-C5B5-4B3B-ADB6-55F65D3FAC0F}"/>
    <cellStyle name="60% - Accent1 4" xfId="70" xr:uid="{D23C34E0-D04C-4859-974B-241E946B5B9D}"/>
    <cellStyle name="60% - Accent2 2" xfId="74" xr:uid="{E457D81E-3D41-469A-9AB5-F587EED1AB99}"/>
    <cellStyle name="60% - Accent2 3" xfId="75" xr:uid="{9C3DF5B7-B7E6-4ECC-BA60-2C9BCDC64550}"/>
    <cellStyle name="60% - Accent2 4" xfId="73" xr:uid="{8694CBC0-4C69-4D6D-9493-1875703040E5}"/>
    <cellStyle name="60% - Accent3 2" xfId="77" xr:uid="{C351079E-4192-49DB-9071-B4D8DFD7B765}"/>
    <cellStyle name="60% - Accent3 3" xfId="78" xr:uid="{2F3CD17C-75BE-41A0-956A-0A06FBD06627}"/>
    <cellStyle name="60% - Accent3 4" xfId="76" xr:uid="{0A75751D-9797-4B88-9211-F4FF55A0FC0C}"/>
    <cellStyle name="60% - Accent4 2" xfId="80" xr:uid="{F1A641A9-B203-493A-A109-0A96916C613F}"/>
    <cellStyle name="60% - Accent4 3" xfId="81" xr:uid="{A2804F4A-4975-4A3C-A1D3-C35841CB2396}"/>
    <cellStyle name="60% - Accent4 4" xfId="79" xr:uid="{0D50A7D7-2D71-4714-9E1B-E28EDB7AA33C}"/>
    <cellStyle name="60% - Accent5 2" xfId="83" xr:uid="{43646CC4-61C7-4420-8256-72D14E314590}"/>
    <cellStyle name="60% - Accent5 3" xfId="84" xr:uid="{63436389-B24F-4503-AFB9-0A3529D9C7F7}"/>
    <cellStyle name="60% - Accent5 4" xfId="82" xr:uid="{5A91FD42-6456-4291-BC81-BFB9937553F5}"/>
    <cellStyle name="60% - Accent6 2" xfId="86" xr:uid="{84805DBC-388B-4578-95F5-EA513E598D34}"/>
    <cellStyle name="60% - Accent6 3" xfId="87" xr:uid="{A5748112-5421-48D3-9B9A-D2DD50E41A17}"/>
    <cellStyle name="60% - Accent6 4" xfId="85" xr:uid="{6C716935-DEFC-43CE-967D-556DC9629DDC}"/>
    <cellStyle name="Accent1" xfId="16" builtinId="29" customBuiltin="1"/>
    <cellStyle name="Accent1 2" xfId="88" xr:uid="{AF7BCA68-77F0-45D1-A0AC-B6CC7ABA6D86}"/>
    <cellStyle name="Accent1 3" xfId="89" xr:uid="{138A36E6-F03D-4537-910F-B3923FE3340F}"/>
    <cellStyle name="Accent2" xfId="19" builtinId="33" customBuiltin="1"/>
    <cellStyle name="Accent2 2" xfId="90" xr:uid="{2C1CC446-B51E-4DE9-BEC2-A713448D9580}"/>
    <cellStyle name="Accent2 3" xfId="91" xr:uid="{1E6DECDE-9613-488D-8732-46EFBFC7238F}"/>
    <cellStyle name="Accent3" xfId="22" builtinId="37" customBuiltin="1"/>
    <cellStyle name="Accent3 2" xfId="92" xr:uid="{0E0B9547-89C1-412D-9878-D8BE7A59C8CA}"/>
    <cellStyle name="Accent3 3" xfId="93" xr:uid="{81201BEE-C23D-483A-A0F4-D2E66E0E4A32}"/>
    <cellStyle name="Accent4" xfId="25" builtinId="41" customBuiltin="1"/>
    <cellStyle name="Accent4 2" xfId="94" xr:uid="{FBB58EDC-E030-4365-A673-45809AFFD7BE}"/>
    <cellStyle name="Accent4 3" xfId="95" xr:uid="{3C595038-3063-4BE7-BEDA-5791533A6B32}"/>
    <cellStyle name="Accent5" xfId="28" builtinId="45" customBuiltin="1"/>
    <cellStyle name="Accent5 2" xfId="96" xr:uid="{6CBA1C1E-A9E1-4AFD-AF0F-5F11F0D386DC}"/>
    <cellStyle name="Accent5 3" xfId="97" xr:uid="{8E563080-EC00-4514-9E08-BC7D022B7E48}"/>
    <cellStyle name="Accent6" xfId="31" builtinId="49" customBuiltin="1"/>
    <cellStyle name="Accent6 2" xfId="98" xr:uid="{836138C8-E54F-4953-A773-5FE2BCA0072E}"/>
    <cellStyle name="Accent6 3" xfId="99" xr:uid="{BEB08EE6-EA80-4DB3-981C-AB92ABEB7C4F}"/>
    <cellStyle name="Bad" xfId="7" builtinId="27" customBuiltin="1"/>
    <cellStyle name="Bad 2" xfId="100" xr:uid="{D8856104-D2D2-496B-88D6-F43DD2B077A0}"/>
    <cellStyle name="Bad 3" xfId="101" xr:uid="{03AEE415-95B7-4C53-B61C-1C593C923F76}"/>
    <cellStyle name="Calc Currency (0)" xfId="102" xr:uid="{6BF12C99-3AA4-421F-B9F9-62A9A17B2931}"/>
    <cellStyle name="Calc Currency (0) 2" xfId="103" xr:uid="{D5AD04F4-E6E6-46DD-B89D-3B8FF9D720D4}"/>
    <cellStyle name="Calc Currency (0) 3" xfId="104" xr:uid="{2E9DC4C0-48BB-4256-81A6-5182E54DA62F}"/>
    <cellStyle name="Calc Currency (2)" xfId="105" xr:uid="{0DA760F6-BE1C-4371-8993-BE40A3A979AF}"/>
    <cellStyle name="Calc Currency (2) 2" xfId="106" xr:uid="{5BF3209F-F553-4204-9DEB-E352037210C4}"/>
    <cellStyle name="Calc Currency (2) 3" xfId="107" xr:uid="{2D8A43F6-0016-4ECA-B065-D16710AC67BF}"/>
    <cellStyle name="Calc Percent (0)" xfId="108" xr:uid="{F4828E90-A0C1-4441-99B8-C70D34099955}"/>
    <cellStyle name="Calc Percent (0) 2" xfId="109" xr:uid="{8A5C9B03-D4C6-4B6D-B6FA-656432F30111}"/>
    <cellStyle name="Calc Percent (0) 3" xfId="110" xr:uid="{85DA4A12-B0D0-419B-AFE3-55DC3F0BF8F0}"/>
    <cellStyle name="Calc Percent (1)" xfId="111" xr:uid="{738DBAB1-7821-46F8-A1D9-DA5996A204AB}"/>
    <cellStyle name="Calc Percent (1) 2" xfId="112" xr:uid="{BB108AC1-B894-4ED9-B2AA-7DB3B9EA749E}"/>
    <cellStyle name="Calc Percent (1) 3" xfId="113" xr:uid="{CE23675C-BAA6-4B4F-BB56-F929E15EC89F}"/>
    <cellStyle name="Calc Percent (2)" xfId="114" xr:uid="{AF95FB15-EA13-4CE8-818B-7E659097D05A}"/>
    <cellStyle name="Calc Percent (2) 2" xfId="115" xr:uid="{515254FA-8DA6-4390-849C-4394C4970C0D}"/>
    <cellStyle name="Calc Percent (2) 3" xfId="116" xr:uid="{BDB759F4-6A9F-4F36-9EF0-9A8D17720519}"/>
    <cellStyle name="Calc Units (0)" xfId="117" xr:uid="{A7B558C6-7385-4753-971C-ACEE52B27789}"/>
    <cellStyle name="Calc Units (0) 2" xfId="118" xr:uid="{5D02C66B-0D1D-441E-B82C-687855F996F3}"/>
    <cellStyle name="Calc Units (0) 3" xfId="119" xr:uid="{E1E2EFAD-EA83-48F6-9677-7478461AD803}"/>
    <cellStyle name="Calc Units (1)" xfId="120" xr:uid="{6C97BB09-7BD8-4B4D-9757-954A936AF8C8}"/>
    <cellStyle name="Calc Units (1) 2" xfId="121" xr:uid="{123B54A7-71EB-4A1C-99EC-7E4BC2B8B7B7}"/>
    <cellStyle name="Calc Units (1) 3" xfId="122" xr:uid="{99EB46EF-0CAD-4138-B4DF-06D6BE454672}"/>
    <cellStyle name="Calc Units (2)" xfId="123" xr:uid="{79EA59AB-4637-4F73-8B7F-4038B9491A9D}"/>
    <cellStyle name="Calc Units (2) 2" xfId="124" xr:uid="{D6B842C6-0FB4-42A4-9F97-EB3F62146607}"/>
    <cellStyle name="Calc Units (2) 3" xfId="125" xr:uid="{9D7B075B-0B97-4666-BB0F-1C75886D5C7A}"/>
    <cellStyle name="Calculation" xfId="10" builtinId="22" customBuiltin="1"/>
    <cellStyle name="Calculation 2" xfId="126" xr:uid="{63B69F85-472C-4A31-913D-034DE5BF9F06}"/>
    <cellStyle name="Calculation 3" xfId="127" xr:uid="{12334836-A700-4010-857A-34925B621DFD}"/>
    <cellStyle name="Check Cell" xfId="12" builtinId="23" customBuiltin="1"/>
    <cellStyle name="Check Cell 2" xfId="128" xr:uid="{43855BB3-65A3-4D07-B6EA-3B79EC51C895}"/>
    <cellStyle name="Check Cell 3" xfId="129" xr:uid="{19856CE7-D470-4F0D-84C6-CF61CA64589F}"/>
    <cellStyle name="Comma" xfId="1" builtinId="3"/>
    <cellStyle name="Comma [00]" xfId="131" xr:uid="{56B73161-5BEE-446D-A482-2F697B7EF3F3}"/>
    <cellStyle name="Comma [00] 2" xfId="132" xr:uid="{57A7D891-0D65-4E2B-AF1E-05F5EE1CD5A7}"/>
    <cellStyle name="Comma [00] 3" xfId="133" xr:uid="{67A7BFBC-A201-4EBD-B88B-559B651E1D95}"/>
    <cellStyle name="Comma 10" xfId="134" xr:uid="{31730BEB-2F27-49FE-922D-FAFA2F4BE688}"/>
    <cellStyle name="Comma 11" xfId="135" xr:uid="{9B17EA10-810E-4BF4-9E97-E22CC5307146}"/>
    <cellStyle name="Comma 12" xfId="136" xr:uid="{A5671510-BB59-4432-BCA6-4BCB950816AF}"/>
    <cellStyle name="Comma 13" xfId="137" xr:uid="{300702CA-2EA5-4AB0-9669-FDC5D7AC33D3}"/>
    <cellStyle name="Comma 14" xfId="138" xr:uid="{AEFC01F3-989F-4805-AF7C-BBA207A67177}"/>
    <cellStyle name="Comma 15" xfId="139" xr:uid="{C3053BCE-9F2A-41C5-85A2-8567FEE0F9E6}"/>
    <cellStyle name="Comma 16" xfId="140" xr:uid="{A4D275AC-8008-4FF5-91A4-F633464F6B47}"/>
    <cellStyle name="Comma 17" xfId="141" xr:uid="{68C70D3C-80D8-435D-A190-B8A335BA2D64}"/>
    <cellStyle name="Comma 18" xfId="142" xr:uid="{63C59BF4-D192-46E7-965C-96E1432E52AB}"/>
    <cellStyle name="Comma 19" xfId="130" xr:uid="{9910DA47-CAFE-4C58-9444-0C581EFE0155}"/>
    <cellStyle name="Comma 2" xfId="143" xr:uid="{C74BF9A0-2FE9-4CEE-8180-A28EF87D6D97}"/>
    <cellStyle name="Comma 2 2" xfId="34" xr:uid="{57898A54-A09F-444E-BD8D-E70DF2DB9173}"/>
    <cellStyle name="Comma 3" xfId="144" xr:uid="{40AF846C-017B-49C5-A4C9-A2DF6456F804}"/>
    <cellStyle name="Comma 35" xfId="40" xr:uid="{83CC177B-4DDB-4AAF-922C-BB241774D9C0}"/>
    <cellStyle name="Comma 37 4" xfId="39" xr:uid="{EB50F0D5-3871-41D5-9698-8F5A473F2C41}"/>
    <cellStyle name="Comma 4" xfId="145" xr:uid="{735B3D96-EA8D-4973-AB8E-D6C8ED5A15E5}"/>
    <cellStyle name="Comma 5" xfId="146" xr:uid="{BF94DE62-86B8-46E1-AE36-A284CC5CEA99}"/>
    <cellStyle name="Comma 6" xfId="147" xr:uid="{2848AD27-9A33-475C-AD20-96549A74049A}"/>
    <cellStyle name="Comma 7" xfId="148" xr:uid="{83609D05-A3A9-4CE8-AA76-DFB7D6CA19E7}"/>
    <cellStyle name="Comma 8" xfId="149" xr:uid="{878C3F3C-CDCC-425A-A536-727DD8FC6EEF}"/>
    <cellStyle name="Comma 9" xfId="150" xr:uid="{BE72595A-4F92-4E03-870D-05143360E00C}"/>
    <cellStyle name="Comma0" xfId="151" xr:uid="{966709E9-3539-4A71-9F4E-8086B2340227}"/>
    <cellStyle name="Comma0 2" xfId="152" xr:uid="{372CFCE9-1831-4193-AD7F-D160D3A43C64}"/>
    <cellStyle name="Couma_#B P&amp;L Evolution_BINV" xfId="153" xr:uid="{1A86574E-8E44-44E7-8F0C-7B2662BD7338}"/>
    <cellStyle name="Currency [00]" xfId="154" xr:uid="{B26B0844-FE1B-4A38-A26E-029862BF26A4}"/>
    <cellStyle name="Currency [00] 2" xfId="155" xr:uid="{FA51F2F7-E489-4B22-B71E-4D198EDA820D}"/>
    <cellStyle name="Currency [00] 3" xfId="156" xr:uid="{8879D423-2117-43F9-8154-23084F4B6D6D}"/>
    <cellStyle name="Currency0" xfId="157" xr:uid="{8908B239-D402-451A-BB36-576221196F0E}"/>
    <cellStyle name="Currency0 2" xfId="158" xr:uid="{B8D0D029-D005-4AF5-AB88-E2F1652154A3}"/>
    <cellStyle name="Currency0 2 2" xfId="159" xr:uid="{BF83F520-5465-4867-8B5B-C51F62860FE6}"/>
    <cellStyle name="Currency0 3" xfId="160" xr:uid="{E7D36049-67CC-4FCE-88BB-B7D091C0F4DE}"/>
    <cellStyle name="Date" xfId="161" xr:uid="{0427C3D8-3415-4306-8DD1-2FBD6D229A3A}"/>
    <cellStyle name="Date 2" xfId="162" xr:uid="{FAC4D662-260D-4CFD-A92A-0657A802BE2B}"/>
    <cellStyle name="Date Short" xfId="163" xr:uid="{88080B4E-D3F3-4B0D-A82D-2622FA82F449}"/>
    <cellStyle name="Date_01 Econ Class-Reciepts" xfId="164" xr:uid="{78797BE3-6F1C-4C5A-832D-6DEC8EDCBBBC}"/>
    <cellStyle name="Dezimal [0]_Compiling Utility Macros" xfId="165" xr:uid="{C71295CE-FD05-4253-BDFD-E8AEDF2218D7}"/>
    <cellStyle name="Dezimal_Compiling Utility Macros" xfId="166" xr:uid="{E8906EE7-5894-4A1A-A017-EAD99EAB4CE5}"/>
    <cellStyle name="Enter Currency (0)" xfId="167" xr:uid="{9F6CEDC8-0864-4DDB-91DD-CD9F0BE0E9FE}"/>
    <cellStyle name="Enter Currency (0) 2" xfId="168" xr:uid="{F8F60DDA-BD08-48C8-8AD4-73A6B8702723}"/>
    <cellStyle name="Enter Currency (0) 3" xfId="169" xr:uid="{ACCBF882-0E5D-4C21-950E-2F3476F40CB2}"/>
    <cellStyle name="Enter Currency (2)" xfId="170" xr:uid="{FA66672A-A976-42A7-9651-5A5CEB825013}"/>
    <cellStyle name="Enter Currency (2) 2" xfId="171" xr:uid="{CE1A0E5E-3F76-43AA-A917-EBA3115532DB}"/>
    <cellStyle name="Enter Currency (2) 3" xfId="172" xr:uid="{C4C039B9-D3F8-4D96-8A06-4902C17B89F8}"/>
    <cellStyle name="Enter Units (0)" xfId="173" xr:uid="{294E52BA-092A-4C1C-8A33-F25878D35203}"/>
    <cellStyle name="Enter Units (0) 2" xfId="174" xr:uid="{9CAEFACB-A6E6-4EBD-9ACE-5A4197E7610E}"/>
    <cellStyle name="Enter Units (0) 3" xfId="175" xr:uid="{86528E72-C361-4E20-B9CC-531F57911EA9}"/>
    <cellStyle name="Enter Units (1)" xfId="176" xr:uid="{C652ED30-A3F5-498A-9113-9841983B7378}"/>
    <cellStyle name="Enter Units (1) 2" xfId="177" xr:uid="{8FECDDC3-BFDB-4314-8E9D-99F3D895E21D}"/>
    <cellStyle name="Enter Units (1) 3" xfId="178" xr:uid="{0576847B-8857-404D-969E-9E3A040335F7}"/>
    <cellStyle name="Enter Units (2)" xfId="179" xr:uid="{C74D170A-4B45-4277-BC0E-4201BE1EA4FE}"/>
    <cellStyle name="Enter Units (2) 2" xfId="180" xr:uid="{9AF8A593-B792-436F-B97A-C6BAE8E082D1}"/>
    <cellStyle name="Enter Units (2) 3" xfId="181" xr:uid="{68A0B96B-0E11-4D5D-BA0E-CE584FA8CD03}"/>
    <cellStyle name="Explanatory Text" xfId="14" builtinId="53" customBuiltin="1"/>
    <cellStyle name="Explanatory Text 2" xfId="182" xr:uid="{89CB0557-5728-4799-9292-3E2AA86BC887}"/>
    <cellStyle name="Explanatory Text 3" xfId="183" xr:uid="{E904EE20-B0A6-4A63-9F55-056DB68DD674}"/>
    <cellStyle name="F2" xfId="184" xr:uid="{4BDDA094-8BB3-4BDE-B73A-6B6A2026ADDB}"/>
    <cellStyle name="F3" xfId="185" xr:uid="{16AB590A-654C-4320-8446-CB70057C7266}"/>
    <cellStyle name="F3 2" xfId="186" xr:uid="{3D05A2E5-DFEC-4F84-8B5C-9ED463EEF7B5}"/>
    <cellStyle name="F4" xfId="187" xr:uid="{6E181D67-2E43-4493-B6A0-6AD3F2D5FE29}"/>
    <cellStyle name="F5" xfId="188" xr:uid="{8CDA9AA4-338B-487A-9051-476802DDF59C}"/>
    <cellStyle name="F6" xfId="189" xr:uid="{89118236-C006-43D2-85B7-1F57861D8701}"/>
    <cellStyle name="F7" xfId="190" xr:uid="{EFAD3B5F-38FA-4329-932A-411A00730F14}"/>
    <cellStyle name="F8" xfId="191" xr:uid="{9B558B4D-186B-4CEC-A8E1-CDC495E1FC59}"/>
    <cellStyle name="Fixed" xfId="192" xr:uid="{488FA864-89E2-4290-BFF8-6B9B4A535E80}"/>
    <cellStyle name="Fixed 2" xfId="193" xr:uid="{0BE0D80B-C7CD-45E3-B05F-77E45CBBA695}"/>
    <cellStyle name="Good" xfId="6" builtinId="26" customBuiltin="1"/>
    <cellStyle name="Good 2" xfId="194" xr:uid="{3FEE3D53-CAFC-417E-8F0C-07383D9B0DF0}"/>
    <cellStyle name="Good 3" xfId="195" xr:uid="{18FEFFA5-DBC1-4D50-A502-81F8B6F5042B}"/>
    <cellStyle name="Grey" xfId="196" xr:uid="{121314A1-7E9D-4A15-90F9-F312DF2A5254}"/>
    <cellStyle name="Grey 2" xfId="197" xr:uid="{F39433BC-5086-4916-8199-92E4F7683A45}"/>
    <cellStyle name="Grey_1" xfId="198" xr:uid="{C22D7A52-A7A5-4440-9A5B-0385A3F65E4A}"/>
    <cellStyle name="Header1" xfId="199" xr:uid="{B23EEC87-2984-43E9-AFDD-19BCF9F16A38}"/>
    <cellStyle name="Header2" xfId="200" xr:uid="{366F5F54-F837-4489-982C-826673990C24}"/>
    <cellStyle name="Heading 1" xfId="2" builtinId="16" customBuiltin="1"/>
    <cellStyle name="Heading 1 2" xfId="201" xr:uid="{E30CC197-6BD4-48C0-AE15-391E9A82ACD0}"/>
    <cellStyle name="Heading 1 3" xfId="202" xr:uid="{037C4712-1831-4114-B592-1DC685F3CACC}"/>
    <cellStyle name="Heading 1 4" xfId="203" xr:uid="{25D95B54-0E86-4A03-9832-02480A1EFE85}"/>
    <cellStyle name="Heading 2" xfId="3" builtinId="17" customBuiltin="1"/>
    <cellStyle name="Heading 2 2" xfId="204" xr:uid="{145330E8-003B-46D0-AA3D-CD99CE0EE5AA}"/>
    <cellStyle name="Heading 2 2 2" xfId="205" xr:uid="{DC4C8886-B3C0-42A4-A2A6-240FB770AECB}"/>
    <cellStyle name="Heading 2 3" xfId="206" xr:uid="{D2D51CC0-CA24-424C-9706-58AAD5455488}"/>
    <cellStyle name="Heading 2 4" xfId="207" xr:uid="{697EBB45-3409-443C-AF22-6D7924F37CA7}"/>
    <cellStyle name="Heading 3" xfId="4" builtinId="18" customBuiltin="1"/>
    <cellStyle name="Heading 3 2" xfId="208" xr:uid="{6A889277-6108-4B7C-B8DA-109CA7E52D32}"/>
    <cellStyle name="Heading 3 3" xfId="209" xr:uid="{9C48FE36-D244-4356-94BA-5B4C5780BDE6}"/>
    <cellStyle name="Heading 4" xfId="5" builtinId="19" customBuiltin="1"/>
    <cellStyle name="Heading 4 2" xfId="210" xr:uid="{5E47890C-1D44-4CA3-A6B5-3F6EB3EDE8F9}"/>
    <cellStyle name="Heading 4 3" xfId="211" xr:uid="{ED9E4DCF-1909-4A25-AFC8-39E08A02F8DD}"/>
    <cellStyle name="HEADING1" xfId="212" xr:uid="{8053E079-5B78-4578-A4B6-DF307EFBA397}"/>
    <cellStyle name="HEADING1 2" xfId="213" xr:uid="{9CDB7D02-4410-45B2-A0E2-35E2A342874D}"/>
    <cellStyle name="HEADING2" xfId="214" xr:uid="{C12B94EA-CEE9-4014-9E4E-6CC58C277CD9}"/>
    <cellStyle name="HEADING2 2" xfId="215" xr:uid="{8FF7DA10-53AE-4DEB-9E11-FD21D6788089}"/>
    <cellStyle name="HEADING2 2 2" xfId="216" xr:uid="{36BC5FC1-A544-4A06-A567-EB2EC85EDE76}"/>
    <cellStyle name="HEADING2 3" xfId="217" xr:uid="{6DF6328B-97A7-48A4-B17D-BEFB426ED89B}"/>
    <cellStyle name="HEADING2_1" xfId="218" xr:uid="{D414D4F4-91F8-44A7-B9F3-7F0A43FD1D4E}"/>
    <cellStyle name="Hyperlink 2" xfId="219" xr:uid="{57C1C4B1-71D8-4CB8-90E0-83059D14D509}"/>
    <cellStyle name="Hyperlink 3" xfId="220" xr:uid="{ED8657CE-B24A-4FF2-8B2B-002AF9F5FB4E}"/>
    <cellStyle name="Input" xfId="8" builtinId="20" customBuiltin="1"/>
    <cellStyle name="Input [yellow]" xfId="221" xr:uid="{37A799DB-E472-4181-A83A-8D4C74E93421}"/>
    <cellStyle name="Input [yellow] 2" xfId="222" xr:uid="{915D637A-FFD8-4092-BAA0-FCD397E2F091}"/>
    <cellStyle name="Input [yellow]_1" xfId="223" xr:uid="{08DA3DF2-E832-45EF-B01F-1F4E291C9860}"/>
    <cellStyle name="Input 2" xfId="224" xr:uid="{B4C60732-C171-4AD7-8502-1EC000D23041}"/>
    <cellStyle name="Input 3" xfId="225" xr:uid="{5EAF82E4-BCF0-4025-A60A-1A4F978A4BB4}"/>
    <cellStyle name="Input 4" xfId="226" xr:uid="{41F67C02-C51E-44AE-9AF5-A54A27E43E2A}"/>
    <cellStyle name="Input 5" xfId="227" xr:uid="{20C86488-4151-477A-BE83-C94DFCDC24BD}"/>
    <cellStyle name="Link Currency (0)" xfId="228" xr:uid="{26BD1956-B3D4-4503-8ADE-53A96F4F3E7A}"/>
    <cellStyle name="Link Currency (0) 2" xfId="229" xr:uid="{91AABC3C-990C-420C-B136-636DDDF26B89}"/>
    <cellStyle name="Link Currency (0) 3" xfId="230" xr:uid="{EB232635-466F-454B-A245-C925B568AB9A}"/>
    <cellStyle name="Link Currency (2)" xfId="231" xr:uid="{680AC47A-C75C-4800-805A-734A36908C9C}"/>
    <cellStyle name="Link Currency (2) 2" xfId="232" xr:uid="{A3204BF0-DF42-4712-A827-6A565C40E0BF}"/>
    <cellStyle name="Link Currency (2) 3" xfId="233" xr:uid="{6F5921AE-6637-41D9-B757-F98305232C65}"/>
    <cellStyle name="Link Units (0)" xfId="234" xr:uid="{C06C26E2-D614-43BA-AE24-28F29B294D98}"/>
    <cellStyle name="Link Units (0) 2" xfId="235" xr:uid="{86FAA5F8-BF98-47B2-9CA7-1E28BCF1ED3E}"/>
    <cellStyle name="Link Units (0) 3" xfId="236" xr:uid="{ADB665FF-701F-4E2B-BB98-762FAF5CC65A}"/>
    <cellStyle name="Link Units (1)" xfId="237" xr:uid="{61C4D421-6C5B-43CF-9E46-3ABBE288A9E9}"/>
    <cellStyle name="Link Units (1) 2" xfId="238" xr:uid="{B282553E-DB8F-483C-8A6C-17E118585171}"/>
    <cellStyle name="Link Units (1) 3" xfId="239" xr:uid="{F4D33F95-AF88-40E9-AEFB-5F40E84102CE}"/>
    <cellStyle name="Link Units (2)" xfId="240" xr:uid="{41AB09B9-B93F-4EEE-BA9B-77D36B0B5C23}"/>
    <cellStyle name="Link Units (2) 2" xfId="241" xr:uid="{5E3009AA-8502-422A-9417-390CA348611E}"/>
    <cellStyle name="Link Units (2) 3" xfId="242" xr:uid="{07523734-BB1C-4009-B81C-70F888D37588}"/>
    <cellStyle name="Linked Cell" xfId="11" builtinId="24" customBuiltin="1"/>
    <cellStyle name="Linked Cell 2" xfId="243" xr:uid="{40B4260F-C86C-4B29-985D-2E8ADE015338}"/>
    <cellStyle name="Linked Cell 3" xfId="244" xr:uid="{7BEEE8F6-AAAF-4702-BC19-64C0D7E571AF}"/>
    <cellStyle name="Monétaire [0]_rwhite" xfId="245" xr:uid="{44111478-206F-4E0D-8D07-F5C6AFCEA162}"/>
    <cellStyle name="Monétaire_rwhite" xfId="246" xr:uid="{60C6B065-29FF-4101-8C0D-20E99A06AE73}"/>
    <cellStyle name="Neutral 2" xfId="248" xr:uid="{E97770F6-57BB-45AB-B3A0-DDC719ACBA4C}"/>
    <cellStyle name="Neutral 3" xfId="249" xr:uid="{81E1F32D-A006-4ABF-B611-A71EC907814C}"/>
    <cellStyle name="Neutral 4" xfId="247" xr:uid="{0EEC3F23-C238-4039-883F-18E11B3BE191}"/>
    <cellStyle name="Normal" xfId="0" builtinId="0"/>
    <cellStyle name="Normal - Style1" xfId="250" xr:uid="{BC0D48E2-A2C4-40E7-8142-1E6066527244}"/>
    <cellStyle name="Normal - Style1 2" xfId="251" xr:uid="{8A4131F7-25F4-4C0D-823F-00D871B01537}"/>
    <cellStyle name="Normal - Style1 3" xfId="252" xr:uid="{746AB835-D616-4EB6-879C-2C4B8F507FDC}"/>
    <cellStyle name="Normal 10" xfId="253" xr:uid="{BDC82E7A-1A06-46FA-8261-C02792B22D01}"/>
    <cellStyle name="Normal 10 2" xfId="254" xr:uid="{CB575CCA-74A8-4AAA-BBC2-38EFE870D644}"/>
    <cellStyle name="Normal 10 2 2" xfId="255" xr:uid="{C855A463-E30E-4F59-944E-7815F617FD3F}"/>
    <cellStyle name="Normal 10 2 2 2" xfId="256" xr:uid="{ACF79CC0-A14B-4B0F-8144-31526E1DBF6B}"/>
    <cellStyle name="Normal 10 2 3" xfId="257" xr:uid="{0F0657E9-6BF4-413A-8B7A-B46E6005530A}"/>
    <cellStyle name="Normal 10 3" xfId="258" xr:uid="{559788EB-F906-46E7-8906-B7ACAE5CCB31}"/>
    <cellStyle name="Normal 10 3 2" xfId="259" xr:uid="{0EF1A7CC-83C3-49E6-9BA9-9313E0861F01}"/>
    <cellStyle name="Normal 10 3 2 2" xfId="260" xr:uid="{A8509582-1E40-42C4-8265-EEB83FCCFA79}"/>
    <cellStyle name="Normal 10 3 3" xfId="261" xr:uid="{C61FE3D1-69C5-46BF-93BF-DA08C3D132D5}"/>
    <cellStyle name="Normal 10 4" xfId="262" xr:uid="{39115787-3069-44AE-BE98-1C4D6CB9A0B1}"/>
    <cellStyle name="Normal 11" xfId="263" xr:uid="{B2DEF78F-1370-46DE-B88C-56EBB74D4933}"/>
    <cellStyle name="Normal 11 2" xfId="264" xr:uid="{C17759DE-B5B9-4810-9BE7-5D515B0595DD}"/>
    <cellStyle name="Normal 12" xfId="265" xr:uid="{6C487FEE-F783-4B34-951A-8BFEBC9F4E91}"/>
    <cellStyle name="Normal 12 2" xfId="266" xr:uid="{1E854E2E-3468-4B05-B24D-B79DFFE2C9A5}"/>
    <cellStyle name="Normal 13" xfId="267" xr:uid="{789981DA-DD85-4915-B426-3019FC48969B}"/>
    <cellStyle name="Normal 13 2" xfId="268" xr:uid="{939BB601-385D-48F9-A9A2-2AC2398FC628}"/>
    <cellStyle name="Normal 14" xfId="269" xr:uid="{4E4EAAC2-F31D-4F30-AB89-B4FF1AB738AC}"/>
    <cellStyle name="Normal 14 2" xfId="270" xr:uid="{46E0ACB9-8CDE-4605-9F40-FCED61BEBA8B}"/>
    <cellStyle name="Normal 15" xfId="271" xr:uid="{26E77EC1-464B-4D96-80E8-93A2C22B553B}"/>
    <cellStyle name="Normal 15 2" xfId="272" xr:uid="{44109DB2-0455-47BC-9E67-4115FB887767}"/>
    <cellStyle name="Normal 16" xfId="273" xr:uid="{67541E20-2631-423D-90B2-22F62AD45074}"/>
    <cellStyle name="Normal 16 2" xfId="274" xr:uid="{20B5994A-6F6F-48AD-A5A0-060DCA59280C}"/>
    <cellStyle name="Normal 17" xfId="275" xr:uid="{2FFCB420-43F2-4E65-A291-7BB072518E8D}"/>
    <cellStyle name="Normal 18" xfId="276" xr:uid="{46EB1F7E-D94E-46FC-AD2A-9EABD4946D9C}"/>
    <cellStyle name="Normal 19" xfId="277" xr:uid="{9EF56241-8ACD-4F56-9CF8-D750DE6EAE5D}"/>
    <cellStyle name="Normal 2" xfId="278" xr:uid="{35C49F6F-0A33-40A1-A065-4D6339603555}"/>
    <cellStyle name="Normal 2 2" xfId="38" xr:uid="{D9C22307-B3C9-4C28-B40B-092539670BEF}"/>
    <cellStyle name="Normal 2 2 2" xfId="280" xr:uid="{19DCC0FB-34D3-4C73-8F0E-8E020EA0E0D4}"/>
    <cellStyle name="Normal 2 2 3" xfId="281" xr:uid="{88A75884-54D9-4B36-A4BE-CE5BB7F390DC}"/>
    <cellStyle name="Normal 2 2 3 2" xfId="282" xr:uid="{19F659C3-1235-4A90-87AF-EF74633C18E4}"/>
    <cellStyle name="Normal 2 2 4" xfId="283" xr:uid="{F41DF9AD-A3C4-4101-97B7-E06B0E68D55A}"/>
    <cellStyle name="Normal 2 2 5" xfId="279" xr:uid="{DC846505-7EB9-4486-99A5-F832429BF713}"/>
    <cellStyle name="Normal 2 3" xfId="284" xr:uid="{7E2DCFDC-8AD1-4974-8564-9B99E0BA572D}"/>
    <cellStyle name="Normal 2 3 2" xfId="285" xr:uid="{DD9FD286-7D34-4FD9-8662-7FBD16346F76}"/>
    <cellStyle name="Normal 2 3 2 2" xfId="286" xr:uid="{71B85B04-4D3C-4CF2-BA99-58CF51BEAED3}"/>
    <cellStyle name="Normal 2 3 3" xfId="287" xr:uid="{4A6363C3-FF54-4709-A539-BFE87D8B93D5}"/>
    <cellStyle name="Normal 2 4" xfId="288" xr:uid="{0E52119D-3B0E-4DA4-8F9A-CF5BB28070AB}"/>
    <cellStyle name="Normal 2 4 2" xfId="289" xr:uid="{8B5763CE-A87C-48CB-9C20-4DF64816D00A}"/>
    <cellStyle name="Normal 2 4 2 2" xfId="290" xr:uid="{E512CCA2-1015-4DE5-B24A-21F136336748}"/>
    <cellStyle name="Normal 2 4 3" xfId="291" xr:uid="{75E0608B-0378-4093-975F-F10B0710F452}"/>
    <cellStyle name="Normal 2 5" xfId="292" xr:uid="{6223A048-9995-41CC-9C1C-210DE9B134AE}"/>
    <cellStyle name="Normal 20" xfId="293" xr:uid="{F7550BFC-D86E-4506-93BC-48E23D2B372B}"/>
    <cellStyle name="Normal 21" xfId="294" xr:uid="{643D6529-C311-4763-8552-A76B6F554911}"/>
    <cellStyle name="Normal 22" xfId="295" xr:uid="{2DD2F639-F46D-4F51-892F-BA74AFCBFFFF}"/>
    <cellStyle name="Normal 23" xfId="296" xr:uid="{FE6CF189-35BC-43B7-9290-4ECFD1617635}"/>
    <cellStyle name="Normal 24" xfId="297" xr:uid="{42938B92-B3AB-4026-8D1A-968C5A494DB3}"/>
    <cellStyle name="Normal 25" xfId="298" xr:uid="{891F749D-1AA9-4BEF-B35F-EDB8EF2CD802}"/>
    <cellStyle name="Normal 26" xfId="299" xr:uid="{C3450D9E-D576-48E7-895A-D7924E7F3C7A}"/>
    <cellStyle name="Normal 27" xfId="300" xr:uid="{DA22BE2A-8D17-481C-A242-47A99F1B9B67}"/>
    <cellStyle name="Normal 28" xfId="301" xr:uid="{C8E0C744-7A2E-45B9-9A37-8FB430105CAE}"/>
    <cellStyle name="Normal 29" xfId="302" xr:uid="{BBFCB50B-F78E-4911-8BE1-71ECF37624DE}"/>
    <cellStyle name="Normal 29 2" xfId="303" xr:uid="{7C52560B-82F1-4543-9211-D6DA42942881}"/>
    <cellStyle name="Normal 29 2 2" xfId="304" xr:uid="{015E749E-1E0A-4676-A6F6-C9D3639D462F}"/>
    <cellStyle name="Normal 29 3" xfId="305" xr:uid="{513CA208-062B-4568-8561-1C836B2507EC}"/>
    <cellStyle name="Normal 3" xfId="306" xr:uid="{750B523E-324C-477B-AAD2-86722BEAC4F2}"/>
    <cellStyle name="Normal 3 2" xfId="307" xr:uid="{FD9AC027-5709-494E-B41C-E343E2AB5DB7}"/>
    <cellStyle name="Normal 3 2 2" xfId="308" xr:uid="{049E0751-C7EF-4C6D-9F2D-539B6A5D256F}"/>
    <cellStyle name="Normal 3 2 2 2" xfId="309" xr:uid="{3898D371-1878-4D9C-A835-CC7DA98F1AFB}"/>
    <cellStyle name="Normal 3 2 3" xfId="310" xr:uid="{2FED5545-CA36-4D08-B05A-3E3108940B7E}"/>
    <cellStyle name="Normal 3 3" xfId="311" xr:uid="{DC5D2B1B-30A9-44C9-A4A4-431D4C1DC7A1}"/>
    <cellStyle name="Normal 3 3 2" xfId="312" xr:uid="{0945CF40-F989-4415-9F83-F4A015E3F5F1}"/>
    <cellStyle name="Normal 3 3 2 2" xfId="313" xr:uid="{0F7A0E9F-6D6E-45F9-B544-54E65AE5590D}"/>
    <cellStyle name="Normal 3 3 3" xfId="314" xr:uid="{E6201417-7C4B-40B6-8C34-EEFE054E07A1}"/>
    <cellStyle name="Normal 3 4" xfId="315" xr:uid="{FD82977D-9126-4F89-99B8-63E243EFB1AF}"/>
    <cellStyle name="Normal 3 4 2" xfId="316" xr:uid="{113DF1A9-E1A1-4662-90C1-DD770C003299}"/>
    <cellStyle name="Normal 3 4 2 2" xfId="317" xr:uid="{4E85D8A2-0D3F-465B-ACD2-8B143F715757}"/>
    <cellStyle name="Normal 3 4 3" xfId="318" xr:uid="{7CC751BD-D456-4EB4-8846-9D3CBE7831E8}"/>
    <cellStyle name="Normal 30" xfId="319" xr:uid="{13D2490D-B8FC-44FD-9771-F51BC8721BC2}"/>
    <cellStyle name="Normal 31" xfId="320" xr:uid="{04397920-49F0-4648-8864-974DB199B40B}"/>
    <cellStyle name="Normal 31 2" xfId="321" xr:uid="{33FECB16-B4DB-457B-AFFF-E7E249DA913E}"/>
    <cellStyle name="Normal 31 2 2" xfId="322" xr:uid="{D5886763-17EA-4436-A6EF-41284502A6D6}"/>
    <cellStyle name="Normal 31 3" xfId="323" xr:uid="{99FC295C-EE9F-430F-91C5-56B811280CF0}"/>
    <cellStyle name="Normal 32" xfId="324" xr:uid="{04C312EE-6FBD-48AE-8B80-7A93C55F5D0E}"/>
    <cellStyle name="Normal 32 2" xfId="325" xr:uid="{5B586A9A-4882-4D23-BCD5-E6E2C754F6E9}"/>
    <cellStyle name="Normal 32 2 2" xfId="326" xr:uid="{3900CC13-F53D-4715-BA8C-647FB02DF80D}"/>
    <cellStyle name="Normal 32 3" xfId="327" xr:uid="{766A5440-4202-4B62-A10A-B8249E2E1861}"/>
    <cellStyle name="Normal 33" xfId="328" xr:uid="{9CB1B380-AC45-4778-BD50-E781024EA9ED}"/>
    <cellStyle name="Normal 34" xfId="329" xr:uid="{456E46D1-BF13-4E28-A5D8-025E9A463A85}"/>
    <cellStyle name="Normal 34 2" xfId="330" xr:uid="{9AE1492B-7771-4AE6-A301-FB9D23E4E0DE}"/>
    <cellStyle name="Normal 34 2 2" xfId="331" xr:uid="{A6CF7485-EFD0-4A92-9B54-8C6400980D33}"/>
    <cellStyle name="Normal 34 3" xfId="332" xr:uid="{78C38A4B-93C9-4022-94C0-56D8434E2B31}"/>
    <cellStyle name="Normal 35" xfId="333" xr:uid="{92B405F0-E6E5-49D2-8BE6-28CAD8509C74}"/>
    <cellStyle name="Normal 35 2" xfId="334" xr:uid="{8C5AE1A2-FDF9-4768-824A-A2D5F8C6A312}"/>
    <cellStyle name="Normal 35 2 2" xfId="335" xr:uid="{0F9998A2-58F3-4770-8931-607642605420}"/>
    <cellStyle name="Normal 35 3" xfId="336" xr:uid="{3A29A8C1-09F0-4954-99D0-747630BF2A04}"/>
    <cellStyle name="Normal 36" xfId="337" xr:uid="{23F029B3-17D9-4C18-AB9F-79E2DC27FA5D}"/>
    <cellStyle name="Normal 37" xfId="338" xr:uid="{A06F4B5B-C9B7-4920-AD16-C6C2D52F8382}"/>
    <cellStyle name="Normal 38" xfId="339" xr:uid="{6FA9C662-8D39-4B67-9C8E-C1D6C66D682C}"/>
    <cellStyle name="Normal 39" xfId="340" xr:uid="{4E4EB160-2F6E-414D-9106-32807072338F}"/>
    <cellStyle name="Normal 4" xfId="341" xr:uid="{B27DC9AF-A490-494E-88EE-C7635F4F7FF5}"/>
    <cellStyle name="Normal 4 2" xfId="342" xr:uid="{C67C7259-E306-4E32-B207-F099791B08B6}"/>
    <cellStyle name="Normal 4 3" xfId="343" xr:uid="{B19C5288-C4E8-4340-A320-93E8FAC7EC09}"/>
    <cellStyle name="Normal 4 3 2" xfId="344" xr:uid="{EA0648FB-30D7-40AF-9579-E2B6DB5305F5}"/>
    <cellStyle name="Normal 4 3 2 2" xfId="345" xr:uid="{297394BF-6040-4AFA-95DE-D16D81B03E77}"/>
    <cellStyle name="Normal 4 3 3" xfId="346" xr:uid="{33EE835D-A006-4CDE-809A-BB10A57C9048}"/>
    <cellStyle name="Normal 4 4" xfId="347" xr:uid="{C11DA359-C7E5-4B45-88EF-E38DE1AFA953}"/>
    <cellStyle name="Normal 4 4 2" xfId="348" xr:uid="{13EB1E24-9D01-4BEC-830E-6AF4B2B4C726}"/>
    <cellStyle name="Normal 4 4 2 2" xfId="349" xr:uid="{5B5FA75F-C540-42A2-845D-3E6E8CE588CC}"/>
    <cellStyle name="Normal 4 4 3" xfId="350" xr:uid="{22CB6AF1-1F0F-44CF-9FE8-8A67839C01FF}"/>
    <cellStyle name="Normal 40" xfId="351" xr:uid="{461C6E35-3793-4684-A7D3-9366BDD9CE7C}"/>
    <cellStyle name="Normal 41" xfId="352" xr:uid="{E078AB63-C38C-4803-ADAA-972728C1A441}"/>
    <cellStyle name="Normal 42" xfId="353" xr:uid="{F0FC9F60-5E17-4B01-B95C-C21B7CC0DFB1}"/>
    <cellStyle name="Normal 42 2" xfId="354" xr:uid="{6C3B8ABF-35C2-4FE7-8A5F-FBEE95C9127C}"/>
    <cellStyle name="Normal 43" xfId="355" xr:uid="{07BFD07D-1209-4F77-8841-A8942956209B}"/>
    <cellStyle name="Normal 44" xfId="356" xr:uid="{86753B27-0BBC-40C5-8F2E-F243E28770BA}"/>
    <cellStyle name="Normal 45" xfId="357" xr:uid="{DA6332EF-C272-4A29-BBDE-BBFD56E65EAD}"/>
    <cellStyle name="Normal 46" xfId="358" xr:uid="{4F134502-461E-4A52-974C-1B3C673E5F3F}"/>
    <cellStyle name="Normal 47" xfId="359" xr:uid="{0DC783AF-25FF-4B73-B9B9-EC9D6BCD556C}"/>
    <cellStyle name="Normal 48" xfId="360" xr:uid="{5B6151F1-9890-407F-AFB0-4227BA092A25}"/>
    <cellStyle name="Normal 49" xfId="35" xr:uid="{B35487A2-2391-4614-B2D0-797ACE1EDD67}"/>
    <cellStyle name="Normal 49 2" xfId="361" xr:uid="{9E78DA9F-CD1C-4202-A04B-121AF02B23F4}"/>
    <cellStyle name="Normal 5" xfId="362" xr:uid="{5660EB05-9F90-48A6-B35A-64604FBED880}"/>
    <cellStyle name="Normal 5 2" xfId="363" xr:uid="{CFE0825D-2CAA-4597-AFE9-CFE9ABE1A51D}"/>
    <cellStyle name="Normal 5 2 2" xfId="364" xr:uid="{8AB012FE-784C-42CC-99E7-2581A721EC4C}"/>
    <cellStyle name="Normal 5 2 2 2" xfId="365" xr:uid="{3681A05C-613A-4FF1-B83C-2C2DB3952EAF}"/>
    <cellStyle name="Normal 5 2 3" xfId="366" xr:uid="{4D75A052-8CD7-4D9A-BA8F-9D75C1D4A25B}"/>
    <cellStyle name="Normal 5 3" xfId="367" xr:uid="{67BA2067-A624-4A2A-AD64-FBA54291E478}"/>
    <cellStyle name="Normal 5 3 2" xfId="368" xr:uid="{CC03E067-4E4A-48A1-9944-16F98168435F}"/>
    <cellStyle name="Normal 5 3 2 2" xfId="369" xr:uid="{D64A1B67-3C80-4ABC-820D-799AD17E0497}"/>
    <cellStyle name="Normal 5 3 3" xfId="370" xr:uid="{F0F38B11-C78D-4988-887A-F3179E36F365}"/>
    <cellStyle name="Normal 50" xfId="37" xr:uid="{6D5993EF-85FA-4C7C-B3D1-2502CE55C9DC}"/>
    <cellStyle name="Normal 50 2" xfId="467" xr:uid="{C611197E-34B7-488C-9B02-F74CC2A1C210}"/>
    <cellStyle name="Normal 51" xfId="41" xr:uid="{96B51864-80E0-4013-BB7B-4EE4C7B8D1EB}"/>
    <cellStyle name="Normal 51 2" xfId="468" xr:uid="{643E9799-0F13-4D3F-9DC2-BE471DC76633}"/>
    <cellStyle name="Normal 52" xfId="42" xr:uid="{8172171E-7EAF-41BD-AC09-F73A9A5B886E}"/>
    <cellStyle name="Normal 53" xfId="43" xr:uid="{8F97D692-450B-44BB-90BA-CC5C7FCD1EFE}"/>
    <cellStyle name="Normal 54" xfId="44" xr:uid="{8A9672A8-46AC-45E7-9871-FFF1DAF1324F}"/>
    <cellStyle name="Normal 55" xfId="45" xr:uid="{2BFFE304-3427-4D7F-919D-655834016865}"/>
    <cellStyle name="Normal 56" xfId="36" xr:uid="{C7270F50-E610-47F0-9219-92082B44AD4E}"/>
    <cellStyle name="Normal 6" xfId="371" xr:uid="{69235FFA-B690-4DCB-BD27-52164443CC0D}"/>
    <cellStyle name="Normal 6 2" xfId="372" xr:uid="{050F1211-F729-4721-8B3B-C1CB26E690BC}"/>
    <cellStyle name="Normal 6 2 2" xfId="373" xr:uid="{D15AF673-FE28-498E-9E21-21AA05EAFE9E}"/>
    <cellStyle name="Normal 6 2 2 2" xfId="374" xr:uid="{5A385E76-AA0C-4DBA-BCE7-7D018B210013}"/>
    <cellStyle name="Normal 6 2 3" xfId="375" xr:uid="{B58D1884-4A47-43C0-A1C6-BAFA10237C8C}"/>
    <cellStyle name="Normal 6 3" xfId="376" xr:uid="{CE2EAEE4-68A5-4AB5-9193-BC28D0141BB0}"/>
    <cellStyle name="Normal 6 3 2" xfId="377" xr:uid="{853E610D-509F-42A0-BE53-EFBBFADB3875}"/>
    <cellStyle name="Normal 6 3 2 2" xfId="378" xr:uid="{38CC42E1-9B7D-441D-B8F3-7FF2E25204CC}"/>
    <cellStyle name="Normal 6 3 3" xfId="379" xr:uid="{4993A919-CBCD-4279-BCD7-A92797EE2CEB}"/>
    <cellStyle name="Normal 7" xfId="380" xr:uid="{079A2FAD-A53E-4ECC-9757-4CBFFC0EF12B}"/>
    <cellStyle name="Normal 7 2" xfId="381" xr:uid="{3F14CBFC-C79F-4B39-A15D-14A45AA2F4ED}"/>
    <cellStyle name="Normal 7 2 2" xfId="382" xr:uid="{15456D31-6664-47F0-B1B7-D3C7B170A571}"/>
    <cellStyle name="Normal 7 2 2 2" xfId="383" xr:uid="{A57F5153-FC8D-4AC8-86E2-81ED2269D9BC}"/>
    <cellStyle name="Normal 7 2 3" xfId="384" xr:uid="{69C96E30-6F41-4D63-A12F-E83248A9FA70}"/>
    <cellStyle name="Normal 8" xfId="385" xr:uid="{F2F31B04-91E6-409A-A2FC-879956AE4CB4}"/>
    <cellStyle name="Normal 8 2" xfId="386" xr:uid="{C98B2435-A64C-4E0C-B725-BA76AE6C914A}"/>
    <cellStyle name="Normal 8 2 2" xfId="387" xr:uid="{72BC18DF-697B-464E-99EC-546E28AF89DA}"/>
    <cellStyle name="Normal 8 2 2 2" xfId="388" xr:uid="{3131004A-15B3-4AA9-A9C3-ADC9674C8A3E}"/>
    <cellStyle name="Normal 8 2 3" xfId="389" xr:uid="{CE0069CE-C0D3-45D0-A3ED-1A6F98BBB0FF}"/>
    <cellStyle name="Normal 8 3" xfId="390" xr:uid="{ED5EA6C8-8482-44EB-822F-1E211EC78ADE}"/>
    <cellStyle name="Normal 8 3 2" xfId="391" xr:uid="{B67D9B6B-4CDB-40E3-86B2-0FF070703DFD}"/>
    <cellStyle name="Normal 8 3 2 2" xfId="392" xr:uid="{68A9C80B-D1B6-4A6B-9448-F77BED962D86}"/>
    <cellStyle name="Normal 8 3 3" xfId="393" xr:uid="{20D50433-21A1-4909-9E92-F1D2E6AF556A}"/>
    <cellStyle name="Normal 9" xfId="394" xr:uid="{CAA0B2CB-8513-4E8D-BF00-4CF653DFFB57}"/>
    <cellStyle name="Normal 9 2" xfId="395" xr:uid="{CB89BDB5-3AFF-4F0C-A136-707766CBACDC}"/>
    <cellStyle name="Normal 9 2 2" xfId="396" xr:uid="{3D7925A3-1665-45C1-9B07-DED0094E511A}"/>
    <cellStyle name="Normal 9 2 2 2" xfId="397" xr:uid="{13C1EC66-829D-4B8F-9E60-1E5100D3E58B}"/>
    <cellStyle name="Normal 9 2 3" xfId="398" xr:uid="{B70C4E7D-3DC8-4E60-9B64-A09AFBCFFE5C}"/>
    <cellStyle name="Normal 9 3" xfId="399" xr:uid="{19B79D28-41C9-4DFC-A662-88BAE73DECB8}"/>
    <cellStyle name="Normal 9 3 2" xfId="400" xr:uid="{25C93FFA-0E53-4B2A-BAD3-7FD90F133F6C}"/>
    <cellStyle name="Normal 9 3 2 2" xfId="401" xr:uid="{8CD7480A-E23A-460E-BEA9-7F08AEB814D3}"/>
    <cellStyle name="Normal 9 3 3" xfId="402" xr:uid="{F8733FF2-1557-4458-A12F-CF967061FB40}"/>
    <cellStyle name="Note 2" xfId="403" xr:uid="{DB82CC5E-9876-4B1D-B71A-4345F28EFCE9}"/>
    <cellStyle name="Note 3" xfId="404" xr:uid="{6BD80E18-2A1B-48E9-9E2D-FB3ABB0F3C86}"/>
    <cellStyle name="Note 4" xfId="405" xr:uid="{57B92E37-1256-4938-A140-05F9F72E2ECE}"/>
    <cellStyle name="Output" xfId="9" builtinId="21" customBuiltin="1"/>
    <cellStyle name="Output 2" xfId="406" xr:uid="{02E2F283-D9B5-4F55-8AFB-F0925FCFFE99}"/>
    <cellStyle name="Output 3" xfId="407" xr:uid="{516AF592-AC8B-42B7-83E7-201C52B63B4D}"/>
    <cellStyle name="Percent [0]" xfId="408" xr:uid="{00FFCF81-1909-4D0F-B6D3-BCA105E8F2D6}"/>
    <cellStyle name="Percent [0] 2" xfId="409" xr:uid="{C9404242-90DF-44D1-9F03-12CFE6C9932E}"/>
    <cellStyle name="Percent [0] 3" xfId="410" xr:uid="{013DCE45-5486-49D8-A067-9A8203F983A8}"/>
    <cellStyle name="Percent [00]" xfId="411" xr:uid="{5D2C4FC0-FDD5-4E1A-B0AC-D06C5024328A}"/>
    <cellStyle name="Percent [00] 2" xfId="412" xr:uid="{D6627FCE-EEBC-4E0B-A642-79535403AFA1}"/>
    <cellStyle name="Percent [00] 3" xfId="413" xr:uid="{3ED7B7D2-0CD4-4EA2-AF33-E86DA513F150}"/>
    <cellStyle name="Percent [2]" xfId="414" xr:uid="{235188C7-811C-4B29-AEDF-131A1AFE534F}"/>
    <cellStyle name="Percent [2] 2" xfId="415" xr:uid="{CCA1E265-8347-4E35-BE0D-82E1E3DD4035}"/>
    <cellStyle name="Percent 10" xfId="416" xr:uid="{414E25D4-3FCC-49B9-9A59-421A65771F9F}"/>
    <cellStyle name="Percent 11" xfId="417" xr:uid="{6AD07AD4-127B-4201-87EA-B91AD0768EA0}"/>
    <cellStyle name="Percent 12" xfId="418" xr:uid="{1E95A16E-FA0D-4EAD-A1A5-2548FC149445}"/>
    <cellStyle name="Percent 13" xfId="419" xr:uid="{D946CA09-6274-4B64-927F-BD4798B43E9D}"/>
    <cellStyle name="Percent 2" xfId="420" xr:uid="{CB17E0C6-EE4E-4BB8-A280-6F629A9D9CDF}"/>
    <cellStyle name="Percent 3" xfId="421" xr:uid="{33E7D503-29D1-4005-93D0-D8BB338DB406}"/>
    <cellStyle name="Percent 4" xfId="422" xr:uid="{DF60910C-472D-4CF2-AC40-DCEC8D7397DA}"/>
    <cellStyle name="Percent 4 2" xfId="423" xr:uid="{C5060D67-DFAA-479B-BBB7-88A997FDA1EE}"/>
    <cellStyle name="Percent 5" xfId="424" xr:uid="{1C77158D-9385-4BF2-BE80-FA9FCE798A4A}"/>
    <cellStyle name="Percent 6" xfId="425" xr:uid="{57AE3021-4FF8-4817-8ED7-3576FEA2F8D4}"/>
    <cellStyle name="Percent 7" xfId="426" xr:uid="{DDB7695C-F513-4096-A4CD-3F999EDAD051}"/>
    <cellStyle name="Percent 7 2" xfId="427" xr:uid="{A0BAC94F-5DE6-4C48-95CF-F3781E1B5AE8}"/>
    <cellStyle name="Percent 7 2 2" xfId="428" xr:uid="{92700A1B-7E9E-49EE-B5BF-35963D2138A9}"/>
    <cellStyle name="Percent 8" xfId="429" xr:uid="{67FD9FE8-B2B7-4ABC-A9D4-5CEA4C177BCC}"/>
    <cellStyle name="Percent 9" xfId="430" xr:uid="{C1EFCC1F-7088-4EEF-925C-4B0149995993}"/>
    <cellStyle name="PrePop Currency (0)" xfId="431" xr:uid="{7FBC3F8B-5F1B-4473-9485-54F2625E1A35}"/>
    <cellStyle name="PrePop Currency (0) 2" xfId="432" xr:uid="{EC98C9CB-EE8A-4269-B3F8-C97F3C88EAA8}"/>
    <cellStyle name="PrePop Currency (0) 3" xfId="433" xr:uid="{051C412D-42CC-4219-9139-42CAEAF5F007}"/>
    <cellStyle name="PrePop Currency (2)" xfId="434" xr:uid="{1983EAD6-B443-40E2-ADBC-56F61C95D692}"/>
    <cellStyle name="PrePop Currency (2) 2" xfId="435" xr:uid="{C780879C-FA15-470A-B37D-958B4F635965}"/>
    <cellStyle name="PrePop Currency (2) 3" xfId="436" xr:uid="{A8613A6B-518F-4012-BCEA-8F2BB2A6B854}"/>
    <cellStyle name="PrePop Units (0)" xfId="437" xr:uid="{800423FF-4E6E-4715-8A67-A51BA771EE2E}"/>
    <cellStyle name="PrePop Units (0) 2" xfId="438" xr:uid="{64F5842B-EE1F-4926-9C6B-ECF10E7BAE12}"/>
    <cellStyle name="PrePop Units (0) 3" xfId="439" xr:uid="{B0EF77FA-3472-4F02-92A0-BF68DC37CB2D}"/>
    <cellStyle name="PrePop Units (1)" xfId="440" xr:uid="{9FF4FDFC-C7C3-424F-AFDB-3C6250468A23}"/>
    <cellStyle name="PrePop Units (1) 2" xfId="441" xr:uid="{6AD6E1CA-E18D-4916-9799-AD669DB63BC3}"/>
    <cellStyle name="PrePop Units (1) 3" xfId="442" xr:uid="{D58068D4-2AF2-44C3-9659-F588BB37D83E}"/>
    <cellStyle name="PrePop Units (2)" xfId="443" xr:uid="{BE64F13B-ECEA-474C-82A0-A894430976B4}"/>
    <cellStyle name="PrePop Units (2) 2" xfId="444" xr:uid="{5D04850A-C6AA-4B89-8B6E-5116289CCBA8}"/>
    <cellStyle name="PrePop Units (2) 3" xfId="445" xr:uid="{7F41D7DF-EB63-4397-B1A0-3DD50D45C726}"/>
    <cellStyle name="Standard_Anpassen der Amortisation" xfId="446" xr:uid="{503A7973-1380-46A7-969E-3DE0D934B288}"/>
    <cellStyle name="Table Text" xfId="447" xr:uid="{7AFE8EDD-6C27-4571-BF0B-A7EC340FB135}"/>
    <cellStyle name="Table Text 2" xfId="448" xr:uid="{E08A13AF-0F9F-419D-84D3-A886B5BFBB4E}"/>
    <cellStyle name="Text Indent A" xfId="449" xr:uid="{9BEBFD43-A444-422D-AED7-165745CE4792}"/>
    <cellStyle name="Text Indent B" xfId="450" xr:uid="{6DC68882-CAA2-4F48-978C-0FA543EE9A35}"/>
    <cellStyle name="Text Indent B 2" xfId="451" xr:uid="{293D7BDD-8912-4A93-B54E-18D1CD165239}"/>
    <cellStyle name="Text Indent B 3" xfId="452" xr:uid="{0427357B-56D9-400A-96A1-96C9CC27C932}"/>
    <cellStyle name="Text Indent C" xfId="453" xr:uid="{3C64C3B7-47C5-49DA-B509-A97ECF91049F}"/>
    <cellStyle name="Text Indent C 2" xfId="454" xr:uid="{71E66472-30F5-408C-8136-3C582110C94E}"/>
    <cellStyle name="Text Indent C 3" xfId="455" xr:uid="{3C7490B9-468E-49E1-ADD1-BD99A0F86FFE}"/>
    <cellStyle name="Title 2" xfId="456" xr:uid="{79E3A92E-15F8-4D2C-B64A-9398D0A690ED}"/>
    <cellStyle name="Title 3" xfId="457" xr:uid="{FE342DE6-5D44-472D-BB23-00E27EC09601}"/>
    <cellStyle name="Title 4" xfId="458" xr:uid="{713F7009-073D-498B-8A06-CB4A1BAD08FB}"/>
    <cellStyle name="Total" xfId="15" builtinId="25" customBuiltin="1"/>
    <cellStyle name="Total 2" xfId="459" xr:uid="{E5DBBEFD-96F9-4015-B46F-33FED183D5CD}"/>
    <cellStyle name="Total 2 2" xfId="460" xr:uid="{84AA1687-E5EE-46F2-A6BE-C8097081E4C1}"/>
    <cellStyle name="Total 3" xfId="461" xr:uid="{16181939-0B54-4043-8DE4-77004E772BCD}"/>
    <cellStyle name="Total 4" xfId="462" xr:uid="{EAE63D93-EA9D-4B84-8D13-254137F6AC65}"/>
    <cellStyle name="Währung [0]_Compiling Utility Macros" xfId="463" xr:uid="{7FBA9230-598B-4532-B4AD-4592829213B2}"/>
    <cellStyle name="Währung_Compiling Utility Macros" xfId="464" xr:uid="{9C149C16-F41A-4429-A21D-69B92024174D}"/>
    <cellStyle name="Warning Text" xfId="13" builtinId="11" customBuiltin="1"/>
    <cellStyle name="Warning Text 2" xfId="465" xr:uid="{ED1CCF81-318F-48B0-95E0-7A4114252B7E}"/>
    <cellStyle name="Warning Text 3" xfId="466" xr:uid="{2BC2A8BE-2005-472B-B34C-537A0065B349}"/>
  </cellStyles>
  <dxfs count="7">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CE6F1"/>
          <bgColor rgb="FFDCE6F1"/>
        </patternFill>
      </fill>
      <border>
        <vertical style="thin">
          <color rgb="FFFFFFFF"/>
        </vertical>
        <horizontal style="thin">
          <color rgb="FFFFFFFF"/>
        </horizontal>
      </border>
    </dxf>
  </dxfs>
  <tableStyles count="2" defaultTableStyle="TableStyleMedium2" defaultPivotStyle="PivotStyleLight16">
    <tableStyle name="MySqlDefault" pivot="0" table="0" count="0" xr9:uid="{C7659F09-C3CB-4EDF-96FA-2625463B6015}"/>
    <tableStyle name="TableStyleMedium9 2" pivot="0" count="7" xr9:uid="{5FAB5637-70F0-4922-98E3-D19AA01E2A92}">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07" Type="http://schemas.openxmlformats.org/officeDocument/2006/relationships/externalLink" Target="externalLinks/externalLink9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66" Type="http://schemas.openxmlformats.org/officeDocument/2006/relationships/externalLink" Target="externalLinks/externalLink55.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87" Type="http://schemas.openxmlformats.org/officeDocument/2006/relationships/externalLink" Target="externalLinks/externalLink76.xml"/><Relationship Id="rId102" Type="http://schemas.openxmlformats.org/officeDocument/2006/relationships/externalLink" Target="externalLinks/externalLink91.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67" Type="http://schemas.openxmlformats.org/officeDocument/2006/relationships/externalLink" Target="externalLinks/externalLink56.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5\Additional%20Informat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0.%20JANUARY\Table%205\Additional%20Informat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2.%20MAY\Table%205\Additional%20Informat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3.%20JUN\Table%205\Additional%20Inform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4.%20JULY\Table%205\Additional%20Inform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5.AUG\Table%205\Additional%20Inform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6.SEP\Table%205\Additional%20Inform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7.OCT\Table%205\Additional%20Inform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8.%20NOV\Table%205\Additional%20Inform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9.%20DEC\Table%205\Additional%20Informat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0.%20JAN\Table%205\Additional%20Inform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5\Additional%20Informati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1.%20FEB\Table%205\Additional%20Inform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2.%20MAR\Table%205\Additional%20Informati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BR_Accountant-General/3.%20CD_National%20Accounts/D.%20Directorates/D5.%20D_NRF%20and%20ASB/xiii.%20Exchequer%20Management/2017-2018/Financial%20Statements/FINAL/FINAL%20AFS%202017-18%2004%20October%202018%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nter%20Branch%20Information/Section%2032%20Report/2019-2020/01.%20APR/Table%205/Additional%20Informat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Inter%20Branch%20Information/Section%2032%20Report/2019-2020/02.%20MAY/Table%205/Additional%20Informat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Inter%20Branch%20Information/Section%2032%20Report/2019-2020/03.%20JUN/Table%205/Additional%20Informat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Inter%20Branch%20Information/Section%2032%20Report/2020-2021/04.%20JULY/Table%205/Additional%20Informat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Inter%20Branch%20Information/Section%2032%20Report/2019-2020/05.AUG/Table%205/Additional%20Inform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Inter%20Branch%20Information/Section%2032%20Report/2019-2020/08.%20NOV/Table%205/Additional%20Informat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Inter%20Branch%20Information/Section%2032%20Report/2020-2021/09.%20DECEMBER/Table%205/Additional%20Inform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5\Additional%20Informatio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Inter%20Branch%20Information/Section%2032%20Report/2019-2020/10.%20JAN/Table%205/Additional%20Informati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3309/AppData/Local/Microsoft/Windows/INetCache/Content.Outlook/RRMAVOF1/statement%203%20(00000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Inter%20Branch%20Information/Section%2032%20Report/2020-2021/01.%20APR/Table%204/Recon%20statement%20.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Inter%20Branch%20Information/Section%2032%20Report/2020-2021/02.%20MAY/Table%204/Recon%20statement.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nter%20Branch%20Information/Section%2032%20Report/2020-2021/03.%20JUNE/Table%204/Recon%20statement.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Inter%20Branch%20Information/Section%2032%20Report/2020-2021/04.%20JULY/Table%204/Recon%20statement.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Inter%20Branch%20Information/Section%2032%20Report/2020-2021/05.%20AUGUST/Table%204/Recon%20statement.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Inter%20Branch%20Information/Section%2032%20Report/2020-2021/06.%20SEPTEMBER/Table%204/Recon%20statement.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Inter%20Branch%20Information/Section%2032%20Report/2020-2021/07.%20OCTOBER/Table%204/Recon%20statement.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Inter%20Branch%20Information/Section%2032%20Report/2020-2021/08.%20NOVEMBER/Table%204/Recon%20statemen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5\Additional%20Informat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Inter%20Branch%20Information/Section%2032%20Report/2020-2021/09.%20DECEMBER/Table%204/Recon%20statement.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Inter%20Branch%20Information/Section%2032%20Report/2020-2021/10.%20JANUARY/Table%204/Recon%20statement%2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Inter%20Branch%20Information/Section%2032%20Report/2019-2020/01.%20APR/Table%204/Recon%20statement%20.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Inter%20Branch%20Information/Section%2032%20Report/2019-2020/03.%20JUN/Table%204/Recon%20statement%20.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Inter%20Branch%20Information/Section%2032%20Report/2019-2020/04.%20JULY/Table%204/Recon%20statement%20.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Inter%20Branch%20Information/Section%2032%20Report/2019-2020/05.AUG/Table%204/Recon%20statement%2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nter%20Branch%20Information/Section%2032%20Report/2019-2020/06.SEP/Table%204/Recon%20statement%20.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Inter%20Branch%20Information/Section%2032%20Report/2019-2020/07.OCT/Table%204/Recon%20statement%20.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Inter%20Branch%20Information/Section%2032%20Report/2019-2020/08.%20NOV/Table%204/Recon%20statement%20.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Inter%20Branch%20Information/Section%2032%20Report/2019-2020/09.%20DEC/Table%204/Recon%20statement%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5\Additional%20Informati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Inter%20Branch%20Information/Section%2032%20Report/2019-2020/10.%20JAN/Table%204/Recon%20statement%20.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Inter%20Branch%20Information/Section%2032%20Report/2019-2020/11.%20FEB/Table%204/Recon%20statement%20.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Inter%20Branch%20Information/Section%2032%20Report/2019-2020/12.%20MAR/Table%204/Recon%20statement%20.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1\Table%201%20October%202020%2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1\Table%201%20April%20202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1\Table%201%20May%20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1\Table%201%20June%20202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1\Table%201%20July%202020.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1\Table%201%20August%20202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1\Table%201%20September%20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5\Additional%20Informatio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1\Table%201%20October%20202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8.%20NOVEMBER\Table%201\Table%201%20November%20202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9.%20DECEMBER\Table%201\Table%201%20December%202020.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0.%20JANUARY\Table%201\Table%201%20January%20202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9.%20DECEMBER\Table%202\Table%202%20CY.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2\Table%202%20CY.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2\Table%202%20CY.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2\Table%202%20CY.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2\Table%202%20C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2\Table%202%20C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5\Additional%20Informatio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2\Table%202%20C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2\Table%202%20C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8.%20NOVEMBER\Table%202\Table%202%20CY.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0.%20JANUARY\Table%202\Table%202%20CY.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8.%20NOVEMBER\Table%202\Table%202%20P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2\Table%202%20PY.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2\Table%202%20PY.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2\Table%202%20PY.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2\Table%202%20P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2\Table%202%20P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8.%20NOVEMBER\Table%205\Additional%20Informatio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2\Table%202%20P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2\Table%202%20P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9.%20DECEMBER\Table%202\Table%202%20P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0.%20JANUARY\Table%202\Table%202%20PY.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2\Table%202%20PY.xl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6.SEP\Table%202\Table%202%20CY.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2\Table%202%20CY.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3\statement%203%2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3\statement%2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3\statement%2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9.%20DECEMBER\Table%205\Additional%20Informatio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3\statement%203.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3\statement%2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3\statement%2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3\statement%2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8.%20NOVEMBER\Table%203\statement%2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9.%20DECEMBER\Table%203\statement%2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0.%20JANUARY\Table%203\statement%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8.%20NOVEMBER\Table%203\statement%203%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3\statement%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G6">
            <v>1236489</v>
          </cell>
          <cell r="U6">
            <v>1191518</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P6">
            <v>1360720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H6">
            <v>5522378</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I6">
            <v>193328</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J6">
            <v>236828</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K6">
            <v>536881</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L6">
            <v>309645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M6">
            <v>149579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N6">
            <v>389977</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O6">
            <v>143285</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P6">
            <v>307553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H6">
            <v>2807140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Q6">
            <v>558415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R6">
            <v>3261946</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c Pol pg1"/>
      <sheetName val="Acc Pol pg2"/>
      <sheetName val="Acc Pol pg3"/>
      <sheetName val="Acc Pol pg4"/>
      <sheetName val="Events aft rd"/>
      <sheetName val="Per"/>
      <sheetName val="NA"/>
      <sheetName val="Pos"/>
      <sheetName val="CF"/>
      <sheetName val="N"/>
      <sheetName val="D"/>
      <sheetName val="1A"/>
      <sheetName val="1B"/>
      <sheetName val="1C"/>
      <sheetName val="1D"/>
      <sheetName val="1E"/>
      <sheetName val="2A"/>
      <sheetName val="2B"/>
      <sheetName val="2C"/>
      <sheetName val="2D"/>
      <sheetName val="2E"/>
      <sheetName val="2F"/>
      <sheetName val="3A"/>
      <sheetName val="3B"/>
      <sheetName val="3C"/>
      <sheetName val="4A"/>
      <sheetName val="4B"/>
      <sheetName val="4C"/>
      <sheetName val="4D"/>
      <sheetName val="4E"/>
      <sheetName val="4F"/>
      <sheetName val="5A"/>
      <sheetName val="5B"/>
      <sheetName val="6"/>
      <sheetName val="7A"/>
      <sheetName val="7B"/>
      <sheetName val="7C"/>
      <sheetName val="8A"/>
      <sheetName val="8B"/>
      <sheetName val="8C"/>
      <sheetName val="8D"/>
      <sheetName val="9A"/>
      <sheetName val="9B"/>
      <sheetName val="9C"/>
      <sheetName val="9D"/>
      <sheetName val="10"/>
      <sheetName val="11"/>
      <sheetName val="Current year TB"/>
      <sheetName val="Prior year TB"/>
      <sheetName val="Exceptions"/>
      <sheetName val="Recon DWS Appropriation"/>
      <sheetName val="Recon STATS SA appropriation"/>
      <sheetName val="Recon to Budget Deficit"/>
      <sheetName val="Recon Note 22"/>
      <sheetName val="Recon Statement 15 Current YR "/>
      <sheetName val="ALM AFS"/>
      <sheetName val="Recon Statement 15 Prior YR"/>
      <sheetName val="ALM note 11 2017-2018"/>
      <sheetName val="Recon to Cash "/>
      <sheetName val="ALM note 11 2016-2017 f"/>
      <sheetName val="Accounting Officers Review"/>
      <sheetName val="Graphs"/>
      <sheetName val="alm note 11 2016-2017"/>
      <sheetName val="ALM Note 11 2015-2016"/>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7">
          <cell r="H17">
            <v>917161637240.06995</v>
          </cell>
          <cell r="L17" t="str">
            <v>Inland revenue</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G40">
            <v>-131872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H40">
            <v>-83878</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I40">
            <v>-23306</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J6">
            <v>3550323</v>
          </cell>
        </row>
        <row r="40">
          <cell r="X40">
            <v>-119906</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K40">
            <v>-230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N40">
            <v>-1363</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O6">
            <v>2698953</v>
          </cell>
        </row>
        <row r="40">
          <cell r="AC40">
            <v>-107525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I6">
            <v>3319954</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P40">
            <v>-298</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8">
          <cell r="H8" t="str">
            <v>2020/21</v>
          </cell>
          <cell r="BZ8" t="str">
            <v>2019/20</v>
          </cell>
        </row>
        <row r="9">
          <cell r="H9" t="str">
            <v>Revised</v>
          </cell>
          <cell r="BZ9" t="str">
            <v>Preliminary</v>
          </cell>
        </row>
      </sheetData>
      <sheetData sheetId="1">
        <row r="9">
          <cell r="G9" t="str">
            <v>Revised</v>
          </cell>
          <cell r="BY9" t="str">
            <v>Preliminary</v>
          </cell>
        </row>
        <row r="13">
          <cell r="G13">
            <v>514767000</v>
          </cell>
          <cell r="L13">
            <v>38350619</v>
          </cell>
          <cell r="Q13">
            <v>45031287.743999995</v>
          </cell>
          <cell r="V13">
            <v>49600848</v>
          </cell>
          <cell r="AA13">
            <v>69933031</v>
          </cell>
          <cell r="AF13">
            <v>44319358</v>
          </cell>
          <cell r="AK13">
            <v>61486843</v>
          </cell>
          <cell r="AP13">
            <v>59931421</v>
          </cell>
          <cell r="AU13">
            <v>46634910</v>
          </cell>
          <cell r="AZ13">
            <v>52191398</v>
          </cell>
          <cell r="BE13">
            <v>39060638</v>
          </cell>
          <cell r="BJ13">
            <v>0</v>
          </cell>
          <cell r="BO13">
            <v>0</v>
          </cell>
          <cell r="BT13">
            <v>506540353.74399996</v>
          </cell>
          <cell r="BY13">
            <v>335517549</v>
          </cell>
          <cell r="CD13">
            <v>20725876</v>
          </cell>
          <cell r="CI13">
            <v>26579251</v>
          </cell>
          <cell r="CN13">
            <v>21124207</v>
          </cell>
          <cell r="CS13">
            <v>24760828</v>
          </cell>
          <cell r="CX13">
            <v>30904734</v>
          </cell>
          <cell r="DC13">
            <v>32089447</v>
          </cell>
          <cell r="DH13">
            <v>33970885</v>
          </cell>
          <cell r="DM13">
            <v>34588835</v>
          </cell>
          <cell r="DR13">
            <v>26476333</v>
          </cell>
          <cell r="DW13">
            <v>21562772</v>
          </cell>
          <cell r="EB13">
            <v>32267535</v>
          </cell>
          <cell r="EG13">
            <v>30466846</v>
          </cell>
          <cell r="EL13">
            <v>272783168</v>
          </cell>
        </row>
        <row r="14">
          <cell r="G14">
            <v>0</v>
          </cell>
          <cell r="L14">
            <v>0</v>
          </cell>
          <cell r="Q14">
            <v>0</v>
          </cell>
          <cell r="V14">
            <v>0</v>
          </cell>
          <cell r="AA14">
            <v>0</v>
          </cell>
          <cell r="AF14">
            <v>0</v>
          </cell>
          <cell r="AK14">
            <v>0</v>
          </cell>
          <cell r="AP14">
            <v>0</v>
          </cell>
          <cell r="AU14">
            <v>0</v>
          </cell>
          <cell r="AZ14">
            <v>0</v>
          </cell>
          <cell r="BE14">
            <v>0</v>
          </cell>
          <cell r="BJ14">
            <v>0</v>
          </cell>
          <cell r="BO14">
            <v>0</v>
          </cell>
          <cell r="BT14">
            <v>0</v>
          </cell>
          <cell r="BY14">
            <v>14152656</v>
          </cell>
          <cell r="CD14">
            <v>0</v>
          </cell>
          <cell r="CI14">
            <v>14152656</v>
          </cell>
          <cell r="CN14">
            <v>0</v>
          </cell>
          <cell r="CS14">
            <v>0</v>
          </cell>
          <cell r="CX14">
            <v>0</v>
          </cell>
          <cell r="DC14">
            <v>0</v>
          </cell>
          <cell r="DH14">
            <v>0</v>
          </cell>
          <cell r="DM14">
            <v>0</v>
          </cell>
          <cell r="DR14">
            <v>0</v>
          </cell>
          <cell r="DW14">
            <v>0</v>
          </cell>
          <cell r="EB14">
            <v>0</v>
          </cell>
          <cell r="EG14">
            <v>0</v>
          </cell>
          <cell r="EL14">
            <v>14152656</v>
          </cell>
        </row>
        <row r="15">
          <cell r="G15">
            <v>0</v>
          </cell>
          <cell r="L15">
            <v>487336</v>
          </cell>
          <cell r="Q15">
            <v>29682</v>
          </cell>
          <cell r="V15">
            <v>28489</v>
          </cell>
          <cell r="AA15">
            <v>0</v>
          </cell>
          <cell r="AF15">
            <v>41191</v>
          </cell>
          <cell r="AK15">
            <v>18552</v>
          </cell>
          <cell r="AP15">
            <v>0</v>
          </cell>
          <cell r="AU15">
            <v>85877</v>
          </cell>
          <cell r="AZ15">
            <v>204461</v>
          </cell>
          <cell r="BE15">
            <v>132680</v>
          </cell>
          <cell r="BJ15">
            <v>0</v>
          </cell>
          <cell r="BO15">
            <v>0</v>
          </cell>
          <cell r="BT15">
            <v>1028268</v>
          </cell>
          <cell r="BY15">
            <v>4361282</v>
          </cell>
          <cell r="CD15">
            <v>3109689</v>
          </cell>
          <cell r="CI15">
            <v>0</v>
          </cell>
          <cell r="CN15">
            <v>0</v>
          </cell>
          <cell r="CS15">
            <v>0</v>
          </cell>
          <cell r="CX15">
            <v>289217</v>
          </cell>
          <cell r="DC15">
            <v>235010</v>
          </cell>
          <cell r="DH15">
            <v>0</v>
          </cell>
          <cell r="DM15">
            <v>64127</v>
          </cell>
          <cell r="DR15">
            <v>0</v>
          </cell>
          <cell r="DW15">
            <v>0</v>
          </cell>
          <cell r="EB15">
            <v>0</v>
          </cell>
          <cell r="EG15">
            <v>663239</v>
          </cell>
          <cell r="EL15">
            <v>3698043</v>
          </cell>
        </row>
        <row r="16">
          <cell r="L16">
            <v>0</v>
          </cell>
          <cell r="Q16">
            <v>0</v>
          </cell>
          <cell r="V16">
            <v>0</v>
          </cell>
          <cell r="AA16">
            <v>0</v>
          </cell>
          <cell r="AF16">
            <v>0</v>
          </cell>
          <cell r="AK16">
            <v>0</v>
          </cell>
          <cell r="AP16">
            <v>0</v>
          </cell>
          <cell r="AU16">
            <v>0</v>
          </cell>
          <cell r="AZ16">
            <v>0</v>
          </cell>
          <cell r="BE16">
            <v>0</v>
          </cell>
          <cell r="BJ16">
            <v>0</v>
          </cell>
          <cell r="BO16">
            <v>0</v>
          </cell>
          <cell r="BT16">
            <v>0</v>
          </cell>
          <cell r="CD16">
            <v>0</v>
          </cell>
          <cell r="CI16">
            <v>0</v>
          </cell>
          <cell r="CN16">
            <v>0</v>
          </cell>
          <cell r="CS16">
            <v>0</v>
          </cell>
          <cell r="CX16">
            <v>0</v>
          </cell>
          <cell r="DC16">
            <v>0</v>
          </cell>
          <cell r="DH16">
            <v>0</v>
          </cell>
          <cell r="DM16">
            <v>0</v>
          </cell>
          <cell r="DR16">
            <v>0</v>
          </cell>
          <cell r="DW16">
            <v>0</v>
          </cell>
          <cell r="EB16">
            <v>0</v>
          </cell>
          <cell r="EG16">
            <v>0</v>
          </cell>
          <cell r="EL16">
            <v>0</v>
          </cell>
        </row>
        <row r="20">
          <cell r="G20">
            <v>52267000</v>
          </cell>
          <cell r="L20">
            <v>4299769</v>
          </cell>
          <cell r="Q20">
            <v>4058204</v>
          </cell>
          <cell r="V20">
            <v>6085389</v>
          </cell>
          <cell r="AA20">
            <v>8992564</v>
          </cell>
          <cell r="AF20">
            <v>6877121</v>
          </cell>
          <cell r="AK20">
            <v>10836667</v>
          </cell>
          <cell r="AP20">
            <v>9026146</v>
          </cell>
          <cell r="AU20">
            <v>7195171</v>
          </cell>
          <cell r="AZ20">
            <v>6333842</v>
          </cell>
          <cell r="BE20">
            <v>3989426</v>
          </cell>
          <cell r="BJ20">
            <v>0</v>
          </cell>
          <cell r="BO20">
            <v>0</v>
          </cell>
          <cell r="BT20">
            <v>67694299</v>
          </cell>
          <cell r="BY20">
            <v>29779023</v>
          </cell>
          <cell r="CD20">
            <v>1256954</v>
          </cell>
          <cell r="CI20">
            <v>1652532</v>
          </cell>
          <cell r="CN20">
            <v>1668026</v>
          </cell>
          <cell r="CS20">
            <v>1721005</v>
          </cell>
          <cell r="CX20">
            <v>2422421</v>
          </cell>
          <cell r="DC20">
            <v>2517677</v>
          </cell>
          <cell r="DH20">
            <v>2852893</v>
          </cell>
          <cell r="DM20">
            <v>3497342</v>
          </cell>
          <cell r="DR20">
            <v>2287072</v>
          </cell>
          <cell r="DW20">
            <v>2282238</v>
          </cell>
          <cell r="EB20">
            <v>2868557</v>
          </cell>
          <cell r="EG20">
            <v>4752306</v>
          </cell>
          <cell r="EL20">
            <v>22158160</v>
          </cell>
        </row>
        <row r="217">
          <cell r="G217">
            <v>0</v>
          </cell>
          <cell r="L217">
            <v>0</v>
          </cell>
          <cell r="Q217">
            <v>0</v>
          </cell>
          <cell r="V217">
            <v>0</v>
          </cell>
          <cell r="AA217">
            <v>0</v>
          </cell>
          <cell r="AF217">
            <v>0</v>
          </cell>
          <cell r="AK217">
            <v>0</v>
          </cell>
          <cell r="AP217">
            <v>0</v>
          </cell>
          <cell r="AU217">
            <v>0</v>
          </cell>
          <cell r="AZ217">
            <v>0</v>
          </cell>
          <cell r="BE217">
            <v>0</v>
          </cell>
          <cell r="BJ217">
            <v>0</v>
          </cell>
          <cell r="BO217">
            <v>0</v>
          </cell>
          <cell r="BT217">
            <v>0</v>
          </cell>
          <cell r="BY217">
            <v>1646946</v>
          </cell>
          <cell r="CD217">
            <v>0</v>
          </cell>
          <cell r="CI217">
            <v>1646946</v>
          </cell>
          <cell r="CN217">
            <v>0</v>
          </cell>
          <cell r="CS217">
            <v>0</v>
          </cell>
          <cell r="CX217">
            <v>0</v>
          </cell>
          <cell r="DC217">
            <v>0</v>
          </cell>
          <cell r="DH217">
            <v>0</v>
          </cell>
          <cell r="DM217">
            <v>0</v>
          </cell>
          <cell r="DR217">
            <v>0</v>
          </cell>
          <cell r="DW217">
            <v>0</v>
          </cell>
          <cell r="EB217">
            <v>0</v>
          </cell>
          <cell r="EG217">
            <v>0</v>
          </cell>
          <cell r="EL217">
            <v>1646946</v>
          </cell>
        </row>
        <row r="294">
          <cell r="D294" t="str">
            <v xml:space="preserve">  R2044 (8.75%  2044-45-46/01/31)</v>
          </cell>
        </row>
        <row r="309">
          <cell r="D309" t="str">
            <v xml:space="preserve">  R210 (2.60%  2028/03/31)</v>
          </cell>
        </row>
        <row r="312">
          <cell r="D312" t="str">
            <v xml:space="preserve">  R2037  (8.50%  2037/01/31)</v>
          </cell>
        </row>
        <row r="338">
          <cell r="D338" t="str">
            <v xml:space="preserve">  R209  (6.25%  2036/03/31)</v>
          </cell>
        </row>
      </sheetData>
      <sheetData sheetId="2">
        <row r="9">
          <cell r="G9" t="str">
            <v>Revised</v>
          </cell>
          <cell r="BY9" t="str">
            <v>Preliminary</v>
          </cell>
        </row>
        <row r="13">
          <cell r="G13">
            <v>52465000</v>
          </cell>
          <cell r="L13">
            <v>1200137</v>
          </cell>
          <cell r="Q13">
            <v>335047</v>
          </cell>
          <cell r="V13">
            <v>112559</v>
          </cell>
          <cell r="AA13">
            <v>339545</v>
          </cell>
          <cell r="AF13">
            <v>212255</v>
          </cell>
          <cell r="AK13">
            <v>223023</v>
          </cell>
          <cell r="AP13">
            <v>333330</v>
          </cell>
          <cell r="AU13">
            <v>314155</v>
          </cell>
          <cell r="AZ13">
            <v>59957</v>
          </cell>
          <cell r="BE13">
            <v>397954</v>
          </cell>
          <cell r="BJ13">
            <v>0</v>
          </cell>
          <cell r="BO13">
            <v>0</v>
          </cell>
          <cell r="BT13">
            <v>3527962</v>
          </cell>
          <cell r="BY13">
            <v>19427655</v>
          </cell>
          <cell r="CD13">
            <v>334512</v>
          </cell>
          <cell r="CI13">
            <v>254394</v>
          </cell>
          <cell r="CN13">
            <v>251090</v>
          </cell>
          <cell r="CS13">
            <v>239599</v>
          </cell>
          <cell r="CX13">
            <v>317003</v>
          </cell>
          <cell r="DC13">
            <v>464401</v>
          </cell>
          <cell r="DH13">
            <v>190972</v>
          </cell>
          <cell r="DM13">
            <v>372701</v>
          </cell>
          <cell r="DR13">
            <v>335951</v>
          </cell>
          <cell r="DW13">
            <v>16129719</v>
          </cell>
          <cell r="EB13">
            <v>239823</v>
          </cell>
          <cell r="EG13">
            <v>297490</v>
          </cell>
          <cell r="EL13">
            <v>18890342</v>
          </cell>
        </row>
        <row r="14">
          <cell r="G14">
            <v>0</v>
          </cell>
          <cell r="L14">
            <v>0</v>
          </cell>
          <cell r="Q14">
            <v>0</v>
          </cell>
          <cell r="V14">
            <v>0</v>
          </cell>
          <cell r="AA14">
            <v>0</v>
          </cell>
          <cell r="AF14">
            <v>0</v>
          </cell>
          <cell r="AK14">
            <v>0</v>
          </cell>
          <cell r="AP14">
            <v>0</v>
          </cell>
          <cell r="AU14">
            <v>0</v>
          </cell>
          <cell r="AZ14">
            <v>0</v>
          </cell>
          <cell r="BE14">
            <v>0</v>
          </cell>
          <cell r="BJ14">
            <v>0</v>
          </cell>
          <cell r="BO14">
            <v>0</v>
          </cell>
          <cell r="BT14">
            <v>0</v>
          </cell>
          <cell r="BY14">
            <v>12795000</v>
          </cell>
          <cell r="CD14">
            <v>0</v>
          </cell>
          <cell r="CI14">
            <v>12795000</v>
          </cell>
          <cell r="CN14">
            <v>0</v>
          </cell>
          <cell r="CS14">
            <v>0</v>
          </cell>
          <cell r="CX14">
            <v>0</v>
          </cell>
          <cell r="DC14">
            <v>0</v>
          </cell>
          <cell r="DH14">
            <v>0</v>
          </cell>
          <cell r="DM14">
            <v>0</v>
          </cell>
          <cell r="DR14">
            <v>0</v>
          </cell>
          <cell r="DW14">
            <v>0</v>
          </cell>
          <cell r="EB14">
            <v>0</v>
          </cell>
          <cell r="EG14">
            <v>0</v>
          </cell>
          <cell r="EL14">
            <v>12795000</v>
          </cell>
        </row>
        <row r="15">
          <cell r="G15">
            <v>0</v>
          </cell>
          <cell r="L15">
            <v>487336</v>
          </cell>
          <cell r="Q15">
            <v>29682</v>
          </cell>
          <cell r="V15">
            <v>28489</v>
          </cell>
          <cell r="AA15">
            <v>0</v>
          </cell>
          <cell r="AF15">
            <v>41191</v>
          </cell>
          <cell r="AK15">
            <v>18552</v>
          </cell>
          <cell r="AP15">
            <v>0</v>
          </cell>
          <cell r="AU15">
            <v>0</v>
          </cell>
          <cell r="AZ15">
            <v>290338</v>
          </cell>
          <cell r="BE15">
            <v>132680</v>
          </cell>
          <cell r="BJ15">
            <v>0</v>
          </cell>
          <cell r="BO15">
            <v>0</v>
          </cell>
          <cell r="BT15">
            <v>1028268</v>
          </cell>
          <cell r="BY15">
            <v>4361282</v>
          </cell>
          <cell r="CD15">
            <v>3109689</v>
          </cell>
          <cell r="CI15">
            <v>0</v>
          </cell>
          <cell r="CN15">
            <v>0</v>
          </cell>
          <cell r="CS15">
            <v>0</v>
          </cell>
          <cell r="CX15">
            <v>289217</v>
          </cell>
          <cell r="DC15">
            <v>235010</v>
          </cell>
          <cell r="DH15">
            <v>0</v>
          </cell>
          <cell r="DM15">
            <v>64127</v>
          </cell>
          <cell r="DR15">
            <v>0</v>
          </cell>
          <cell r="DW15">
            <v>0</v>
          </cell>
          <cell r="EB15">
            <v>0</v>
          </cell>
          <cell r="EG15">
            <v>663239</v>
          </cell>
          <cell r="EL15">
            <v>3698043</v>
          </cell>
        </row>
        <row r="16">
          <cell r="G16">
            <v>0</v>
          </cell>
          <cell r="L16">
            <v>0</v>
          </cell>
          <cell r="Q16">
            <v>0</v>
          </cell>
          <cell r="V16">
            <v>0</v>
          </cell>
          <cell r="AA16">
            <v>0</v>
          </cell>
          <cell r="AF16">
            <v>0</v>
          </cell>
          <cell r="AK16">
            <v>0</v>
          </cell>
          <cell r="AP16">
            <v>0</v>
          </cell>
          <cell r="AU16">
            <v>0</v>
          </cell>
          <cell r="AZ16">
            <v>0</v>
          </cell>
          <cell r="BE16">
            <v>0</v>
          </cell>
          <cell r="BJ16">
            <v>0</v>
          </cell>
          <cell r="BO16">
            <v>0</v>
          </cell>
          <cell r="BT16">
            <v>0</v>
          </cell>
          <cell r="CD16">
            <v>0</v>
          </cell>
          <cell r="CI16">
            <v>0</v>
          </cell>
          <cell r="CN16">
            <v>0</v>
          </cell>
          <cell r="CS16">
            <v>0</v>
          </cell>
          <cell r="CX16">
            <v>0</v>
          </cell>
          <cell r="DC16">
            <v>0</v>
          </cell>
          <cell r="DH16">
            <v>0</v>
          </cell>
          <cell r="DM16">
            <v>0</v>
          </cell>
          <cell r="DR16">
            <v>0</v>
          </cell>
          <cell r="DW16">
            <v>0</v>
          </cell>
          <cell r="EB16">
            <v>0</v>
          </cell>
          <cell r="EG16">
            <v>0</v>
          </cell>
          <cell r="EL16">
            <v>0</v>
          </cell>
        </row>
        <row r="32">
          <cell r="G32">
            <v>0</v>
          </cell>
          <cell r="L32">
            <v>0</v>
          </cell>
          <cell r="Q32">
            <v>0</v>
          </cell>
          <cell r="V32">
            <v>0</v>
          </cell>
          <cell r="AA32">
            <v>0</v>
          </cell>
          <cell r="AF32">
            <v>0</v>
          </cell>
          <cell r="AK32">
            <v>0</v>
          </cell>
          <cell r="AP32">
            <v>0</v>
          </cell>
          <cell r="AU32">
            <v>0</v>
          </cell>
          <cell r="AZ32">
            <v>0</v>
          </cell>
          <cell r="BE32">
            <v>0</v>
          </cell>
          <cell r="BJ32">
            <v>0</v>
          </cell>
          <cell r="BO32">
            <v>0</v>
          </cell>
          <cell r="BT32">
            <v>0</v>
          </cell>
          <cell r="BY32">
            <v>0</v>
          </cell>
          <cell r="CD32">
            <v>0</v>
          </cell>
          <cell r="CI32">
            <v>0</v>
          </cell>
          <cell r="CN32">
            <v>0</v>
          </cell>
          <cell r="CS32">
            <v>0</v>
          </cell>
          <cell r="CX32">
            <v>0</v>
          </cell>
          <cell r="DC32">
            <v>0</v>
          </cell>
          <cell r="DH32">
            <v>0</v>
          </cell>
          <cell r="DM32">
            <v>0</v>
          </cell>
          <cell r="DR32">
            <v>0</v>
          </cell>
          <cell r="DW32">
            <v>0</v>
          </cell>
          <cell r="EB32">
            <v>0</v>
          </cell>
          <cell r="EG32">
            <v>0</v>
          </cell>
          <cell r="EL32">
            <v>0</v>
          </cell>
        </row>
        <row r="86">
          <cell r="D86" t="str">
            <v xml:space="preserve">  I2029 (1.875%  2029/03/31)</v>
          </cell>
        </row>
        <row r="124">
          <cell r="G124">
            <v>0</v>
          </cell>
          <cell r="L124">
            <v>0</v>
          </cell>
          <cell r="Q124">
            <v>0</v>
          </cell>
          <cell r="V124">
            <v>0</v>
          </cell>
          <cell r="AA124">
            <v>0</v>
          </cell>
          <cell r="AF124">
            <v>0</v>
          </cell>
          <cell r="AK124">
            <v>0</v>
          </cell>
          <cell r="AP124">
            <v>0</v>
          </cell>
          <cell r="AU124">
            <v>0</v>
          </cell>
          <cell r="AZ124">
            <v>0</v>
          </cell>
          <cell r="BE124">
            <v>0</v>
          </cell>
          <cell r="BJ124">
            <v>0</v>
          </cell>
          <cell r="BO124">
            <v>0</v>
          </cell>
          <cell r="BT124">
            <v>0</v>
          </cell>
          <cell r="CD124">
            <v>0</v>
          </cell>
          <cell r="CI124">
            <v>0</v>
          </cell>
          <cell r="CN124">
            <v>0</v>
          </cell>
          <cell r="CS124">
            <v>0</v>
          </cell>
          <cell r="CX124">
            <v>0</v>
          </cell>
          <cell r="DC124">
            <v>0</v>
          </cell>
          <cell r="DH124">
            <v>0</v>
          </cell>
          <cell r="DM124">
            <v>0</v>
          </cell>
          <cell r="DR124">
            <v>0</v>
          </cell>
          <cell r="DW124">
            <v>0</v>
          </cell>
          <cell r="EB124">
            <v>0</v>
          </cell>
          <cell r="EG124">
            <v>0</v>
          </cell>
          <cell r="EL124">
            <v>0</v>
          </cell>
        </row>
        <row r="211">
          <cell r="BV211">
            <v>0</v>
          </cell>
        </row>
      </sheetData>
      <sheetData sheetId="3">
        <row r="9">
          <cell r="G9" t="str">
            <v>Revised</v>
          </cell>
          <cell r="BY9" t="str">
            <v>Preliminary</v>
          </cell>
        </row>
        <row r="13">
          <cell r="BY13">
            <v>76052000</v>
          </cell>
        </row>
        <row r="17">
          <cell r="G17">
            <v>121373000</v>
          </cell>
          <cell r="L17">
            <v>0</v>
          </cell>
          <cell r="Q17">
            <v>0</v>
          </cell>
          <cell r="V17">
            <v>0</v>
          </cell>
          <cell r="AA17">
            <v>86911584</v>
          </cell>
          <cell r="AF17">
            <v>0</v>
          </cell>
          <cell r="AK17">
            <v>0</v>
          </cell>
          <cell r="AP17">
            <v>5008164</v>
          </cell>
          <cell r="AU17">
            <v>0</v>
          </cell>
          <cell r="AZ17">
            <v>0</v>
          </cell>
          <cell r="BE17">
            <v>0</v>
          </cell>
          <cell r="BJ17">
            <v>0</v>
          </cell>
          <cell r="BO17">
            <v>0</v>
          </cell>
          <cell r="BT17">
            <v>91919748</v>
          </cell>
          <cell r="CD17">
            <v>0</v>
          </cell>
          <cell r="CI17">
            <v>0</v>
          </cell>
          <cell r="CN17">
            <v>0</v>
          </cell>
          <cell r="CS17">
            <v>0</v>
          </cell>
          <cell r="CX17">
            <v>0</v>
          </cell>
          <cell r="DC17">
            <v>76052000</v>
          </cell>
          <cell r="DH17">
            <v>0</v>
          </cell>
          <cell r="DM17">
            <v>0</v>
          </cell>
          <cell r="DR17">
            <v>0</v>
          </cell>
          <cell r="DW17">
            <v>0</v>
          </cell>
          <cell r="EB17">
            <v>0</v>
          </cell>
          <cell r="EG17">
            <v>0</v>
          </cell>
          <cell r="EL17">
            <v>76052000</v>
          </cell>
        </row>
        <row r="19">
          <cell r="G19">
            <v>0</v>
          </cell>
          <cell r="L19">
            <v>0</v>
          </cell>
          <cell r="Q19">
            <v>0</v>
          </cell>
          <cell r="V19">
            <v>0</v>
          </cell>
          <cell r="AA19">
            <v>0</v>
          </cell>
          <cell r="AF19">
            <v>0</v>
          </cell>
          <cell r="AK19">
            <v>0</v>
          </cell>
          <cell r="AP19">
            <v>0</v>
          </cell>
          <cell r="AU19">
            <v>0</v>
          </cell>
          <cell r="AZ19">
            <v>0</v>
          </cell>
          <cell r="BE19">
            <v>0</v>
          </cell>
          <cell r="BJ19">
            <v>0</v>
          </cell>
          <cell r="BO19">
            <v>0</v>
          </cell>
          <cell r="BT19">
            <v>0</v>
          </cell>
          <cell r="BY19">
            <v>0</v>
          </cell>
          <cell r="CD19">
            <v>0</v>
          </cell>
          <cell r="CI19">
            <v>0</v>
          </cell>
          <cell r="CN19">
            <v>0</v>
          </cell>
          <cell r="CS19">
            <v>0</v>
          </cell>
          <cell r="CX19">
            <v>0</v>
          </cell>
          <cell r="DC19">
            <v>0</v>
          </cell>
          <cell r="DH19">
            <v>0</v>
          </cell>
          <cell r="DM19">
            <v>0</v>
          </cell>
          <cell r="DR19">
            <v>0</v>
          </cell>
          <cell r="DW19">
            <v>0</v>
          </cell>
          <cell r="EB19">
            <v>0</v>
          </cell>
          <cell r="EG19">
            <v>0</v>
          </cell>
          <cell r="EL19">
            <v>0</v>
          </cell>
        </row>
        <row r="62">
          <cell r="G62">
            <v>0</v>
          </cell>
          <cell r="L62">
            <v>0</v>
          </cell>
          <cell r="Q62">
            <v>0</v>
          </cell>
          <cell r="V62">
            <v>0</v>
          </cell>
          <cell r="AA62">
            <v>0</v>
          </cell>
          <cell r="AF62">
            <v>0</v>
          </cell>
          <cell r="AK62">
            <v>0</v>
          </cell>
          <cell r="AP62">
            <v>0</v>
          </cell>
          <cell r="AU62">
            <v>0</v>
          </cell>
          <cell r="AZ62">
            <v>0</v>
          </cell>
          <cell r="BE62">
            <v>0</v>
          </cell>
          <cell r="BJ62">
            <v>0</v>
          </cell>
          <cell r="BO62">
            <v>0</v>
          </cell>
          <cell r="BT62">
            <v>0</v>
          </cell>
          <cell r="CD62">
            <v>0</v>
          </cell>
          <cell r="CI62">
            <v>0</v>
          </cell>
          <cell r="CN62">
            <v>0</v>
          </cell>
          <cell r="CS62">
            <v>0</v>
          </cell>
          <cell r="CX62">
            <v>0</v>
          </cell>
          <cell r="DC62">
            <v>0</v>
          </cell>
          <cell r="DH62">
            <v>0</v>
          </cell>
          <cell r="DM62">
            <v>0</v>
          </cell>
          <cell r="DR62">
            <v>0</v>
          </cell>
          <cell r="DW62">
            <v>0</v>
          </cell>
          <cell r="EB62">
            <v>0</v>
          </cell>
          <cell r="EG62">
            <v>0</v>
          </cell>
          <cell r="EL62">
            <v>0</v>
          </cell>
        </row>
        <row r="63">
          <cell r="BY63">
            <v>0</v>
          </cell>
        </row>
        <row r="64">
          <cell r="G64">
            <v>0</v>
          </cell>
          <cell r="L64">
            <v>0</v>
          </cell>
          <cell r="Q64">
            <v>0</v>
          </cell>
          <cell r="V64">
            <v>0</v>
          </cell>
          <cell r="AA64">
            <v>0</v>
          </cell>
          <cell r="AF64">
            <v>0</v>
          </cell>
          <cell r="AK64">
            <v>0</v>
          </cell>
          <cell r="AP64">
            <v>0</v>
          </cell>
          <cell r="AU64">
            <v>0</v>
          </cell>
          <cell r="AZ64">
            <v>0</v>
          </cell>
          <cell r="BE64">
            <v>0</v>
          </cell>
          <cell r="BJ64">
            <v>0</v>
          </cell>
          <cell r="BO64">
            <v>0</v>
          </cell>
          <cell r="BT64">
            <v>0</v>
          </cell>
          <cell r="CD64">
            <v>0</v>
          </cell>
          <cell r="CI64">
            <v>0</v>
          </cell>
          <cell r="CN64">
            <v>0</v>
          </cell>
          <cell r="CS64">
            <v>0</v>
          </cell>
          <cell r="CX64">
            <v>0</v>
          </cell>
          <cell r="DC64">
            <v>0</v>
          </cell>
          <cell r="DH64">
            <v>0</v>
          </cell>
          <cell r="DM64">
            <v>0</v>
          </cell>
          <cell r="DR64">
            <v>0</v>
          </cell>
          <cell r="DW64">
            <v>0</v>
          </cell>
          <cell r="EB64">
            <v>0</v>
          </cell>
          <cell r="EG64">
            <v>0</v>
          </cell>
          <cell r="EL64">
            <v>0</v>
          </cell>
        </row>
        <row r="72">
          <cell r="L72">
            <v>0</v>
          </cell>
          <cell r="Q72">
            <v>0</v>
          </cell>
          <cell r="V72">
            <v>0</v>
          </cell>
          <cell r="AA72">
            <v>0</v>
          </cell>
          <cell r="AF72">
            <v>0</v>
          </cell>
          <cell r="AK72">
            <v>0</v>
          </cell>
          <cell r="AP72">
            <v>0</v>
          </cell>
          <cell r="AU72">
            <v>0</v>
          </cell>
          <cell r="AZ72">
            <v>0</v>
          </cell>
          <cell r="BE72">
            <v>0</v>
          </cell>
          <cell r="BJ72">
            <v>0</v>
          </cell>
          <cell r="BO72">
            <v>0</v>
          </cell>
          <cell r="BT72">
            <v>0</v>
          </cell>
          <cell r="CD72">
            <v>0</v>
          </cell>
          <cell r="CI72">
            <v>0</v>
          </cell>
          <cell r="CN72">
            <v>0</v>
          </cell>
          <cell r="CS72">
            <v>0</v>
          </cell>
          <cell r="CX72">
            <v>0</v>
          </cell>
          <cell r="DC72">
            <v>0</v>
          </cell>
          <cell r="DH72">
            <v>0</v>
          </cell>
          <cell r="DM72">
            <v>0</v>
          </cell>
          <cell r="DR72">
            <v>0</v>
          </cell>
          <cell r="DW72">
            <v>0</v>
          </cell>
          <cell r="EB72">
            <v>0</v>
          </cell>
          <cell r="EG72">
            <v>0</v>
          </cell>
          <cell r="EL72">
            <v>0</v>
          </cell>
        </row>
        <row r="74">
          <cell r="L74">
            <v>0</v>
          </cell>
          <cell r="Q74">
            <v>0</v>
          </cell>
          <cell r="V74">
            <v>0</v>
          </cell>
          <cell r="AA74">
            <v>0</v>
          </cell>
          <cell r="AF74">
            <v>0</v>
          </cell>
          <cell r="AK74">
            <v>0</v>
          </cell>
          <cell r="AP74">
            <v>0</v>
          </cell>
          <cell r="AU74">
            <v>0</v>
          </cell>
          <cell r="AZ74">
            <v>0</v>
          </cell>
          <cell r="BE74">
            <v>0</v>
          </cell>
          <cell r="BJ74">
            <v>0</v>
          </cell>
          <cell r="BO74">
            <v>0</v>
          </cell>
          <cell r="BT74">
            <v>0</v>
          </cell>
          <cell r="CD74">
            <v>0</v>
          </cell>
          <cell r="CI74">
            <v>0</v>
          </cell>
          <cell r="CN74">
            <v>0</v>
          </cell>
          <cell r="CS74">
            <v>0</v>
          </cell>
          <cell r="CX74">
            <v>0</v>
          </cell>
          <cell r="DC74">
            <v>0</v>
          </cell>
          <cell r="DH74">
            <v>0</v>
          </cell>
          <cell r="DM74">
            <v>0</v>
          </cell>
          <cell r="DR74">
            <v>0</v>
          </cell>
          <cell r="DW74">
            <v>0</v>
          </cell>
          <cell r="EB74">
            <v>0</v>
          </cell>
          <cell r="EG74">
            <v>0</v>
          </cell>
          <cell r="EL74">
            <v>0</v>
          </cell>
        </row>
        <row r="108">
          <cell r="G108">
            <v>7961000</v>
          </cell>
          <cell r="L108">
            <v>391647</v>
          </cell>
          <cell r="Q108">
            <v>1962723</v>
          </cell>
          <cell r="V108">
            <v>5604275</v>
          </cell>
          <cell r="AA108">
            <v>0</v>
          </cell>
          <cell r="AF108">
            <v>0</v>
          </cell>
          <cell r="AK108">
            <v>0</v>
          </cell>
          <cell r="AP108">
            <v>0</v>
          </cell>
          <cell r="AU108">
            <v>1940</v>
          </cell>
          <cell r="AZ108">
            <v>0</v>
          </cell>
          <cell r="BE108">
            <v>0</v>
          </cell>
          <cell r="BJ108">
            <v>0</v>
          </cell>
          <cell r="BO108">
            <v>0</v>
          </cell>
          <cell r="BT108">
            <v>7960585</v>
          </cell>
          <cell r="BY108">
            <v>26952291</v>
          </cell>
          <cell r="CD108">
            <v>391647</v>
          </cell>
          <cell r="CI108">
            <v>14120864</v>
          </cell>
          <cell r="CN108">
            <v>0</v>
          </cell>
          <cell r="CS108">
            <v>0</v>
          </cell>
          <cell r="CX108">
            <v>0</v>
          </cell>
          <cell r="DC108">
            <v>0</v>
          </cell>
          <cell r="DH108">
            <v>391647</v>
          </cell>
          <cell r="DM108">
            <v>1940</v>
          </cell>
          <cell r="DR108">
            <v>0</v>
          </cell>
          <cell r="DW108">
            <v>0</v>
          </cell>
          <cell r="EB108">
            <v>0</v>
          </cell>
          <cell r="EG108">
            <v>12046193</v>
          </cell>
          <cell r="EL108">
            <v>14906098</v>
          </cell>
        </row>
        <row r="109">
          <cell r="G109">
            <v>6456000</v>
          </cell>
          <cell r="L109">
            <v>386018</v>
          </cell>
          <cell r="Q109">
            <v>2969263</v>
          </cell>
          <cell r="V109">
            <v>3095425</v>
          </cell>
          <cell r="AA109">
            <v>0</v>
          </cell>
          <cell r="AF109">
            <v>0</v>
          </cell>
          <cell r="AK109">
            <v>0</v>
          </cell>
          <cell r="AP109">
            <v>0</v>
          </cell>
          <cell r="AU109">
            <v>5027</v>
          </cell>
          <cell r="AZ109">
            <v>0</v>
          </cell>
          <cell r="BE109">
            <v>0</v>
          </cell>
          <cell r="BJ109">
            <v>0</v>
          </cell>
          <cell r="BO109">
            <v>0</v>
          </cell>
          <cell r="BT109">
            <v>6455733</v>
          </cell>
          <cell r="BY109">
            <v>24276666</v>
          </cell>
          <cell r="CD109">
            <v>236802</v>
          </cell>
          <cell r="CI109">
            <v>11126521</v>
          </cell>
          <cell r="CN109">
            <v>0</v>
          </cell>
          <cell r="CS109">
            <v>0</v>
          </cell>
          <cell r="CX109">
            <v>0</v>
          </cell>
          <cell r="DC109">
            <v>0</v>
          </cell>
          <cell r="DH109">
            <v>262844</v>
          </cell>
          <cell r="DM109">
            <v>4425</v>
          </cell>
          <cell r="DR109">
            <v>0</v>
          </cell>
          <cell r="DW109">
            <v>0</v>
          </cell>
          <cell r="EB109">
            <v>0</v>
          </cell>
          <cell r="EG109">
            <v>12646074</v>
          </cell>
          <cell r="EL109">
            <v>11630592</v>
          </cell>
        </row>
        <row r="156">
          <cell r="G156">
            <v>0</v>
          </cell>
          <cell r="L156">
            <v>0</v>
          </cell>
          <cell r="Q156">
            <v>0</v>
          </cell>
          <cell r="V156">
            <v>0</v>
          </cell>
          <cell r="AA156">
            <v>0</v>
          </cell>
          <cell r="AF156">
            <v>0</v>
          </cell>
          <cell r="AK156">
            <v>0</v>
          </cell>
          <cell r="AP156">
            <v>0</v>
          </cell>
          <cell r="AU156">
            <v>0</v>
          </cell>
          <cell r="AZ156">
            <v>0</v>
          </cell>
          <cell r="BE156">
            <v>0</v>
          </cell>
          <cell r="BJ156">
            <v>0</v>
          </cell>
          <cell r="BO156">
            <v>0</v>
          </cell>
          <cell r="BT156">
            <v>0</v>
          </cell>
          <cell r="BY156">
            <v>0</v>
          </cell>
          <cell r="CD156">
            <v>0</v>
          </cell>
          <cell r="CI156">
            <v>0</v>
          </cell>
          <cell r="CN156">
            <v>0</v>
          </cell>
          <cell r="CS156">
            <v>0</v>
          </cell>
          <cell r="CX156">
            <v>0</v>
          </cell>
          <cell r="DC156">
            <v>0</v>
          </cell>
          <cell r="DH156">
            <v>0</v>
          </cell>
          <cell r="DM156">
            <v>0</v>
          </cell>
          <cell r="DR156">
            <v>0</v>
          </cell>
          <cell r="DW156">
            <v>0</v>
          </cell>
          <cell r="EB156">
            <v>0</v>
          </cell>
          <cell r="EG156">
            <v>0</v>
          </cell>
          <cell r="EL156">
            <v>0</v>
          </cell>
        </row>
        <row r="157">
          <cell r="G157">
            <v>0</v>
          </cell>
          <cell r="L157">
            <v>0</v>
          </cell>
          <cell r="Q157">
            <v>0</v>
          </cell>
          <cell r="V157">
            <v>0</v>
          </cell>
          <cell r="AA157">
            <v>0</v>
          </cell>
          <cell r="AF157">
            <v>0</v>
          </cell>
          <cell r="AK157">
            <v>0</v>
          </cell>
          <cell r="AP157">
            <v>0</v>
          </cell>
          <cell r="AU157">
            <v>0</v>
          </cell>
          <cell r="AZ157">
            <v>0</v>
          </cell>
          <cell r="BE157">
            <v>0</v>
          </cell>
          <cell r="BJ157">
            <v>0</v>
          </cell>
          <cell r="BO157">
            <v>0</v>
          </cell>
          <cell r="BT157">
            <v>0</v>
          </cell>
          <cell r="BY157">
            <v>0</v>
          </cell>
          <cell r="CD157">
            <v>0</v>
          </cell>
          <cell r="CI157">
            <v>0</v>
          </cell>
          <cell r="CN157">
            <v>0</v>
          </cell>
          <cell r="CS157">
            <v>0</v>
          </cell>
          <cell r="CX157">
            <v>0</v>
          </cell>
          <cell r="DC157">
            <v>0</v>
          </cell>
          <cell r="DH157">
            <v>0</v>
          </cell>
          <cell r="DM157">
            <v>0</v>
          </cell>
          <cell r="DR157">
            <v>0</v>
          </cell>
          <cell r="DW157">
            <v>0</v>
          </cell>
          <cell r="EB157">
            <v>0</v>
          </cell>
          <cell r="EG157">
            <v>0</v>
          </cell>
          <cell r="EL157">
            <v>0</v>
          </cell>
        </row>
        <row r="168">
          <cell r="L168">
            <v>0</v>
          </cell>
          <cell r="Q168">
            <v>0</v>
          </cell>
          <cell r="V168">
            <v>0</v>
          </cell>
          <cell r="AA168">
            <v>0</v>
          </cell>
          <cell r="AF168">
            <v>0</v>
          </cell>
          <cell r="AK168">
            <v>0</v>
          </cell>
          <cell r="AP168">
            <v>0</v>
          </cell>
          <cell r="AU168">
            <v>0</v>
          </cell>
          <cell r="AZ168">
            <v>0</v>
          </cell>
          <cell r="BE168">
            <v>0</v>
          </cell>
          <cell r="BJ168">
            <v>0</v>
          </cell>
          <cell r="BO168">
            <v>0</v>
          </cell>
          <cell r="BT168">
            <v>0</v>
          </cell>
          <cell r="CD168">
            <v>0</v>
          </cell>
          <cell r="CI168">
            <v>0</v>
          </cell>
          <cell r="CN168">
            <v>0</v>
          </cell>
          <cell r="CS168">
            <v>0</v>
          </cell>
          <cell r="CX168">
            <v>0</v>
          </cell>
          <cell r="DC168">
            <v>0</v>
          </cell>
          <cell r="DH168">
            <v>0</v>
          </cell>
          <cell r="DM168">
            <v>0</v>
          </cell>
          <cell r="DR168">
            <v>0</v>
          </cell>
          <cell r="DW168">
            <v>0</v>
          </cell>
          <cell r="EB168">
            <v>0</v>
          </cell>
          <cell r="EG168">
            <v>0</v>
          </cell>
          <cell r="EL168">
            <v>0</v>
          </cell>
        </row>
        <row r="169">
          <cell r="L169">
            <v>0</v>
          </cell>
          <cell r="Q169">
            <v>0</v>
          </cell>
          <cell r="V169">
            <v>0</v>
          </cell>
          <cell r="AA169">
            <v>0</v>
          </cell>
          <cell r="AF169">
            <v>0</v>
          </cell>
          <cell r="AK169">
            <v>0</v>
          </cell>
          <cell r="AP169">
            <v>0</v>
          </cell>
          <cell r="AU169">
            <v>0</v>
          </cell>
          <cell r="AZ169">
            <v>0</v>
          </cell>
          <cell r="BE169">
            <v>0</v>
          </cell>
          <cell r="BJ169">
            <v>0</v>
          </cell>
          <cell r="BO169">
            <v>0</v>
          </cell>
          <cell r="BT169">
            <v>0</v>
          </cell>
          <cell r="CD169">
            <v>0</v>
          </cell>
          <cell r="CI169">
            <v>0</v>
          </cell>
          <cell r="CN169">
            <v>0</v>
          </cell>
          <cell r="CS169">
            <v>0</v>
          </cell>
          <cell r="CX169">
            <v>0</v>
          </cell>
          <cell r="DC169">
            <v>0</v>
          </cell>
          <cell r="DH169">
            <v>0</v>
          </cell>
          <cell r="DM169">
            <v>0</v>
          </cell>
          <cell r="DR169">
            <v>0</v>
          </cell>
          <cell r="DW169">
            <v>0</v>
          </cell>
          <cell r="EB169">
            <v>0</v>
          </cell>
          <cell r="EG169">
            <v>0</v>
          </cell>
          <cell r="EL169">
            <v>0</v>
          </cell>
        </row>
        <row r="227">
          <cell r="BV227">
            <v>0</v>
          </cell>
        </row>
        <row r="228">
          <cell r="BV228">
            <v>0</v>
          </cell>
        </row>
        <row r="239">
          <cell r="BV239">
            <v>0</v>
          </cell>
        </row>
        <row r="240">
          <cell r="BV240">
            <v>0</v>
          </cell>
        </row>
      </sheetData>
      <sheetData sheetId="4">
        <row r="12">
          <cell r="H12">
            <v>40467668</v>
          </cell>
          <cell r="M12">
            <v>-18484170</v>
          </cell>
          <cell r="R12">
            <v>3349854</v>
          </cell>
          <cell r="W12">
            <v>-22973000</v>
          </cell>
          <cell r="AB12">
            <v>-53649787</v>
          </cell>
          <cell r="AG12">
            <v>41961434</v>
          </cell>
          <cell r="AL12">
            <v>-13252498</v>
          </cell>
          <cell r="AQ12">
            <v>-40961985</v>
          </cell>
          <cell r="AV12">
            <v>-19510192</v>
          </cell>
          <cell r="BA12">
            <v>-18762903</v>
          </cell>
          <cell r="BF12">
            <v>-420333</v>
          </cell>
          <cell r="BK12">
            <v>378365248</v>
          </cell>
          <cell r="BP12">
            <v>0</v>
          </cell>
          <cell r="BU12">
            <v>-142703580</v>
          </cell>
          <cell r="BZ12">
            <v>2473985</v>
          </cell>
          <cell r="CE12">
            <v>39161985</v>
          </cell>
          <cell r="CJ12">
            <v>6533576</v>
          </cell>
          <cell r="CO12">
            <v>-80194837</v>
          </cell>
          <cell r="CT12">
            <v>71485782</v>
          </cell>
          <cell r="CY12">
            <v>10515236</v>
          </cell>
          <cell r="DD12">
            <v>-104528279</v>
          </cell>
          <cell r="DI12">
            <v>2731873</v>
          </cell>
          <cell r="DN12">
            <v>-9369739</v>
          </cell>
          <cell r="DS12">
            <v>-7896523</v>
          </cell>
          <cell r="DX12">
            <v>33364654</v>
          </cell>
          <cell r="EC12">
            <v>-27939762</v>
          </cell>
          <cell r="EH12">
            <v>68610019</v>
          </cell>
          <cell r="EM12">
            <v>-38196272</v>
          </cell>
        </row>
        <row r="23">
          <cell r="H23">
            <v>0</v>
          </cell>
          <cell r="M23">
            <v>34143659</v>
          </cell>
          <cell r="R23">
            <v>-4349966</v>
          </cell>
          <cell r="W23">
            <v>2527515</v>
          </cell>
          <cell r="AB23">
            <v>-24856159</v>
          </cell>
          <cell r="AG23">
            <v>26866570</v>
          </cell>
          <cell r="AL23">
            <v>-5977613</v>
          </cell>
          <cell r="AQ23">
            <v>15416167</v>
          </cell>
          <cell r="AV23">
            <v>-315227</v>
          </cell>
          <cell r="BA23">
            <v>-6539100</v>
          </cell>
          <cell r="BF23">
            <v>59957836</v>
          </cell>
          <cell r="BK23">
            <v>0</v>
          </cell>
          <cell r="BP23">
            <v>0</v>
          </cell>
          <cell r="BU23">
            <v>96873682</v>
          </cell>
          <cell r="BZ23">
            <v>-17008126</v>
          </cell>
          <cell r="CE23">
            <v>-17895405</v>
          </cell>
          <cell r="CJ23">
            <v>-2162772</v>
          </cell>
          <cell r="CO23">
            <v>1746060</v>
          </cell>
          <cell r="CT23">
            <v>9207825</v>
          </cell>
          <cell r="CY23">
            <v>-8222766</v>
          </cell>
          <cell r="DD23">
            <v>21412052</v>
          </cell>
          <cell r="DI23">
            <v>67094</v>
          </cell>
          <cell r="DN23">
            <v>5423083</v>
          </cell>
          <cell r="DS23">
            <v>3006040</v>
          </cell>
          <cell r="DX23">
            <v>484408</v>
          </cell>
          <cell r="EC23">
            <v>4553332</v>
          </cell>
          <cell r="EH23">
            <v>-34627077</v>
          </cell>
          <cell r="EM23">
            <v>13065619</v>
          </cell>
        </row>
        <row r="25">
          <cell r="H25">
            <v>0</v>
          </cell>
          <cell r="M25">
            <v>0</v>
          </cell>
          <cell r="R25">
            <v>0</v>
          </cell>
          <cell r="W25">
            <v>0</v>
          </cell>
          <cell r="AB25">
            <v>0</v>
          </cell>
          <cell r="AG25">
            <v>0</v>
          </cell>
          <cell r="AL25">
            <v>0</v>
          </cell>
          <cell r="AQ25">
            <v>0</v>
          </cell>
          <cell r="AV25">
            <v>0</v>
          </cell>
          <cell r="BA25">
            <v>0</v>
          </cell>
          <cell r="BF25">
            <v>0</v>
          </cell>
          <cell r="BK25">
            <v>0</v>
          </cell>
          <cell r="BP25">
            <v>0</v>
          </cell>
          <cell r="BU25">
            <v>0</v>
          </cell>
          <cell r="BZ25">
            <v>2087301.7651195501</v>
          </cell>
          <cell r="CE25">
            <v>0</v>
          </cell>
          <cell r="CJ25">
            <v>0</v>
          </cell>
          <cell r="CO25">
            <v>0</v>
          </cell>
          <cell r="CT25">
            <v>0</v>
          </cell>
          <cell r="CY25">
            <v>0</v>
          </cell>
          <cell r="DD25">
            <v>0</v>
          </cell>
          <cell r="DI25">
            <v>0</v>
          </cell>
          <cell r="DN25">
            <v>0</v>
          </cell>
          <cell r="DS25">
            <v>0</v>
          </cell>
          <cell r="DX25">
            <v>0</v>
          </cell>
          <cell r="EC25">
            <v>0</v>
          </cell>
          <cell r="EH25">
            <v>2087353.7651195501</v>
          </cell>
          <cell r="EM25">
            <v>0</v>
          </cell>
        </row>
        <row r="27">
          <cell r="H27">
            <v>7368043.66846109</v>
          </cell>
          <cell r="M27">
            <v>0</v>
          </cell>
          <cell r="R27">
            <v>871744.25600000005</v>
          </cell>
          <cell r="W27">
            <v>0</v>
          </cell>
          <cell r="AB27">
            <v>126224</v>
          </cell>
          <cell r="AG27">
            <v>0</v>
          </cell>
          <cell r="AL27">
            <v>3836</v>
          </cell>
          <cell r="AQ27">
            <v>1831061</v>
          </cell>
          <cell r="AV27">
            <v>2236273</v>
          </cell>
          <cell r="BA27">
            <v>1620990</v>
          </cell>
          <cell r="BF27">
            <v>89678</v>
          </cell>
          <cell r="BK27">
            <v>0</v>
          </cell>
          <cell r="BP27">
            <v>0</v>
          </cell>
          <cell r="BU27">
            <v>6779806.2560000001</v>
          </cell>
          <cell r="CE27">
            <v>1285536</v>
          </cell>
          <cell r="CJ27">
            <v>0</v>
          </cell>
          <cell r="CO27">
            <v>12272</v>
          </cell>
          <cell r="CT27">
            <v>0</v>
          </cell>
          <cell r="CY27">
            <v>1736919</v>
          </cell>
          <cell r="DD27">
            <v>245929</v>
          </cell>
          <cell r="DI27">
            <v>2261765</v>
          </cell>
          <cell r="DN27">
            <v>1146180</v>
          </cell>
          <cell r="DS27">
            <v>1005353</v>
          </cell>
          <cell r="DX27">
            <v>41798</v>
          </cell>
          <cell r="EC27">
            <v>360442</v>
          </cell>
          <cell r="EH27">
            <v>3730402</v>
          </cell>
          <cell r="EM27">
            <v>7735752</v>
          </cell>
        </row>
        <row r="28">
          <cell r="BZ28">
            <v>11826596</v>
          </cell>
        </row>
        <row r="32">
          <cell r="H32">
            <v>0</v>
          </cell>
          <cell r="M32">
            <v>0</v>
          </cell>
          <cell r="R32">
            <v>0</v>
          </cell>
          <cell r="W32">
            <v>0</v>
          </cell>
          <cell r="AB32">
            <v>-22185</v>
          </cell>
          <cell r="AG32">
            <v>0</v>
          </cell>
          <cell r="AL32">
            <v>0</v>
          </cell>
          <cell r="AQ32">
            <v>0</v>
          </cell>
          <cell r="AV32">
            <v>0</v>
          </cell>
          <cell r="BA32">
            <v>0</v>
          </cell>
          <cell r="BF32">
            <v>0</v>
          </cell>
          <cell r="BK32">
            <v>0</v>
          </cell>
          <cell r="BP32">
            <v>0</v>
          </cell>
          <cell r="BU32">
            <v>-22185</v>
          </cell>
          <cell r="BZ32">
            <v>-372703</v>
          </cell>
          <cell r="CE32">
            <v>0</v>
          </cell>
          <cell r="CJ32">
            <v>0</v>
          </cell>
          <cell r="CO32">
            <v>0</v>
          </cell>
          <cell r="CT32">
            <v>0</v>
          </cell>
          <cell r="CY32">
            <v>-98</v>
          </cell>
          <cell r="DD32">
            <v>0</v>
          </cell>
          <cell r="DI32">
            <v>-372528</v>
          </cell>
          <cell r="DN32">
            <v>0</v>
          </cell>
          <cell r="DS32">
            <v>0</v>
          </cell>
          <cell r="DX32">
            <v>0</v>
          </cell>
          <cell r="EC32">
            <v>0</v>
          </cell>
          <cell r="EH32">
            <v>-77</v>
          </cell>
          <cell r="EM32">
            <v>-372626</v>
          </cell>
        </row>
        <row r="38">
          <cell r="H38">
            <v>0</v>
          </cell>
          <cell r="M38">
            <v>-34158767.953769997</v>
          </cell>
          <cell r="R38">
            <v>665778.1075699823</v>
          </cell>
          <cell r="W38">
            <v>-3529360.3766400218</v>
          </cell>
          <cell r="AB38">
            <v>39129472.039829999</v>
          </cell>
          <cell r="AG38">
            <v>-36409361.543499991</v>
          </cell>
          <cell r="AL38">
            <v>10350561.970830038</v>
          </cell>
          <cell r="AQ38">
            <v>-13234789.152860001</v>
          </cell>
          <cell r="AV38">
            <v>-507485.77358999848</v>
          </cell>
          <cell r="BA38">
            <v>5933754.2305000126</v>
          </cell>
          <cell r="BF38">
            <v>-33766452.223689988</v>
          </cell>
          <cell r="BK38">
            <v>0</v>
          </cell>
          <cell r="BP38">
            <v>0</v>
          </cell>
          <cell r="BU38">
            <v>-65526650.67531997</v>
          </cell>
          <cell r="BZ38">
            <v>-676139.5121998759</v>
          </cell>
          <cell r="CE38">
            <v>-9617047.0857300311</v>
          </cell>
          <cell r="CJ38">
            <v>1658010.930979982</v>
          </cell>
          <cell r="CO38">
            <v>13980252.002719998</v>
          </cell>
          <cell r="CT38">
            <v>-8777405.5292999893</v>
          </cell>
          <cell r="CY38">
            <v>-9967884.6452499926</v>
          </cell>
          <cell r="DD38">
            <v>-4315544.2743200064</v>
          </cell>
          <cell r="DI38">
            <v>-395955.73492997885</v>
          </cell>
          <cell r="DN38">
            <v>-18897629.034100011</v>
          </cell>
          <cell r="DS38">
            <v>-1291051.425060004</v>
          </cell>
          <cell r="DX38">
            <v>-2746121.6662400216</v>
          </cell>
          <cell r="EC38">
            <v>-5785998.0916399956</v>
          </cell>
          <cell r="EH38">
            <v>48587728.50752002</v>
          </cell>
          <cell r="EM38">
            <v>-40370376.461230054</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F82">
            <v>34158767.953769997</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G82">
            <v>-665778.1075699823</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H82">
            <v>3529360.3766400218</v>
          </cell>
          <cell r="X82">
            <v>-1658010.930979982</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I82">
            <v>-39129472.039829999</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J82">
            <v>36409361.543499991</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K82">
            <v>-10350561.970830038</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L82">
            <v>13234789.152860001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M82">
            <v>507485.77358999848</v>
          </cell>
          <cell r="V82">
            <v>676139.5121998759</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J6">
            <v>3550323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N82">
            <v>-5933754.2305000126</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efreshError="1">
        <row r="82">
          <cell r="O82">
            <v>33766452.223689988</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F83">
            <v>9617047.0857300311</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H83">
            <v>-13980252.002719998</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I83">
            <v>8777405.5292999893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J83">
            <v>9967884.6452499926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K83">
            <v>4315544.2743200064</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4">
          <cell r="L84">
            <v>395955.73492997885</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4">
          <cell r="M84">
            <v>18897629.034100011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2">
          <cell r="N82">
            <v>1291051.425060004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K6">
            <v>3161507</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2">
          <cell r="O82">
            <v>2746121.6662400216</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2">
          <cell r="P82">
            <v>5785998.0916399956</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2">
          <cell r="Q82">
            <v>-48587728.50752002</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H114">
            <v>1097931728.3315389</v>
          </cell>
          <cell r="AC114">
            <v>83787244.734929979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U114">
            <v>63095740.380769998</v>
          </cell>
          <cell r="W114">
            <v>73824343.085730031</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J114">
            <v>68106446.022430018</v>
          </cell>
          <cell r="X114">
            <v>96920893.069020018</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K114">
            <v>108554101.37664002</v>
          </cell>
          <cell r="Y114">
            <v>147241477.99728</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L114">
            <v>62846312.960169993</v>
          </cell>
          <cell r="Z114">
            <v>73749809.529299989</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M114">
            <v>101855148.66649999</v>
          </cell>
          <cell r="AA114">
            <v>117932465.64524999</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N114">
            <v>105679255.27216996</v>
          </cell>
          <cell r="AB114">
            <v>117713729.27432001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L6">
            <v>1941577</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O114">
            <v>83230717.11586</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P114">
            <v>99218194.778589994</v>
          </cell>
          <cell r="V114">
            <v>1345880147.4470804</v>
          </cell>
          <cell r="AD114">
            <v>95520711.034100011</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Q114">
            <v>176370693.76949999</v>
          </cell>
          <cell r="AE114">
            <v>160349623.42506</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R114">
            <v>87476541.460689977</v>
          </cell>
          <cell r="AF114">
            <v>91356528.666240022</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I48">
            <v>1025349737</v>
          </cell>
          <cell r="BB48">
            <v>103042121</v>
          </cell>
        </row>
        <row r="51">
          <cell r="I51">
            <v>7715</v>
          </cell>
          <cell r="BB51">
            <v>475</v>
          </cell>
        </row>
        <row r="52">
          <cell r="I52">
            <v>476474</v>
          </cell>
          <cell r="BB52">
            <v>42263</v>
          </cell>
        </row>
        <row r="53">
          <cell r="I53">
            <v>233027798</v>
          </cell>
          <cell r="BB53">
            <v>23505078</v>
          </cell>
        </row>
        <row r="56">
          <cell r="I56">
            <v>520717021</v>
          </cell>
          <cell r="BB56">
            <v>44872625</v>
          </cell>
        </row>
        <row r="57">
          <cell r="I57">
            <v>14026878</v>
          </cell>
          <cell r="BB57">
            <v>4675628</v>
          </cell>
        </row>
        <row r="58">
          <cell r="I58">
            <v>177615</v>
          </cell>
          <cell r="BB58">
            <v>2</v>
          </cell>
        </row>
        <row r="59">
          <cell r="I59">
            <v>120001</v>
          </cell>
        </row>
        <row r="62">
          <cell r="H62">
            <v>143395</v>
          </cell>
        </row>
        <row r="63">
          <cell r="H63">
            <v>74366</v>
          </cell>
        </row>
        <row r="65">
          <cell r="BA65">
            <v>-6571667</v>
          </cell>
        </row>
        <row r="66">
          <cell r="I66">
            <v>10174611</v>
          </cell>
          <cell r="BB66">
            <v>1486244</v>
          </cell>
        </row>
        <row r="67">
          <cell r="I67">
            <v>2442459</v>
          </cell>
          <cell r="BB67">
            <v>178719</v>
          </cell>
        </row>
        <row r="68">
          <cell r="I68">
            <v>1117931</v>
          </cell>
          <cell r="BB68">
            <v>87887</v>
          </cell>
        </row>
        <row r="69">
          <cell r="I69">
            <v>10997</v>
          </cell>
        </row>
      </sheetData>
      <sheetData sheetId="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N48">
            <v>63165298</v>
          </cell>
        </row>
        <row r="51">
          <cell r="N51">
            <v>475</v>
          </cell>
        </row>
        <row r="52">
          <cell r="N52">
            <v>42263</v>
          </cell>
        </row>
        <row r="53">
          <cell r="N53">
            <v>4156462.4270000001</v>
          </cell>
        </row>
        <row r="56">
          <cell r="N56">
            <v>44872627</v>
          </cell>
        </row>
        <row r="57">
          <cell r="N57">
            <v>0</v>
          </cell>
        </row>
        <row r="58">
          <cell r="N58">
            <v>18</v>
          </cell>
        </row>
        <row r="59">
          <cell r="N59">
            <v>0</v>
          </cell>
        </row>
        <row r="60">
          <cell r="N60">
            <v>1745798</v>
          </cell>
        </row>
        <row r="61">
          <cell r="N61">
            <v>186187</v>
          </cell>
        </row>
        <row r="62">
          <cell r="N62">
            <v>83069</v>
          </cell>
        </row>
        <row r="63">
          <cell r="N63">
            <v>0</v>
          </cell>
        </row>
      </sheetData>
      <sheetData sheetId="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S48">
            <v>71995377</v>
          </cell>
        </row>
        <row r="51">
          <cell r="S51">
            <v>475</v>
          </cell>
        </row>
        <row r="52">
          <cell r="S52">
            <v>42263</v>
          </cell>
        </row>
        <row r="53">
          <cell r="S53">
            <v>1746959.1300000001</v>
          </cell>
        </row>
        <row r="56">
          <cell r="S56">
            <v>44872627</v>
          </cell>
        </row>
        <row r="57">
          <cell r="S57">
            <v>0</v>
          </cell>
        </row>
        <row r="58">
          <cell r="S58">
            <v>111334</v>
          </cell>
        </row>
        <row r="59">
          <cell r="S59">
            <v>0</v>
          </cell>
        </row>
        <row r="60">
          <cell r="S60">
            <v>1447692</v>
          </cell>
        </row>
        <row r="61">
          <cell r="S61">
            <v>179319</v>
          </cell>
        </row>
        <row r="62">
          <cell r="S62">
            <v>79480</v>
          </cell>
        </row>
        <row r="63">
          <cell r="S63">
            <v>0</v>
          </cell>
        </row>
      </sheetData>
      <sheetData sheetId="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X48">
            <v>61212482</v>
          </cell>
        </row>
        <row r="51">
          <cell r="X51">
            <v>475</v>
          </cell>
        </row>
        <row r="52">
          <cell r="X52">
            <v>42263</v>
          </cell>
        </row>
        <row r="53">
          <cell r="X53">
            <v>23287136</v>
          </cell>
        </row>
        <row r="56">
          <cell r="X56">
            <v>44872627</v>
          </cell>
        </row>
        <row r="57">
          <cell r="X57">
            <v>0</v>
          </cell>
        </row>
        <row r="58">
          <cell r="X58">
            <v>2</v>
          </cell>
        </row>
        <row r="59">
          <cell r="X59">
            <v>40000</v>
          </cell>
        </row>
        <row r="60">
          <cell r="X60">
            <v>1118322</v>
          </cell>
        </row>
        <row r="61">
          <cell r="X61">
            <v>174148</v>
          </cell>
        </row>
        <row r="62">
          <cell r="X62">
            <v>102829</v>
          </cell>
        </row>
        <row r="63">
          <cell r="X63">
            <v>0</v>
          </cell>
        </row>
      </sheetData>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AC48">
            <v>118355901</v>
          </cell>
        </row>
        <row r="51">
          <cell r="AC51">
            <v>475</v>
          </cell>
        </row>
        <row r="52">
          <cell r="AC52">
            <v>42263</v>
          </cell>
        </row>
        <row r="53">
          <cell r="AC53">
            <v>33793248</v>
          </cell>
        </row>
        <row r="56">
          <cell r="AC56">
            <v>44872627</v>
          </cell>
        </row>
        <row r="57">
          <cell r="AC57">
            <v>0</v>
          </cell>
        </row>
        <row r="58">
          <cell r="AC58">
            <v>0</v>
          </cell>
        </row>
        <row r="59">
          <cell r="AC59">
            <v>0</v>
          </cell>
        </row>
        <row r="60">
          <cell r="AC60">
            <v>54518</v>
          </cell>
        </row>
        <row r="61">
          <cell r="AC61">
            <v>175874</v>
          </cell>
        </row>
        <row r="62">
          <cell r="AC62">
            <v>81055</v>
          </cell>
        </row>
        <row r="63">
          <cell r="AC63">
            <v>0</v>
          </cell>
        </row>
      </sheetData>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AH48">
            <v>82985001</v>
          </cell>
        </row>
        <row r="51">
          <cell r="AH51">
            <v>475</v>
          </cell>
        </row>
        <row r="52">
          <cell r="AH52">
            <v>42263</v>
          </cell>
        </row>
        <row r="53">
          <cell r="AH53">
            <v>32588390.123</v>
          </cell>
        </row>
        <row r="56">
          <cell r="AH56">
            <v>44872627</v>
          </cell>
        </row>
        <row r="57">
          <cell r="AH57">
            <v>4675628</v>
          </cell>
        </row>
        <row r="58">
          <cell r="AH58">
            <v>1</v>
          </cell>
        </row>
        <row r="59">
          <cell r="AH59">
            <v>0</v>
          </cell>
        </row>
        <row r="60">
          <cell r="AH60">
            <v>92107</v>
          </cell>
        </row>
        <row r="61">
          <cell r="AH61">
            <v>176338</v>
          </cell>
        </row>
        <row r="62">
          <cell r="AH62">
            <v>96112</v>
          </cell>
        </row>
        <row r="63">
          <cell r="AH63">
            <v>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M6">
            <v>2581412</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AM48">
            <v>75682961</v>
          </cell>
        </row>
        <row r="51">
          <cell r="AM51">
            <v>475</v>
          </cell>
        </row>
        <row r="52">
          <cell r="AM52">
            <v>42263</v>
          </cell>
        </row>
        <row r="53">
          <cell r="AM53">
            <v>20719704.243000001</v>
          </cell>
        </row>
        <row r="56">
          <cell r="AM56">
            <v>44872627</v>
          </cell>
        </row>
        <row r="57">
          <cell r="AM57">
            <v>0</v>
          </cell>
        </row>
        <row r="58">
          <cell r="AM58">
            <v>66260</v>
          </cell>
        </row>
        <row r="59">
          <cell r="AM59">
            <v>30000</v>
          </cell>
        </row>
        <row r="60">
          <cell r="A60" t="str">
            <v>Other payments</v>
          </cell>
        </row>
        <row r="62">
          <cell r="B62" t="str">
            <v xml:space="preserve">South African Express Airways </v>
          </cell>
          <cell r="AL62">
            <v>143395</v>
          </cell>
        </row>
        <row r="63">
          <cell r="B63" t="str">
            <v>Land and Agricultural Development Bank of SA</v>
          </cell>
          <cell r="AL63">
            <v>74366</v>
          </cell>
        </row>
        <row r="65">
          <cell r="AL65">
            <v>6571667</v>
          </cell>
        </row>
        <row r="66">
          <cell r="AM66">
            <v>75474</v>
          </cell>
        </row>
        <row r="67">
          <cell r="AM67">
            <v>181726</v>
          </cell>
        </row>
        <row r="68">
          <cell r="AM68">
            <v>85139</v>
          </cell>
        </row>
      </sheetData>
      <sheetData sheetId="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AR48">
            <v>84022361</v>
          </cell>
        </row>
        <row r="53">
          <cell r="AR53">
            <v>3593963.963</v>
          </cell>
        </row>
        <row r="56">
          <cell r="AR56">
            <v>44872627</v>
          </cell>
        </row>
        <row r="57">
          <cell r="AR57">
            <v>0</v>
          </cell>
        </row>
        <row r="66">
          <cell r="AR66">
            <v>169312</v>
          </cell>
        </row>
        <row r="73">
          <cell r="I73">
            <v>-2108558</v>
          </cell>
        </row>
      </sheetData>
      <sheetData sheetId="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AW48">
            <v>71737880</v>
          </cell>
        </row>
        <row r="51">
          <cell r="AW51">
            <v>475</v>
          </cell>
        </row>
        <row r="52">
          <cell r="AW52">
            <v>42263</v>
          </cell>
        </row>
        <row r="53">
          <cell r="AW53">
            <v>2242145.0050000004</v>
          </cell>
        </row>
        <row r="56">
          <cell r="AW56">
            <v>44872626</v>
          </cell>
        </row>
        <row r="57">
          <cell r="AW57">
            <v>0</v>
          </cell>
        </row>
        <row r="66">
          <cell r="AW66">
            <v>1460680</v>
          </cell>
        </row>
        <row r="67">
          <cell r="AW67">
            <v>180189</v>
          </cell>
        </row>
        <row r="68">
          <cell r="AW68">
            <v>85222</v>
          </cell>
        </row>
        <row r="69">
          <cell r="AW69">
            <v>0</v>
          </cell>
        </row>
      </sheetData>
      <sheetData sheetId="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BG48">
            <v>89092970</v>
          </cell>
        </row>
        <row r="51">
          <cell r="BG51">
            <v>475</v>
          </cell>
        </row>
        <row r="52">
          <cell r="BG52">
            <v>32263</v>
          </cell>
        </row>
        <row r="53">
          <cell r="BG53">
            <v>33703384.236999996</v>
          </cell>
        </row>
        <row r="56">
          <cell r="BG56">
            <v>38954457</v>
          </cell>
        </row>
        <row r="58">
          <cell r="BG58">
            <v>8</v>
          </cell>
        </row>
        <row r="66">
          <cell r="BG66">
            <v>1665558</v>
          </cell>
        </row>
        <row r="67">
          <cell r="BG67">
            <v>177718</v>
          </cell>
        </row>
        <row r="68">
          <cell r="BG68">
            <v>84987</v>
          </cell>
        </row>
        <row r="69">
          <cell r="BG69">
            <v>0</v>
          </cell>
        </row>
      </sheetData>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I47">
            <v>945130248</v>
          </cell>
          <cell r="AW47">
            <v>64382062</v>
          </cell>
        </row>
        <row r="50">
          <cell r="I50">
            <v>5708</v>
          </cell>
          <cell r="AW50">
            <v>475</v>
          </cell>
        </row>
        <row r="51">
          <cell r="I51">
            <v>600518</v>
          </cell>
          <cell r="AW51">
            <v>43960</v>
          </cell>
        </row>
        <row r="52">
          <cell r="I52">
            <v>204769349.69999999</v>
          </cell>
          <cell r="AW52">
            <v>2314875</v>
          </cell>
        </row>
        <row r="55">
          <cell r="I55">
            <v>505553753</v>
          </cell>
          <cell r="AW55">
            <v>42129479</v>
          </cell>
        </row>
        <row r="56">
          <cell r="I56">
            <v>13166793</v>
          </cell>
          <cell r="AW56">
            <v>0</v>
          </cell>
        </row>
        <row r="57">
          <cell r="I57">
            <v>468468</v>
          </cell>
          <cell r="AW57">
            <v>1363</v>
          </cell>
        </row>
        <row r="58">
          <cell r="A58" t="str">
            <v>Eskom - payment in terms of Section 16(1) of the PFMA</v>
          </cell>
          <cell r="M58">
            <v>13500000</v>
          </cell>
          <cell r="AL58">
            <v>-13500000</v>
          </cell>
          <cell r="AW58">
            <v>0</v>
          </cell>
        </row>
        <row r="64">
          <cell r="I64">
            <v>18283844</v>
          </cell>
          <cell r="AW64">
            <v>1535042</v>
          </cell>
        </row>
        <row r="65">
          <cell r="I65">
            <v>2100166</v>
          </cell>
          <cell r="AW65">
            <v>166986</v>
          </cell>
        </row>
        <row r="66">
          <cell r="I66">
            <v>1051725</v>
          </cell>
          <cell r="AW66">
            <v>87651</v>
          </cell>
        </row>
        <row r="67">
          <cell r="I67">
            <v>2614</v>
          </cell>
          <cell r="AW67">
            <v>0</v>
          </cell>
        </row>
      </sheetData>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N47">
            <v>76160742</v>
          </cell>
        </row>
        <row r="50">
          <cell r="N50">
            <v>475</v>
          </cell>
        </row>
        <row r="51">
          <cell r="N51">
            <v>43960</v>
          </cell>
        </row>
        <row r="52">
          <cell r="N52">
            <v>3587887</v>
          </cell>
        </row>
        <row r="55">
          <cell r="N55">
            <v>42129484</v>
          </cell>
        </row>
        <row r="57">
          <cell r="N57">
            <v>131872</v>
          </cell>
        </row>
        <row r="64">
          <cell r="N64">
            <v>1549593</v>
          </cell>
        </row>
        <row r="65">
          <cell r="N65">
            <v>170660</v>
          </cell>
        </row>
        <row r="66">
          <cell r="N66">
            <v>79795</v>
          </cell>
        </row>
        <row r="67">
          <cell r="N67">
            <v>0</v>
          </cell>
        </row>
      </sheetData>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S47">
            <v>66186499</v>
          </cell>
        </row>
        <row r="50">
          <cell r="S50">
            <v>475</v>
          </cell>
        </row>
        <row r="51">
          <cell r="S51">
            <v>43960</v>
          </cell>
        </row>
        <row r="52">
          <cell r="S52">
            <v>4274259</v>
          </cell>
        </row>
        <row r="55">
          <cell r="S55">
            <v>42129482</v>
          </cell>
        </row>
        <row r="57">
          <cell r="S57">
            <v>83878</v>
          </cell>
        </row>
        <row r="64">
          <cell r="S64">
            <v>1486615</v>
          </cell>
        </row>
        <row r="65">
          <cell r="S65">
            <v>171849</v>
          </cell>
        </row>
        <row r="66">
          <cell r="S66">
            <v>84269</v>
          </cell>
        </row>
      </sheetData>
      <sheetData sheetId="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X47">
            <v>59534955</v>
          </cell>
        </row>
        <row r="50">
          <cell r="X50">
            <v>475</v>
          </cell>
        </row>
        <row r="51">
          <cell r="X51">
            <v>43960</v>
          </cell>
        </row>
        <row r="52">
          <cell r="X52">
            <v>20232557</v>
          </cell>
        </row>
        <row r="55">
          <cell r="X55">
            <v>42129482</v>
          </cell>
        </row>
        <row r="56">
          <cell r="X56">
            <v>0</v>
          </cell>
        </row>
        <row r="57">
          <cell r="X57">
            <v>23306</v>
          </cell>
        </row>
        <row r="58">
          <cell r="X58">
            <v>0</v>
          </cell>
        </row>
        <row r="64">
          <cell r="X64">
            <v>1412283</v>
          </cell>
        </row>
        <row r="65">
          <cell r="X65">
            <v>168942</v>
          </cell>
        </row>
        <row r="66">
          <cell r="X66">
            <v>89510</v>
          </cell>
        </row>
        <row r="67">
          <cell r="X67">
            <v>0</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AC47">
            <v>101551864</v>
          </cell>
        </row>
        <row r="50">
          <cell r="AC50">
            <v>483</v>
          </cell>
        </row>
        <row r="51">
          <cell r="AC51">
            <v>103960</v>
          </cell>
        </row>
        <row r="52">
          <cell r="AC52">
            <v>27300430</v>
          </cell>
        </row>
        <row r="55">
          <cell r="AC55">
            <v>42129482</v>
          </cell>
        </row>
        <row r="56">
          <cell r="AC56">
            <v>0</v>
          </cell>
        </row>
        <row r="57">
          <cell r="AC57">
            <v>119906</v>
          </cell>
        </row>
        <row r="64">
          <cell r="AC64">
            <v>1388691</v>
          </cell>
        </row>
        <row r="65">
          <cell r="AC65">
            <v>172594</v>
          </cell>
        </row>
        <row r="66">
          <cell r="AC66">
            <v>86379</v>
          </cell>
        </row>
        <row r="67">
          <cell r="AC67">
            <v>0</v>
          </cell>
        </row>
      </sheetData>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AH47">
            <v>71020894</v>
          </cell>
        </row>
        <row r="50">
          <cell r="AH50">
            <v>475</v>
          </cell>
        </row>
        <row r="51">
          <cell r="AH51">
            <v>103960</v>
          </cell>
        </row>
        <row r="52">
          <cell r="AH52">
            <v>27624060</v>
          </cell>
        </row>
        <row r="55">
          <cell r="AH55">
            <v>42129480</v>
          </cell>
        </row>
        <row r="56">
          <cell r="AH56">
            <v>4388928</v>
          </cell>
        </row>
        <row r="57">
          <cell r="AH57">
            <v>230</v>
          </cell>
        </row>
        <row r="59">
          <cell r="AH59">
            <v>3800000</v>
          </cell>
        </row>
        <row r="64">
          <cell r="AH64">
            <v>1443945</v>
          </cell>
        </row>
        <row r="65">
          <cell r="AH65">
            <v>169736</v>
          </cell>
        </row>
        <row r="66">
          <cell r="AH66">
            <v>90565</v>
          </cell>
        </row>
        <row r="67">
          <cell r="AH67">
            <v>0</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N6">
            <v>900558</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AM47">
            <v>67597899</v>
          </cell>
        </row>
        <row r="50">
          <cell r="AM50">
            <v>475</v>
          </cell>
        </row>
        <row r="51">
          <cell r="AM51">
            <v>43960</v>
          </cell>
        </row>
        <row r="52">
          <cell r="AM52">
            <v>16497519</v>
          </cell>
        </row>
        <row r="55">
          <cell r="AM55">
            <v>42129480</v>
          </cell>
        </row>
        <row r="56">
          <cell r="AM56">
            <v>0</v>
          </cell>
        </row>
        <row r="57">
          <cell r="AM57">
            <v>21</v>
          </cell>
        </row>
        <row r="60">
          <cell r="AG60">
            <v>2000000</v>
          </cell>
          <cell r="AL60">
            <v>3500000</v>
          </cell>
        </row>
        <row r="61">
          <cell r="AL61">
            <v>300000</v>
          </cell>
        </row>
        <row r="62">
          <cell r="AG62">
            <v>1800000</v>
          </cell>
        </row>
        <row r="64">
          <cell r="AM64">
            <v>1524417</v>
          </cell>
        </row>
        <row r="65">
          <cell r="AM65">
            <v>171780</v>
          </cell>
        </row>
        <row r="66">
          <cell r="AM66">
            <v>97825</v>
          </cell>
        </row>
        <row r="67">
          <cell r="AM67">
            <v>0</v>
          </cell>
        </row>
      </sheetData>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AR47">
            <v>75589014</v>
          </cell>
        </row>
        <row r="50">
          <cell r="AR50">
            <v>499</v>
          </cell>
        </row>
        <row r="51">
          <cell r="AR51">
            <v>43960</v>
          </cell>
        </row>
        <row r="52">
          <cell r="AR52">
            <v>4518363</v>
          </cell>
        </row>
        <row r="55">
          <cell r="AR55">
            <v>42129479</v>
          </cell>
        </row>
        <row r="56">
          <cell r="AR56">
            <v>0</v>
          </cell>
        </row>
        <row r="57">
          <cell r="AR57">
            <v>30</v>
          </cell>
        </row>
        <row r="63">
          <cell r="AR63">
            <v>2100000</v>
          </cell>
        </row>
        <row r="64">
          <cell r="AR64">
            <v>1497621</v>
          </cell>
        </row>
        <row r="65">
          <cell r="AR65">
            <v>168680</v>
          </cell>
        </row>
        <row r="66">
          <cell r="AR66">
            <v>82799</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BB47">
            <v>92964228</v>
          </cell>
        </row>
        <row r="50">
          <cell r="BB50">
            <v>475</v>
          </cell>
        </row>
        <row r="51">
          <cell r="BB51">
            <v>43960</v>
          </cell>
        </row>
        <row r="52">
          <cell r="BB52">
            <v>21145008</v>
          </cell>
        </row>
        <row r="55">
          <cell r="BB55">
            <v>42129478</v>
          </cell>
        </row>
        <row r="56">
          <cell r="BB56">
            <v>4388931</v>
          </cell>
        </row>
        <row r="57">
          <cell r="BB57">
            <v>107525</v>
          </cell>
        </row>
        <row r="64">
          <cell r="BB64">
            <v>1484863</v>
          </cell>
        </row>
        <row r="65">
          <cell r="BB65">
            <v>166861</v>
          </cell>
        </row>
        <row r="66">
          <cell r="BB66">
            <v>87404</v>
          </cell>
        </row>
      </sheetData>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BG47">
            <v>75735161</v>
          </cell>
        </row>
        <row r="50">
          <cell r="BG50">
            <v>451</v>
          </cell>
        </row>
        <row r="51">
          <cell r="BG51">
            <v>3960</v>
          </cell>
        </row>
        <row r="52">
          <cell r="BG52">
            <v>28808483</v>
          </cell>
        </row>
        <row r="55">
          <cell r="BG55">
            <v>42129477</v>
          </cell>
        </row>
        <row r="57">
          <cell r="BG57">
            <v>298</v>
          </cell>
        </row>
        <row r="60">
          <cell r="BF60">
            <v>-5500000</v>
          </cell>
        </row>
        <row r="61">
          <cell r="BF61">
            <v>-300000</v>
          </cell>
        </row>
        <row r="62">
          <cell r="BF62">
            <v>-1800000</v>
          </cell>
        </row>
        <row r="63">
          <cell r="BF63">
            <v>-2100000</v>
          </cell>
        </row>
        <row r="64">
          <cell r="BG64">
            <v>1682694</v>
          </cell>
        </row>
        <row r="65">
          <cell r="BG65">
            <v>165349</v>
          </cell>
        </row>
        <row r="66">
          <cell r="BG66">
            <v>77060</v>
          </cell>
        </row>
        <row r="67">
          <cell r="BG67">
            <v>0</v>
          </cell>
        </row>
      </sheetData>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s>
    <sheetDataSet>
      <sheetData sheetId="0" refreshError="1">
        <row r="47">
          <cell r="O47">
            <v>18816680</v>
          </cell>
        </row>
        <row r="56">
          <cell r="S56">
            <v>0</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61">
          <cell r="A61" t="str">
            <v>South African Express Airways</v>
          </cell>
        </row>
        <row r="62">
          <cell r="A62" t="str">
            <v xml:space="preserve">Denel </v>
          </cell>
        </row>
      </sheetData>
      <sheetData sheetId="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7">
          <cell r="AR7">
            <v>33186</v>
          </cell>
        </row>
        <row r="51">
          <cell r="AR51">
            <v>475</v>
          </cell>
        </row>
        <row r="52">
          <cell r="AR52">
            <v>42263</v>
          </cell>
        </row>
        <row r="58">
          <cell r="AR58">
            <v>260</v>
          </cell>
        </row>
        <row r="67">
          <cell r="AR67">
            <v>176493</v>
          </cell>
        </row>
        <row r="68">
          <cell r="AR68">
            <v>82090</v>
          </cell>
        </row>
      </sheetData>
      <sheetData sheetId="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H13">
            <v>143000000</v>
          </cell>
          <cell r="AQ13">
            <v>31098565</v>
          </cell>
        </row>
        <row r="23">
          <cell r="H23">
            <v>410035000</v>
          </cell>
          <cell r="AQ23">
            <v>50571945</v>
          </cell>
        </row>
        <row r="44">
          <cell r="H44">
            <v>106956000</v>
          </cell>
          <cell r="AQ44">
            <v>5008164</v>
          </cell>
        </row>
        <row r="67">
          <cell r="H67">
            <v>47835711.668461092</v>
          </cell>
          <cell r="AQ67">
            <v>-36949546.152860001</v>
          </cell>
        </row>
      </sheetData>
      <sheetData sheetId="1" refreshError="1"/>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M13">
            <v>37582688</v>
          </cell>
        </row>
        <row r="23">
          <cell r="M23">
            <v>32850713</v>
          </cell>
        </row>
        <row r="45">
          <cell r="M45">
            <v>-777665</v>
          </cell>
        </row>
        <row r="68">
          <cell r="M68">
            <v>-18499278.953769997</v>
          </cell>
        </row>
      </sheetData>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R13">
            <v>16125619</v>
          </cell>
          <cell r="CJ13">
            <v>12375928</v>
          </cell>
        </row>
        <row r="23">
          <cell r="R23">
            <v>40638036.743999995</v>
          </cell>
          <cell r="CJ23">
            <v>24383035</v>
          </cell>
        </row>
        <row r="45">
          <cell r="R45">
            <v>-4931986</v>
          </cell>
          <cell r="CJ45">
            <v>-25247385</v>
          </cell>
        </row>
        <row r="67">
          <cell r="R67">
            <v>537410.36356998235</v>
          </cell>
          <cell r="CJ67">
            <v>6028814.930979982</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O6">
            <v>2698953</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W13">
            <v>11567828</v>
          </cell>
          <cell r="CO13">
            <v>21645154</v>
          </cell>
        </row>
        <row r="23">
          <cell r="W23">
            <v>43402900</v>
          </cell>
          <cell r="CO23">
            <v>19205091</v>
          </cell>
        </row>
        <row r="44">
          <cell r="W44">
            <v>-8699700</v>
          </cell>
          <cell r="CO44">
            <v>0</v>
          </cell>
        </row>
        <row r="67">
          <cell r="W67">
            <v>-23974845.376640022</v>
          </cell>
          <cell r="CO67">
            <v>-64456252.997280002</v>
          </cell>
        </row>
      </sheetData>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B13">
            <v>26289577</v>
          </cell>
          <cell r="CT13">
            <v>4387554</v>
          </cell>
        </row>
        <row r="23">
          <cell r="AB23">
            <v>60600922</v>
          </cell>
          <cell r="CT23">
            <v>22800224</v>
          </cell>
        </row>
        <row r="44">
          <cell r="AB44">
            <v>86911584</v>
          </cell>
          <cell r="CT44">
            <v>0</v>
          </cell>
        </row>
        <row r="67">
          <cell r="AB67">
            <v>-39272434.960170001</v>
          </cell>
          <cell r="CT67">
            <v>71916201.470700011</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G13">
            <v>-5974831</v>
          </cell>
          <cell r="CY13">
            <v>10613091</v>
          </cell>
        </row>
        <row r="23">
          <cell r="AG23">
            <v>37229982</v>
          </cell>
          <cell r="CY23">
            <v>28165310</v>
          </cell>
        </row>
        <row r="44">
          <cell r="AG44">
            <v>0</v>
          </cell>
          <cell r="CY44">
            <v>0</v>
          </cell>
        </row>
        <row r="67">
          <cell r="AG67">
            <v>32418642.456500009</v>
          </cell>
          <cell r="CY67">
            <v>-5938593.6452499926</v>
          </cell>
        </row>
      </sheetData>
      <sheetData sheetId="1" refreshError="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L13">
            <v>1315362</v>
          </cell>
          <cell r="DD13">
            <v>-17323880</v>
          </cell>
        </row>
        <row r="23">
          <cell r="AL23">
            <v>50427153</v>
          </cell>
          <cell r="DD23">
            <v>29107369</v>
          </cell>
        </row>
        <row r="44">
          <cell r="AL44">
            <v>0</v>
          </cell>
          <cell r="DD44">
            <v>76052000</v>
          </cell>
        </row>
        <row r="67">
          <cell r="AL67">
            <v>-8875713.0291699618</v>
          </cell>
          <cell r="DD67">
            <v>-87185842.274320006</v>
          </cell>
        </row>
      </sheetData>
      <sheetData sheetId="1" refreshError="1"/>
      <sheetData sheetId="2" refreshError="1"/>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V13">
            <v>295423</v>
          </cell>
        </row>
        <row r="23">
          <cell r="AV23">
            <v>39211461</v>
          </cell>
        </row>
        <row r="44">
          <cell r="AV44">
            <v>-6967</v>
          </cell>
        </row>
        <row r="67">
          <cell r="AV67">
            <v>-18096631.773589998</v>
          </cell>
          <cell r="BZ67">
            <v>-1669085.7470803251</v>
          </cell>
        </row>
      </sheetData>
      <sheetData sheetId="1" refreshError="1"/>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BA13">
            <v>-33015782</v>
          </cell>
          <cell r="DS13">
            <v>-16508019</v>
          </cell>
        </row>
        <row r="23">
          <cell r="BA23">
            <v>45711722</v>
          </cell>
          <cell r="DS23">
            <v>23853310</v>
          </cell>
        </row>
        <row r="44">
          <cell r="BA44">
            <v>0</v>
          </cell>
          <cell r="DS44">
            <v>0</v>
          </cell>
        </row>
        <row r="67">
          <cell r="BA67">
            <v>-17747258.769499987</v>
          </cell>
          <cell r="DS67">
            <v>-5176181.425060004</v>
          </cell>
        </row>
      </sheetData>
      <sheetData sheetId="1" refreshError="1"/>
      <sheetData sheetId="2" refreshError="1"/>
      <sheetData sheetId="3" refreshError="1"/>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BF13">
            <v>15701292</v>
          </cell>
          <cell r="DX13">
            <v>13250851</v>
          </cell>
        </row>
        <row r="23">
          <cell r="BF23">
            <v>34673258</v>
          </cell>
          <cell r="DX23">
            <v>3150815</v>
          </cell>
        </row>
        <row r="44">
          <cell r="BF44">
            <v>0</v>
          </cell>
          <cell r="DX44">
            <v>0</v>
          </cell>
        </row>
        <row r="67">
          <cell r="BF67">
            <v>25860728.776310012</v>
          </cell>
          <cell r="DX67">
            <v>31144738.333759978</v>
          </cell>
        </row>
      </sheetData>
      <sheetData sheetId="1" refreshError="1"/>
      <sheetData sheetId="2" refreshError="1"/>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V13">
            <v>295423</v>
          </cell>
          <cell r="BZ13">
            <v>36077502</v>
          </cell>
          <cell r="DN13">
            <v>6126860</v>
          </cell>
        </row>
        <row r="23">
          <cell r="BZ23">
            <v>286021581</v>
          </cell>
          <cell r="DN23">
            <v>30718792</v>
          </cell>
        </row>
        <row r="44">
          <cell r="BZ44">
            <v>24823043</v>
          </cell>
          <cell r="DN44">
            <v>-6365</v>
          </cell>
        </row>
        <row r="67">
          <cell r="DN67">
            <v>-21698105.034100011</v>
          </cell>
        </row>
      </sheetData>
      <sheetData sheetId="1" refreshError="1"/>
      <sheetData sheetId="2" refreshError="1"/>
      <sheetData sheetId="3" refreshError="1"/>
      <sheetData sheetId="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H13">
            <v>143000000</v>
          </cell>
          <cell r="DI13">
            <v>7778423</v>
          </cell>
        </row>
        <row r="23">
          <cell r="DI23">
            <v>30927020</v>
          </cell>
        </row>
        <row r="44">
          <cell r="DI44">
            <v>-654491</v>
          </cell>
        </row>
        <row r="67">
          <cell r="DI67">
            <v>4292248.2650700212</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09564-EE5D-4CFB-B731-79848297BB8A}">
  <sheetPr>
    <pageSetUpPr fitToPage="1"/>
  </sheetPr>
  <dimension ref="B1:CB238"/>
  <sheetViews>
    <sheetView view="pageBreakPreview" topLeftCell="A3" zoomScale="98" zoomScaleNormal="100" zoomScaleSheetLayoutView="98" workbookViewId="0">
      <selection activeCell="Q28" sqref="Q28"/>
    </sheetView>
  </sheetViews>
  <sheetFormatPr defaultColWidth="3" defaultRowHeight="12.75" x14ac:dyDescent="0.25"/>
  <cols>
    <col min="1" max="1" width="0.85546875" style="663" customWidth="1"/>
    <col min="2" max="2" width="1" style="663" customWidth="1"/>
    <col min="3" max="3" width="1.28515625" style="663" customWidth="1"/>
    <col min="4" max="4" width="50.5703125" style="663" customWidth="1"/>
    <col min="5" max="5" width="4.7109375" style="663" customWidth="1"/>
    <col min="6" max="6" width="5.7109375" style="663" customWidth="1"/>
    <col min="7" max="7" width="18.5703125" style="663" customWidth="1"/>
    <col min="8" max="8" width="15.7109375" style="663" hidden="1" customWidth="1"/>
    <col min="9" max="9" width="16.28515625" style="663" hidden="1" customWidth="1"/>
    <col min="10" max="10" width="17.140625" style="663" hidden="1" customWidth="1"/>
    <col min="11" max="13" width="16.28515625" style="663" hidden="1" customWidth="1"/>
    <col min="14" max="14" width="17" style="663" hidden="1" customWidth="1"/>
    <col min="15" max="15" width="16.28515625" style="663" hidden="1" customWidth="1"/>
    <col min="16" max="16" width="17.140625" style="663" hidden="1" customWidth="1"/>
    <col min="17" max="17" width="18.5703125" style="663" customWidth="1"/>
    <col min="18" max="18" width="16.28515625" style="663" hidden="1" customWidth="1"/>
    <col min="19" max="19" width="2.85546875" style="663" hidden="1" customWidth="1"/>
    <col min="20" max="21" width="18.5703125" style="663" customWidth="1"/>
    <col min="22" max="22" width="14.85546875" style="663" hidden="1" customWidth="1"/>
    <col min="23" max="23" width="16.28515625" style="663" hidden="1" customWidth="1"/>
    <col min="24" max="24" width="16.5703125" style="663" hidden="1" customWidth="1"/>
    <col min="25" max="25" width="15.42578125" style="663" hidden="1" customWidth="1"/>
    <col min="26" max="26" width="16.28515625" style="663" hidden="1" customWidth="1"/>
    <col min="27" max="27" width="17.140625" style="663" hidden="1" customWidth="1"/>
    <col min="28" max="28" width="17" style="663" hidden="1" customWidth="1"/>
    <col min="29" max="29" width="16.7109375" style="663" hidden="1" customWidth="1"/>
    <col min="30" max="30" width="18.5703125" style="663" hidden="1" customWidth="1"/>
    <col min="31" max="31" width="18.5703125" style="663" customWidth="1"/>
    <col min="32" max="32" width="16.85546875" style="663" hidden="1" customWidth="1"/>
    <col min="33" max="33" width="14.7109375" style="663" hidden="1" customWidth="1"/>
    <col min="34" max="34" width="18.5703125" style="663" customWidth="1"/>
    <col min="35" max="35" width="1.7109375" style="663" customWidth="1"/>
    <col min="36" max="36" width="12.7109375" style="663" customWidth="1"/>
    <col min="37" max="37" width="11.28515625" style="663" bestFit="1" customWidth="1"/>
    <col min="38" max="49" width="8.7109375" style="663" customWidth="1"/>
    <col min="50" max="50" width="10.28515625" style="663" customWidth="1"/>
    <col min="51" max="51" width="9.28515625" style="663" customWidth="1"/>
    <col min="52" max="52" width="7.7109375" style="663" customWidth="1"/>
    <col min="53" max="53" width="7.28515625" style="663" customWidth="1"/>
    <col min="54" max="54" width="3.7109375" style="663" customWidth="1"/>
    <col min="55" max="58" width="3.140625" style="663" customWidth="1"/>
    <col min="59" max="59" width="4" style="663" customWidth="1"/>
    <col min="60" max="60" width="3.28515625" style="663" customWidth="1"/>
    <col min="61" max="63" width="3.140625" style="663" customWidth="1"/>
    <col min="64" max="64" width="9.28515625" style="663" customWidth="1"/>
    <col min="65" max="66" width="3.140625" style="663" customWidth="1"/>
    <col min="67" max="109" width="1.7109375" style="663" customWidth="1"/>
    <col min="110" max="16384" width="3" style="663"/>
  </cols>
  <sheetData>
    <row r="1" spans="2:80" s="657" customFormat="1" hidden="1" x14ac:dyDescent="0.25">
      <c r="B1" s="653" t="s">
        <v>617</v>
      </c>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5"/>
      <c r="AI1" s="656"/>
    </row>
    <row r="2" spans="2:80" ht="18.75" hidden="1" customHeight="1" thickBot="1" x14ac:dyDescent="0.3">
      <c r="B2" s="658" t="s">
        <v>618</v>
      </c>
      <c r="C2" s="659"/>
      <c r="D2" s="659"/>
      <c r="E2" s="659"/>
      <c r="F2" s="659"/>
      <c r="G2" s="659"/>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60"/>
      <c r="AI2" s="661"/>
      <c r="AJ2" s="662"/>
      <c r="AK2" s="662"/>
      <c r="AL2" s="662"/>
      <c r="AM2" s="662"/>
      <c r="AN2" s="662"/>
      <c r="AO2" s="662"/>
      <c r="AP2" s="662"/>
      <c r="AQ2" s="662"/>
      <c r="AR2" s="662"/>
      <c r="AS2" s="662"/>
      <c r="AT2" s="662"/>
      <c r="AU2" s="662"/>
      <c r="AV2" s="662"/>
      <c r="AW2" s="662"/>
      <c r="AX2" s="662"/>
      <c r="AY2" s="662"/>
      <c r="AZ2" s="662"/>
      <c r="BA2" s="662"/>
      <c r="BB2" s="662"/>
      <c r="BC2" s="662"/>
      <c r="BD2" s="662"/>
      <c r="BE2" s="662"/>
      <c r="BF2" s="662"/>
      <c r="BG2" s="662"/>
      <c r="BH2" s="662"/>
      <c r="BI2" s="662"/>
      <c r="BJ2" s="662"/>
      <c r="BK2" s="662"/>
      <c r="BL2" s="662"/>
    </row>
    <row r="3" spans="2:80" ht="15.75" x14ac:dyDescent="0.25">
      <c r="B3" s="245"/>
      <c r="C3" s="242"/>
      <c r="F3" s="664"/>
      <c r="H3" s="665"/>
      <c r="I3" s="665"/>
      <c r="J3" s="665"/>
      <c r="K3" s="665"/>
      <c r="L3" s="665"/>
      <c r="M3" s="665"/>
      <c r="N3" s="665"/>
      <c r="O3" s="665"/>
      <c r="P3" s="665"/>
      <c r="Q3" s="665"/>
      <c r="R3" s="665"/>
      <c r="S3" s="665"/>
      <c r="T3" s="664"/>
      <c r="U3" s="664"/>
      <c r="V3" s="664"/>
      <c r="W3" s="664"/>
      <c r="X3" s="664"/>
      <c r="Y3" s="664"/>
      <c r="Z3" s="664"/>
      <c r="AA3" s="664"/>
      <c r="AB3" s="664"/>
      <c r="AC3" s="664"/>
      <c r="AD3" s="664"/>
      <c r="AE3" s="664"/>
      <c r="AF3" s="664"/>
      <c r="AG3" s="664"/>
    </row>
    <row r="4" spans="2:80" ht="15.75" x14ac:dyDescent="0.25">
      <c r="B4" s="620" t="s">
        <v>619</v>
      </c>
      <c r="C4" s="244"/>
      <c r="D4" s="666"/>
      <c r="E4" s="666"/>
      <c r="F4" s="667"/>
      <c r="G4" s="666"/>
      <c r="H4" s="668"/>
      <c r="I4" s="668"/>
      <c r="J4" s="668"/>
      <c r="K4" s="668"/>
      <c r="L4" s="668"/>
      <c r="M4" s="668"/>
      <c r="N4" s="668"/>
      <c r="O4" s="668"/>
      <c r="P4" s="668"/>
      <c r="Q4" s="668"/>
      <c r="R4" s="668"/>
      <c r="S4" s="668"/>
      <c r="T4" s="667"/>
      <c r="U4" s="664"/>
      <c r="V4" s="664"/>
      <c r="W4" s="664"/>
      <c r="X4" s="664"/>
      <c r="Y4" s="664"/>
      <c r="Z4" s="664"/>
      <c r="AA4" s="664"/>
      <c r="AB4" s="664"/>
      <c r="AC4" s="664"/>
      <c r="AD4" s="664"/>
      <c r="AE4" s="664"/>
      <c r="AF4" s="664"/>
      <c r="AG4" s="664"/>
    </row>
    <row r="5" spans="2:80" s="240" customFormat="1" x14ac:dyDescent="0.2">
      <c r="B5" s="230"/>
      <c r="C5" s="242"/>
      <c r="D5" s="242"/>
      <c r="E5" s="242"/>
      <c r="F5" s="669"/>
      <c r="G5" s="622" t="s">
        <v>1</v>
      </c>
      <c r="H5" s="670"/>
      <c r="I5" s="670"/>
      <c r="J5" s="670"/>
      <c r="K5" s="670"/>
      <c r="L5" s="670"/>
      <c r="M5" s="670"/>
      <c r="N5" s="670"/>
      <c r="O5" s="670"/>
      <c r="P5" s="670"/>
      <c r="Q5" s="670"/>
      <c r="R5" s="670"/>
      <c r="S5" s="670"/>
      <c r="T5" s="671"/>
      <c r="U5" s="622" t="s">
        <v>2</v>
      </c>
      <c r="V5" s="670"/>
      <c r="W5" s="670"/>
      <c r="X5" s="670"/>
      <c r="Y5" s="670"/>
      <c r="Z5" s="670"/>
      <c r="AA5" s="670"/>
      <c r="AB5" s="670"/>
      <c r="AC5" s="670"/>
      <c r="AD5" s="670"/>
      <c r="AE5" s="670"/>
      <c r="AF5" s="670"/>
      <c r="AG5" s="670"/>
      <c r="AH5" s="672"/>
      <c r="AI5" s="223"/>
    </row>
    <row r="6" spans="2:80" s="240" customFormat="1" x14ac:dyDescent="0.2">
      <c r="B6" s="230"/>
      <c r="C6" s="242"/>
      <c r="D6" s="242"/>
      <c r="E6" s="242"/>
      <c r="F6" s="673"/>
      <c r="G6" s="16" t="s">
        <v>3</v>
      </c>
      <c r="H6" s="16" t="s">
        <v>4</v>
      </c>
      <c r="I6" s="19" t="s">
        <v>5</v>
      </c>
      <c r="J6" s="19" t="s">
        <v>6</v>
      </c>
      <c r="K6" s="19" t="s">
        <v>7</v>
      </c>
      <c r="L6" s="19" t="s">
        <v>8</v>
      </c>
      <c r="M6" s="19" t="s">
        <v>9</v>
      </c>
      <c r="N6" s="19" t="s">
        <v>10</v>
      </c>
      <c r="O6" s="19" t="s">
        <v>11</v>
      </c>
      <c r="P6" s="19" t="s">
        <v>12</v>
      </c>
      <c r="Q6" s="19" t="s">
        <v>13</v>
      </c>
      <c r="R6" s="19" t="s">
        <v>14</v>
      </c>
      <c r="S6" s="19" t="s">
        <v>15</v>
      </c>
      <c r="T6" s="20" t="s">
        <v>16</v>
      </c>
      <c r="U6" s="16" t="s">
        <v>17</v>
      </c>
      <c r="V6" s="16" t="s">
        <v>4</v>
      </c>
      <c r="W6" s="16" t="s">
        <v>5</v>
      </c>
      <c r="X6" s="16" t="s">
        <v>6</v>
      </c>
      <c r="Y6" s="16" t="s">
        <v>7</v>
      </c>
      <c r="Z6" s="16" t="s">
        <v>8</v>
      </c>
      <c r="AA6" s="16" t="s">
        <v>9</v>
      </c>
      <c r="AB6" s="16" t="s">
        <v>10</v>
      </c>
      <c r="AC6" s="16" t="s">
        <v>11</v>
      </c>
      <c r="AD6" s="16" t="s">
        <v>12</v>
      </c>
      <c r="AE6" s="16" t="s">
        <v>13</v>
      </c>
      <c r="AF6" s="16" t="s">
        <v>14</v>
      </c>
      <c r="AG6" s="16" t="s">
        <v>15</v>
      </c>
      <c r="AH6" s="674" t="s">
        <v>16</v>
      </c>
      <c r="AI6" s="223"/>
      <c r="AK6" s="242"/>
      <c r="AL6" s="242"/>
      <c r="AM6" s="242"/>
      <c r="AN6" s="242"/>
      <c r="AO6" s="242"/>
      <c r="AP6" s="242"/>
      <c r="AQ6" s="242"/>
      <c r="AR6" s="242"/>
      <c r="AS6" s="242"/>
      <c r="AT6" s="242"/>
      <c r="AU6" s="242"/>
      <c r="AV6" s="242"/>
      <c r="AW6" s="242"/>
      <c r="AX6" s="242"/>
      <c r="AY6" s="242"/>
      <c r="AZ6" s="242"/>
      <c r="BA6" s="242"/>
      <c r="BB6" s="242"/>
      <c r="BC6" s="242"/>
      <c r="BD6" s="242"/>
      <c r="BE6" s="242"/>
      <c r="BF6" s="242"/>
      <c r="BG6" s="242"/>
      <c r="BH6" s="242"/>
      <c r="BI6" s="242"/>
      <c r="BJ6" s="242"/>
      <c r="BK6" s="242"/>
      <c r="BL6" s="242"/>
    </row>
    <row r="7" spans="2:80" s="240" customFormat="1" ht="15" x14ac:dyDescent="0.2">
      <c r="B7" s="563" t="s">
        <v>19</v>
      </c>
      <c r="C7" s="253"/>
      <c r="D7" s="253"/>
      <c r="E7" s="253"/>
      <c r="F7" s="477" t="s">
        <v>293</v>
      </c>
      <c r="G7" s="675" t="s">
        <v>20</v>
      </c>
      <c r="H7" s="675"/>
      <c r="I7" s="32"/>
      <c r="J7" s="32"/>
      <c r="K7" s="32"/>
      <c r="L7" s="32"/>
      <c r="M7" s="32"/>
      <c r="N7" s="32"/>
      <c r="O7" s="32"/>
      <c r="P7" s="32"/>
      <c r="Q7" s="32"/>
      <c r="R7" s="32"/>
      <c r="S7" s="32"/>
      <c r="T7" s="256"/>
      <c r="U7" s="257" t="s">
        <v>636</v>
      </c>
      <c r="V7" s="675"/>
      <c r="W7" s="675"/>
      <c r="X7" s="675"/>
      <c r="Y7" s="675"/>
      <c r="Z7" s="675"/>
      <c r="AA7" s="675"/>
      <c r="AB7" s="675"/>
      <c r="AC7" s="675"/>
      <c r="AD7" s="675"/>
      <c r="AE7" s="675"/>
      <c r="AF7" s="675"/>
      <c r="AG7" s="675"/>
      <c r="AH7" s="676"/>
      <c r="AI7" s="223"/>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row>
    <row r="8" spans="2:80" s="240" customFormat="1" ht="13.5" thickBot="1" x14ac:dyDescent="0.25">
      <c r="B8" s="677"/>
      <c r="C8" s="678"/>
      <c r="D8" s="678"/>
      <c r="E8" s="678"/>
      <c r="F8" s="679"/>
      <c r="G8" s="680"/>
      <c r="H8" s="27"/>
      <c r="I8" s="27"/>
      <c r="J8" s="27"/>
      <c r="K8" s="27"/>
      <c r="L8" s="27"/>
      <c r="M8" s="681"/>
      <c r="N8" s="681"/>
      <c r="O8" s="681"/>
      <c r="P8" s="681"/>
      <c r="Q8" s="681"/>
      <c r="R8" s="681"/>
      <c r="S8" s="681"/>
      <c r="T8" s="682"/>
      <c r="U8" s="683"/>
      <c r="V8" s="680"/>
      <c r="W8" s="680"/>
      <c r="X8" s="680"/>
      <c r="Y8" s="680"/>
      <c r="Z8" s="680"/>
      <c r="AA8" s="680"/>
      <c r="AB8" s="680"/>
      <c r="AC8" s="680"/>
      <c r="AD8" s="680"/>
      <c r="AE8" s="680"/>
      <c r="AF8" s="680"/>
      <c r="AG8" s="680"/>
      <c r="AH8" s="684"/>
      <c r="AI8" s="223"/>
      <c r="AJ8" s="1"/>
      <c r="AK8" s="685"/>
      <c r="AL8" s="685"/>
      <c r="AM8" s="685"/>
      <c r="AN8" s="685"/>
      <c r="AO8" s="685"/>
      <c r="AP8" s="685"/>
      <c r="AQ8" s="685"/>
      <c r="AR8" s="685"/>
      <c r="AS8" s="685"/>
      <c r="AT8" s="685"/>
      <c r="AU8" s="685"/>
      <c r="AV8" s="685"/>
      <c r="AW8" s="685"/>
      <c r="AX8" s="685"/>
      <c r="AZ8" s="685"/>
      <c r="BA8" s="685"/>
      <c r="BB8" s="685"/>
      <c r="BC8" s="685"/>
    </row>
    <row r="9" spans="2:80" s="240" customFormat="1" ht="13.5" thickBot="1" x14ac:dyDescent="0.25">
      <c r="B9" s="230" t="s">
        <v>620</v>
      </c>
      <c r="C9" s="242"/>
      <c r="F9" s="673">
        <v>1</v>
      </c>
      <c r="G9" s="27">
        <f>+'[53]Statement 1'!$H$114</f>
        <v>1097931728.3315389</v>
      </c>
      <c r="H9" s="27">
        <f>+'[54]Statement 1'!$U$114</f>
        <v>63095740.380769998</v>
      </c>
      <c r="I9" s="28">
        <f>+'[55]Statement 1'!$J$114</f>
        <v>68106446.022430018</v>
      </c>
      <c r="J9" s="28">
        <f>+'[56]Statement 1'!$K$114</f>
        <v>108554101.37664002</v>
      </c>
      <c r="K9" s="28">
        <f>+'[57]Statement 1'!$L$114</f>
        <v>62846312.960169993</v>
      </c>
      <c r="L9" s="28">
        <f>+'[58]Statement 1'!$M$114</f>
        <v>101855148.66649999</v>
      </c>
      <c r="M9" s="28">
        <f>+'[59]Statement 1'!$N$114</f>
        <v>105679255.27216996</v>
      </c>
      <c r="N9" s="28">
        <f>+'[60]Statement 1'!$O$114</f>
        <v>83230717.11586</v>
      </c>
      <c r="O9" s="28">
        <f>+'[61]Statement 1'!$P$114</f>
        <v>99218194.778589994</v>
      </c>
      <c r="P9" s="28">
        <f>+'[62]Statement 1'!$Q$114</f>
        <v>176370693.76949999</v>
      </c>
      <c r="Q9" s="28">
        <f>+'[63]Statement 1'!$R$114</f>
        <v>87476541.460689977</v>
      </c>
      <c r="R9" s="28"/>
      <c r="S9" s="28"/>
      <c r="T9" s="60">
        <f>SUM(H9:S9)</f>
        <v>956433151.80331993</v>
      </c>
      <c r="U9" s="29">
        <f>+'[61]Statement 1'!$V$114</f>
        <v>1345880147.4470804</v>
      </c>
      <c r="V9" s="27">
        <f>+'[54]Statement 1'!$W$114</f>
        <v>73824343.085730031</v>
      </c>
      <c r="W9" s="27">
        <f>+'[55]Statement 1'!$X$114</f>
        <v>96920893.069020018</v>
      </c>
      <c r="X9" s="27">
        <f>+'[56]Statement 1'!$Y$114</f>
        <v>147241477.99728</v>
      </c>
      <c r="Y9" s="27">
        <f>+'[57]Statement 1'!$Z$114</f>
        <v>73749809.529299989</v>
      </c>
      <c r="Z9" s="27">
        <f>+'[58]Statement 1'!$AA$114</f>
        <v>117932465.64524999</v>
      </c>
      <c r="AA9" s="27">
        <f>+'[59]Statement 1'!$AB$114</f>
        <v>117713729.27432001</v>
      </c>
      <c r="AB9" s="27">
        <f>+'[53]Statement 1'!$AC$114</f>
        <v>83787244.734929979</v>
      </c>
      <c r="AC9" s="27">
        <f>+'[61]Statement 1'!$AD$114</f>
        <v>95520711.034100011</v>
      </c>
      <c r="AD9" s="27">
        <f>+'[62]Statement 1'!$AE$114</f>
        <v>160349623.42506</v>
      </c>
      <c r="AE9" s="27">
        <f>+'[63]Statement 1'!$AF$114</f>
        <v>91356528.666240022</v>
      </c>
      <c r="AF9" s="27"/>
      <c r="AG9" s="27"/>
      <c r="AH9" s="60">
        <f>SUM(V9:AG9)-2</f>
        <v>1058396824.46123</v>
      </c>
      <c r="AI9" s="571"/>
      <c r="AJ9" s="49"/>
      <c r="AK9" s="686"/>
      <c r="AL9" s="687"/>
      <c r="AM9" s="687"/>
      <c r="AN9" s="687"/>
      <c r="AO9" s="687"/>
      <c r="AP9" s="687"/>
      <c r="AQ9" s="687"/>
      <c r="AR9" s="687"/>
      <c r="AS9" s="687"/>
      <c r="AT9" s="687"/>
      <c r="AU9" s="687"/>
      <c r="AV9" s="687"/>
      <c r="AW9" s="687"/>
      <c r="AX9" s="688"/>
      <c r="AY9" s="248"/>
      <c r="AZ9" s="248"/>
      <c r="BA9" s="248"/>
      <c r="BB9" s="248"/>
      <c r="BC9" s="248"/>
      <c r="BD9" s="248"/>
      <c r="BE9" s="248"/>
      <c r="BF9" s="248"/>
      <c r="BG9" s="248"/>
      <c r="BH9" s="248"/>
      <c r="BI9" s="248"/>
      <c r="BJ9" s="248"/>
      <c r="BK9" s="248"/>
      <c r="BL9" s="248"/>
      <c r="BM9" s="248"/>
      <c r="BO9" s="248"/>
      <c r="BP9" s="248"/>
      <c r="BQ9" s="248"/>
      <c r="BR9" s="248"/>
      <c r="BS9" s="248"/>
      <c r="BT9" s="248"/>
      <c r="BU9" s="248"/>
      <c r="BV9" s="248"/>
      <c r="BW9" s="248"/>
      <c r="BX9" s="248"/>
      <c r="BY9" s="248"/>
      <c r="BZ9" s="248"/>
      <c r="CA9" s="248"/>
      <c r="CB9" s="248"/>
    </row>
    <row r="10" spans="2:80" s="240" customFormat="1" x14ac:dyDescent="0.2">
      <c r="B10" s="223"/>
      <c r="F10" s="567"/>
      <c r="G10" s="155"/>
      <c r="H10" s="689"/>
      <c r="I10" s="690"/>
      <c r="J10" s="690"/>
      <c r="K10" s="690"/>
      <c r="L10" s="690"/>
      <c r="M10" s="690"/>
      <c r="N10" s="690"/>
      <c r="O10" s="690"/>
      <c r="P10" s="690"/>
      <c r="Q10" s="690"/>
      <c r="R10" s="690"/>
      <c r="S10" s="690"/>
      <c r="T10" s="591"/>
      <c r="U10" s="289"/>
      <c r="V10" s="155"/>
      <c r="W10" s="155"/>
      <c r="X10" s="155"/>
      <c r="Y10" s="155"/>
      <c r="Z10" s="155"/>
      <c r="AA10" s="155"/>
      <c r="AB10" s="155"/>
      <c r="AC10" s="155"/>
      <c r="AD10" s="155"/>
      <c r="AE10" s="155"/>
      <c r="AF10" s="155"/>
      <c r="AG10" s="155"/>
      <c r="AH10" s="691"/>
      <c r="AI10" s="571"/>
      <c r="AJ10" s="49"/>
      <c r="AK10" s="553"/>
      <c r="AL10" s="553"/>
      <c r="AM10" s="553"/>
      <c r="AN10" s="553"/>
      <c r="AO10" s="553"/>
      <c r="AP10" s="553"/>
      <c r="AQ10" s="553"/>
      <c r="AR10" s="553"/>
      <c r="AS10" s="553"/>
      <c r="AT10" s="553"/>
      <c r="AU10" s="553"/>
      <c r="AV10" s="553"/>
      <c r="AW10" s="553"/>
      <c r="AX10" s="553"/>
      <c r="AY10" s="553"/>
      <c r="AZ10" s="553"/>
      <c r="BA10" s="553"/>
      <c r="BB10" s="553"/>
      <c r="BC10" s="553"/>
      <c r="BD10" s="553"/>
      <c r="BE10" s="553"/>
      <c r="BF10" s="553"/>
      <c r="BG10" s="553"/>
      <c r="BH10" s="553"/>
      <c r="BI10" s="553"/>
      <c r="BJ10" s="553"/>
      <c r="BK10" s="553"/>
      <c r="BL10" s="553"/>
    </row>
    <row r="11" spans="2:80" s="240" customFormat="1" x14ac:dyDescent="0.2">
      <c r="B11" s="230" t="s">
        <v>621</v>
      </c>
      <c r="C11" s="242"/>
      <c r="F11" s="673">
        <v>2</v>
      </c>
      <c r="G11" s="27">
        <f>+G13+G15+G32</f>
        <v>1805758440</v>
      </c>
      <c r="H11" s="27">
        <f t="shared" ref="H11:AH11" si="0">+H13+H15+H32</f>
        <v>114252197.427</v>
      </c>
      <c r="I11" s="27">
        <f t="shared" si="0"/>
        <v>120475526.13</v>
      </c>
      <c r="J11" s="27">
        <f t="shared" si="0"/>
        <v>130850284</v>
      </c>
      <c r="K11" s="27">
        <f t="shared" si="0"/>
        <v>197375961</v>
      </c>
      <c r="L11" s="27">
        <f t="shared" si="0"/>
        <v>165528942.123</v>
      </c>
      <c r="M11" s="27">
        <f t="shared" si="0"/>
        <v>148546057.243</v>
      </c>
      <c r="N11" s="27">
        <f t="shared" si="0"/>
        <v>132959844.963</v>
      </c>
      <c r="O11" s="27">
        <f t="shared" si="0"/>
        <v>120621480.005</v>
      </c>
      <c r="P11" s="27">
        <f t="shared" si="0"/>
        <v>171319375</v>
      </c>
      <c r="Q11" s="27">
        <f t="shared" si="0"/>
        <v>163711820.23699999</v>
      </c>
      <c r="R11" s="27">
        <f t="shared" si="0"/>
        <v>0</v>
      </c>
      <c r="S11" s="27">
        <f t="shared" si="0"/>
        <v>0</v>
      </c>
      <c r="T11" s="27">
        <f t="shared" si="0"/>
        <v>1465641489.128</v>
      </c>
      <c r="U11" s="27">
        <f t="shared" si="0"/>
        <v>1691133186.7</v>
      </c>
      <c r="V11" s="27">
        <f t="shared" si="0"/>
        <v>137354468</v>
      </c>
      <c r="W11" s="27">
        <f t="shared" si="0"/>
        <v>114461286</v>
      </c>
      <c r="X11" s="27">
        <f t="shared" si="0"/>
        <v>123635470</v>
      </c>
      <c r="Y11" s="27">
        <f t="shared" si="0"/>
        <v>172853789</v>
      </c>
      <c r="Z11" s="27">
        <f t="shared" si="0"/>
        <v>150772273</v>
      </c>
      <c r="AA11" s="27">
        <f t="shared" si="0"/>
        <v>118363376</v>
      </c>
      <c r="AB11" s="27">
        <f t="shared" si="0"/>
        <v>126130445</v>
      </c>
      <c r="AC11" s="27">
        <f t="shared" si="0"/>
        <v>110661893</v>
      </c>
      <c r="AD11" s="27">
        <f>+AD13+AD15+AD32</f>
        <v>162518733</v>
      </c>
      <c r="AE11" s="27">
        <f>+AE13+AE15+AE32</f>
        <v>138902933</v>
      </c>
      <c r="AF11" s="27">
        <f t="shared" si="0"/>
        <v>0</v>
      </c>
      <c r="AG11" s="27">
        <f t="shared" si="0"/>
        <v>0</v>
      </c>
      <c r="AH11" s="27">
        <f t="shared" si="0"/>
        <v>1355654666</v>
      </c>
      <c r="AI11" s="571"/>
      <c r="AJ11" s="553"/>
      <c r="AK11" s="23"/>
      <c r="AL11" s="23"/>
      <c r="AM11" s="23"/>
      <c r="AN11" s="23"/>
      <c r="AO11" s="23"/>
      <c r="AP11" s="23"/>
      <c r="AQ11" s="23"/>
      <c r="AR11" s="23"/>
      <c r="AS11" s="23"/>
      <c r="AT11" s="23"/>
      <c r="AU11" s="23"/>
      <c r="AV11" s="23"/>
      <c r="AW11" s="23"/>
      <c r="AX11" s="23"/>
      <c r="AY11" s="553"/>
      <c r="AZ11" s="553"/>
      <c r="BA11" s="553"/>
      <c r="BB11" s="553"/>
      <c r="BC11" s="553"/>
      <c r="BD11" s="553"/>
      <c r="BE11" s="553"/>
      <c r="BF11" s="553"/>
      <c r="BG11" s="553"/>
      <c r="BH11" s="553"/>
      <c r="BI11" s="553"/>
      <c r="BJ11" s="553"/>
      <c r="BK11" s="553"/>
      <c r="BL11" s="553"/>
    </row>
    <row r="12" spans="2:80" s="240" customFormat="1" x14ac:dyDescent="0.2">
      <c r="B12" s="230"/>
      <c r="C12" s="242"/>
      <c r="F12" s="673"/>
      <c r="G12" s="27"/>
      <c r="H12" s="27"/>
      <c r="I12" s="28"/>
      <c r="J12" s="28"/>
      <c r="K12" s="28"/>
      <c r="L12" s="28"/>
      <c r="M12" s="28"/>
      <c r="N12" s="28"/>
      <c r="O12" s="28"/>
      <c r="P12" s="28"/>
      <c r="Q12" s="28"/>
      <c r="R12" s="28"/>
      <c r="S12" s="28"/>
      <c r="T12" s="28"/>
      <c r="U12" s="29"/>
      <c r="V12" s="27"/>
      <c r="W12" s="27"/>
      <c r="X12" s="27"/>
      <c r="Y12" s="27"/>
      <c r="Z12" s="27"/>
      <c r="AA12" s="27"/>
      <c r="AB12" s="27"/>
      <c r="AC12" s="27"/>
      <c r="AD12" s="27"/>
      <c r="AE12" s="27"/>
      <c r="AF12" s="27"/>
      <c r="AG12" s="27"/>
      <c r="AH12" s="692"/>
      <c r="AI12" s="571"/>
      <c r="AJ12" s="553"/>
      <c r="AK12" s="248"/>
      <c r="AL12" s="248"/>
      <c r="AM12" s="248"/>
      <c r="AN12" s="248"/>
      <c r="AO12" s="248"/>
      <c r="AP12" s="248"/>
      <c r="AQ12" s="248"/>
      <c r="AR12" s="248"/>
      <c r="AS12" s="248"/>
      <c r="AT12" s="248"/>
      <c r="AU12" s="248"/>
      <c r="AV12" s="248"/>
      <c r="AW12" s="248"/>
      <c r="AX12" s="248"/>
      <c r="AY12" s="553"/>
      <c r="AZ12" s="553"/>
      <c r="BA12" s="553"/>
      <c r="BB12" s="553"/>
      <c r="BC12" s="553"/>
      <c r="BD12" s="553"/>
      <c r="BE12" s="553"/>
      <c r="BF12" s="553"/>
      <c r="BG12" s="553"/>
      <c r="BH12" s="553"/>
      <c r="BI12" s="553"/>
      <c r="BJ12" s="553"/>
      <c r="BK12" s="553"/>
      <c r="BL12" s="553"/>
    </row>
    <row r="13" spans="2:80" s="240" customFormat="1" x14ac:dyDescent="0.2">
      <c r="B13" s="693"/>
      <c r="C13" s="242" t="s">
        <v>622</v>
      </c>
      <c r="F13" s="673">
        <v>2</v>
      </c>
      <c r="G13" s="70">
        <f>+'[64]20-21'!$I$48</f>
        <v>1025349737</v>
      </c>
      <c r="H13" s="70">
        <f>+'[65]20-21'!$N$48</f>
        <v>63165298</v>
      </c>
      <c r="I13" s="60">
        <f>+'[66]20-21'!$S$48</f>
        <v>71995377</v>
      </c>
      <c r="J13" s="60">
        <f>+'[67]20-21'!$X$48</f>
        <v>61212482</v>
      </c>
      <c r="K13" s="60">
        <f>+'[68]20-21'!$AC$48</f>
        <v>118355901</v>
      </c>
      <c r="L13" s="60">
        <f>+'[69]20-21'!$AH$48</f>
        <v>82985001</v>
      </c>
      <c r="M13" s="60">
        <f>+'[70]20-21'!$AM$48</f>
        <v>75682961</v>
      </c>
      <c r="N13" s="60">
        <f>+'[71]20-21'!$AR$48</f>
        <v>84022361</v>
      </c>
      <c r="O13" s="60">
        <f>+'[72]20-21'!$AW$48</f>
        <v>71737880</v>
      </c>
      <c r="P13" s="60">
        <f>+'[64]20-21'!$BB$48</f>
        <v>103042121</v>
      </c>
      <c r="Q13" s="60">
        <f>+'[73]20-21'!$BG$48</f>
        <v>89092970</v>
      </c>
      <c r="R13" s="60"/>
      <c r="S13" s="60"/>
      <c r="T13" s="60">
        <f>SUM(H13:S13)</f>
        <v>821292352</v>
      </c>
      <c r="U13" s="61">
        <f>+'[74]19-20'!$I$47</f>
        <v>945130248</v>
      </c>
      <c r="V13" s="70">
        <f>+'[75]19-20'!$N$47</f>
        <v>76160742</v>
      </c>
      <c r="W13" s="70">
        <f>+'[76]19-20'!$S$47</f>
        <v>66186499</v>
      </c>
      <c r="X13" s="70">
        <f>+'[77]19-20'!$X$47</f>
        <v>59534955</v>
      </c>
      <c r="Y13" s="70">
        <f>+'[78]19-20'!$AC$47</f>
        <v>101551864</v>
      </c>
      <c r="Z13" s="70">
        <f>+'[79]19-20'!$AH$47</f>
        <v>71020894</v>
      </c>
      <c r="AA13" s="70">
        <f>+'[80]19-20'!$AM$47</f>
        <v>67597899</v>
      </c>
      <c r="AB13" s="70">
        <f>+'[81]19-20'!$AR$47</f>
        <v>75589014</v>
      </c>
      <c r="AC13" s="70">
        <f>+'[74]19-20'!$AW$47</f>
        <v>64382062</v>
      </c>
      <c r="AD13" s="70">
        <f>+'[82]19-20'!$BB$47</f>
        <v>92964228</v>
      </c>
      <c r="AE13" s="70">
        <f>+'[83]19-20'!$BG$47</f>
        <v>75735161</v>
      </c>
      <c r="AF13" s="70"/>
      <c r="AG13" s="70"/>
      <c r="AH13" s="71">
        <f>SUM(V13:AG13)</f>
        <v>750723318</v>
      </c>
      <c r="AI13" s="571"/>
      <c r="AJ13" s="553"/>
      <c r="AK13" s="23"/>
      <c r="AL13" s="23"/>
      <c r="AM13" s="23"/>
      <c r="AN13" s="23"/>
      <c r="AO13" s="23"/>
      <c r="AP13" s="23"/>
      <c r="AQ13" s="23"/>
      <c r="AR13" s="23"/>
      <c r="AS13" s="23"/>
      <c r="AT13" s="23"/>
      <c r="AU13" s="23"/>
      <c r="AV13" s="23"/>
      <c r="AW13" s="23"/>
      <c r="AX13" s="23"/>
      <c r="AY13" s="553"/>
      <c r="AZ13" s="553"/>
      <c r="BA13" s="553"/>
      <c r="BB13" s="553"/>
      <c r="BC13" s="553"/>
      <c r="BD13" s="553"/>
      <c r="BE13" s="553"/>
      <c r="BF13" s="553"/>
      <c r="BG13" s="553"/>
      <c r="BH13" s="553"/>
      <c r="BI13" s="553"/>
      <c r="BJ13" s="553"/>
      <c r="BK13" s="553"/>
      <c r="BL13" s="553"/>
    </row>
    <row r="14" spans="2:80" s="240" customFormat="1" x14ac:dyDescent="0.2">
      <c r="B14" s="230"/>
      <c r="C14" s="242"/>
      <c r="F14" s="673"/>
      <c r="G14" s="27"/>
      <c r="H14" s="27"/>
      <c r="I14" s="28"/>
      <c r="J14" s="28"/>
      <c r="K14" s="28"/>
      <c r="L14" s="28"/>
      <c r="M14" s="28"/>
      <c r="N14" s="28"/>
      <c r="O14" s="28"/>
      <c r="P14" s="28"/>
      <c r="Q14" s="28"/>
      <c r="R14" s="28"/>
      <c r="S14" s="28"/>
      <c r="T14" s="28"/>
      <c r="U14" s="29"/>
      <c r="V14" s="27"/>
      <c r="W14" s="27"/>
      <c r="X14" s="27"/>
      <c r="Y14" s="27"/>
      <c r="Z14" s="27"/>
      <c r="AA14" s="27"/>
      <c r="AB14" s="27"/>
      <c r="AC14" s="27"/>
      <c r="AD14" s="27"/>
      <c r="AE14" s="27"/>
      <c r="AF14" s="27"/>
      <c r="AG14" s="27"/>
      <c r="AH14" s="692"/>
      <c r="AI14" s="571"/>
      <c r="AJ14" s="553"/>
      <c r="AK14" s="553"/>
      <c r="AL14" s="553"/>
      <c r="AM14" s="553"/>
      <c r="AN14" s="553"/>
      <c r="AO14" s="553"/>
      <c r="AP14" s="553"/>
      <c r="AQ14" s="553"/>
      <c r="AR14" s="553"/>
      <c r="AS14" s="553"/>
      <c r="AT14" s="553"/>
      <c r="AU14" s="553"/>
      <c r="AV14" s="553"/>
      <c r="AW14" s="553"/>
      <c r="AX14" s="553"/>
      <c r="AY14" s="553"/>
      <c r="AZ14" s="553"/>
      <c r="BA14" s="553"/>
      <c r="BB14" s="553"/>
      <c r="BC14" s="553"/>
      <c r="BD14" s="553"/>
      <c r="BE14" s="553"/>
      <c r="BF14" s="553"/>
      <c r="BG14" s="553"/>
      <c r="BH14" s="553"/>
      <c r="BI14" s="553"/>
      <c r="BJ14" s="553"/>
      <c r="BK14" s="553"/>
      <c r="BL14" s="553"/>
    </row>
    <row r="15" spans="2:80" s="240" customFormat="1" x14ac:dyDescent="0.2">
      <c r="B15" s="693"/>
      <c r="C15" s="242" t="s">
        <v>231</v>
      </c>
      <c r="F15" s="673">
        <v>2</v>
      </c>
      <c r="G15" s="70">
        <f>SUM(G16:G30)-G21</f>
        <v>782517261</v>
      </c>
      <c r="H15" s="70">
        <f>SUM(H16:H30)</f>
        <v>51086899.427000001</v>
      </c>
      <c r="I15" s="70">
        <f>SUM(I16:I30)</f>
        <v>48480149.130000003</v>
      </c>
      <c r="J15" s="70">
        <f>SUM(J16:J30)</f>
        <v>69637802</v>
      </c>
      <c r="K15" s="70">
        <f>SUM(K16:K30)</f>
        <v>79020060</v>
      </c>
      <c r="L15" s="70">
        <f>SUM(L16:L30)</f>
        <v>82543941.122999996</v>
      </c>
      <c r="M15" s="70">
        <f>SUM(M16:M30)-M21-M24</f>
        <v>72863096.243000001</v>
      </c>
      <c r="N15" s="70">
        <f>SUM(N16:N30)-N21-N24</f>
        <v>48937483.963</v>
      </c>
      <c r="O15" s="70">
        <f>SUM(O16:O30)-O21-O24</f>
        <v>48883600.005000003</v>
      </c>
      <c r="P15" s="70">
        <f>SUM(P16:P30)-P21-P24</f>
        <v>68277254</v>
      </c>
      <c r="Q15" s="70">
        <f>SUM(Q16:Q30)-Q21-Q24</f>
        <v>74618850.236999989</v>
      </c>
      <c r="R15" s="70"/>
      <c r="S15" s="70"/>
      <c r="T15" s="70">
        <f>SUM(T16:T30)-T21-T24</f>
        <v>644349137.12800002</v>
      </c>
      <c r="U15" s="70">
        <f>SUM(U16:U30)</f>
        <v>746002938.70000005</v>
      </c>
      <c r="V15" s="70">
        <f>SUM(V16:V30)</f>
        <v>61193726</v>
      </c>
      <c r="W15" s="70">
        <f>SUM(W16:W30)</f>
        <v>48274787</v>
      </c>
      <c r="X15" s="70">
        <f>SUM(X16:X30)</f>
        <v>64100515</v>
      </c>
      <c r="Y15" s="70">
        <f>SUM(Y16:Y30)</f>
        <v>71301925</v>
      </c>
      <c r="Z15" s="70">
        <f>SUM(Z16:Z30)-Z24</f>
        <v>79751379</v>
      </c>
      <c r="AA15" s="70">
        <f>SUM(AA16:AA30)-AA24</f>
        <v>50765477</v>
      </c>
      <c r="AB15" s="70">
        <f>SUM(AB16:AB30)-AB24</f>
        <v>50541431</v>
      </c>
      <c r="AC15" s="70">
        <f t="shared" ref="AC15:AI15" si="1">SUM(AC16:AC30)-AC24</f>
        <v>46279831</v>
      </c>
      <c r="AD15" s="70">
        <f t="shared" si="1"/>
        <v>69554505</v>
      </c>
      <c r="AE15" s="70">
        <f>SUM(AE16:AE30)-AE24</f>
        <v>63167772</v>
      </c>
      <c r="AF15" s="70">
        <f t="shared" si="1"/>
        <v>0</v>
      </c>
      <c r="AG15" s="70">
        <f t="shared" si="1"/>
        <v>0</v>
      </c>
      <c r="AH15" s="63">
        <f t="shared" si="1"/>
        <v>604931348</v>
      </c>
      <c r="AI15" s="61">
        <f t="shared" si="1"/>
        <v>0</v>
      </c>
      <c r="AJ15" s="553"/>
      <c r="AK15" s="23"/>
      <c r="AL15" s="23"/>
      <c r="AM15" s="23"/>
      <c r="AN15" s="23"/>
      <c r="AO15" s="23"/>
      <c r="AP15" s="23"/>
      <c r="AQ15" s="23"/>
      <c r="AR15" s="23"/>
      <c r="AS15" s="23"/>
      <c r="AT15" s="23"/>
      <c r="AU15" s="23"/>
      <c r="AV15" s="23"/>
      <c r="AW15" s="23"/>
      <c r="AX15" s="23"/>
      <c r="AY15" s="553"/>
      <c r="AZ15" s="553"/>
      <c r="BA15" s="553"/>
      <c r="BB15" s="553"/>
      <c r="BC15" s="553"/>
      <c r="BD15" s="553"/>
      <c r="BE15" s="553"/>
      <c r="BF15" s="553"/>
      <c r="BG15" s="553"/>
      <c r="BH15" s="553"/>
      <c r="BI15" s="553"/>
      <c r="BJ15" s="553"/>
      <c r="BK15" s="553"/>
      <c r="BL15" s="553"/>
    </row>
    <row r="16" spans="2:80" s="240" customFormat="1" x14ac:dyDescent="0.2">
      <c r="B16" s="693"/>
      <c r="C16" s="242"/>
      <c r="D16" s="294" t="s">
        <v>523</v>
      </c>
      <c r="E16" s="294"/>
      <c r="F16" s="694"/>
      <c r="G16" s="88">
        <f>+'[64]20-21'!$I$53</f>
        <v>233027798</v>
      </c>
      <c r="H16" s="88">
        <f>+'[65]20-21'!$N$53</f>
        <v>4156462.4270000001</v>
      </c>
      <c r="I16" s="89">
        <f>+'[66]20-21'!$S$53</f>
        <v>1746959.1300000001</v>
      </c>
      <c r="J16" s="89">
        <f>+'[67]20-21'!$X$53</f>
        <v>23287136</v>
      </c>
      <c r="K16" s="89">
        <f>+'[68]20-21'!$AC$53</f>
        <v>33793248</v>
      </c>
      <c r="L16" s="89">
        <f>+'[69]20-21'!$AH$53</f>
        <v>32588390.123</v>
      </c>
      <c r="M16" s="89">
        <f>+'[70]20-21'!$AM$53</f>
        <v>20719704.243000001</v>
      </c>
      <c r="N16" s="89">
        <f>+'[71]20-21'!$AR$53</f>
        <v>3593963.963</v>
      </c>
      <c r="O16" s="89">
        <f>+'[72]20-21'!$AW$53</f>
        <v>2242145.0050000004</v>
      </c>
      <c r="P16" s="89">
        <f>+'[64]20-21'!$BB$53</f>
        <v>23505078</v>
      </c>
      <c r="Q16" s="89">
        <f>+'[73]20-21'!$BG$53</f>
        <v>33703384.236999996</v>
      </c>
      <c r="R16" s="89"/>
      <c r="S16" s="89"/>
      <c r="T16" s="89">
        <f>SUM(H16:S16)+1</f>
        <v>179336472.12799996</v>
      </c>
      <c r="U16" s="88">
        <f>+'[74]19-20'!$I$52</f>
        <v>204769349.69999999</v>
      </c>
      <c r="V16" s="88">
        <f>+'[75]19-20'!$N$52</f>
        <v>3587887</v>
      </c>
      <c r="W16" s="88">
        <f>+'[76]19-20'!$S$52</f>
        <v>4274259</v>
      </c>
      <c r="X16" s="88">
        <f>+'[77]19-20'!$X$52</f>
        <v>20232557</v>
      </c>
      <c r="Y16" s="88">
        <f>+'[78]19-20'!$AC$52</f>
        <v>27300430</v>
      </c>
      <c r="Z16" s="88">
        <f>+'[79]19-20'!$AH$52</f>
        <v>27624060</v>
      </c>
      <c r="AA16" s="88">
        <f>+'[80]19-20'!$AM$52</f>
        <v>16497519</v>
      </c>
      <c r="AB16" s="88">
        <f>+'[81]19-20'!$AR$52</f>
        <v>4518363</v>
      </c>
      <c r="AC16" s="88">
        <f>+'[74]19-20'!$AW$52</f>
        <v>2314875</v>
      </c>
      <c r="AD16" s="88">
        <f>+'[82]19-20'!$BB$52</f>
        <v>21145008</v>
      </c>
      <c r="AE16" s="88">
        <f>+'[83]19-20'!$BG$52</f>
        <v>28808483</v>
      </c>
      <c r="AF16" s="88"/>
      <c r="AG16" s="88"/>
      <c r="AH16" s="295">
        <f>SUM(V16:AG16)</f>
        <v>156303441</v>
      </c>
      <c r="AI16" s="571"/>
      <c r="AJ16" s="553"/>
      <c r="AK16" s="553"/>
      <c r="AL16" s="553"/>
      <c r="AM16" s="553"/>
      <c r="AN16" s="553"/>
      <c r="AO16" s="553"/>
      <c r="AP16" s="553"/>
      <c r="AQ16" s="553"/>
      <c r="AR16" s="553"/>
      <c r="AS16" s="553"/>
      <c r="AT16" s="553"/>
      <c r="AU16" s="553"/>
      <c r="AV16" s="553"/>
      <c r="AW16" s="553"/>
      <c r="AX16" s="553"/>
      <c r="AY16" s="553"/>
      <c r="AZ16" s="553"/>
      <c r="BA16" s="553"/>
      <c r="BB16" s="553"/>
      <c r="BC16" s="553"/>
      <c r="BD16" s="553"/>
      <c r="BE16" s="553"/>
      <c r="BF16" s="553"/>
      <c r="BG16" s="553"/>
      <c r="BH16" s="553"/>
      <c r="BI16" s="553"/>
      <c r="BJ16" s="553"/>
      <c r="BK16" s="553"/>
      <c r="BL16" s="553"/>
    </row>
    <row r="17" spans="2:64" s="240" customFormat="1" x14ac:dyDescent="0.2">
      <c r="B17" s="693"/>
      <c r="C17" s="242"/>
      <c r="D17" s="294" t="s">
        <v>524</v>
      </c>
      <c r="E17" s="294"/>
      <c r="F17" s="673"/>
      <c r="G17" s="88">
        <f>+'[64]20-21'!$I$56</f>
        <v>520717021</v>
      </c>
      <c r="H17" s="88">
        <f>+'[65]20-21'!$N$56</f>
        <v>44872627</v>
      </c>
      <c r="I17" s="89">
        <f>+'[66]20-21'!$S$56</f>
        <v>44872627</v>
      </c>
      <c r="J17" s="89">
        <f>+'[67]20-21'!$X$56</f>
        <v>44872627</v>
      </c>
      <c r="K17" s="89">
        <f>+'[68]20-21'!$AC$56</f>
        <v>44872627</v>
      </c>
      <c r="L17" s="89">
        <f>+'[69]20-21'!$AH$56</f>
        <v>44872627</v>
      </c>
      <c r="M17" s="89">
        <f>+'[70]20-21'!$AM$56</f>
        <v>44872627</v>
      </c>
      <c r="N17" s="89">
        <f>+'[71]20-21'!$AR$56</f>
        <v>44872627</v>
      </c>
      <c r="O17" s="89">
        <f>+'[72]20-21'!$AW$56</f>
        <v>44872626</v>
      </c>
      <c r="P17" s="89">
        <f>+'[64]20-21'!$BB$56</f>
        <v>44872625</v>
      </c>
      <c r="Q17" s="89">
        <f>+'[73]20-21'!$BG$56</f>
        <v>38954457</v>
      </c>
      <c r="R17" s="89"/>
      <c r="S17" s="89"/>
      <c r="T17" s="89">
        <f t="shared" ref="T17:T23" si="2">SUM(H17:S17)</f>
        <v>442808097</v>
      </c>
      <c r="U17" s="295">
        <f>+'[74]19-20'!$I$55</f>
        <v>505553753</v>
      </c>
      <c r="V17" s="88">
        <f>+'[75]19-20'!$N$55</f>
        <v>42129484</v>
      </c>
      <c r="W17" s="88">
        <f>+'[76]19-20'!$S$55</f>
        <v>42129482</v>
      </c>
      <c r="X17" s="88">
        <f>+'[77]19-20'!$X$55</f>
        <v>42129482</v>
      </c>
      <c r="Y17" s="88">
        <f>+'[78]19-20'!$AC$55</f>
        <v>42129482</v>
      </c>
      <c r="Z17" s="88">
        <f>+'[79]19-20'!$AH$55</f>
        <v>42129480</v>
      </c>
      <c r="AA17" s="88">
        <f>+'[80]19-20'!$AM$55</f>
        <v>42129480</v>
      </c>
      <c r="AB17" s="88">
        <f>+'[81]19-20'!$AR$55</f>
        <v>42129479</v>
      </c>
      <c r="AC17" s="88">
        <f>+'[74]19-20'!$AW$55</f>
        <v>42129479</v>
      </c>
      <c r="AD17" s="88">
        <f>+'[82]19-20'!$BB$55</f>
        <v>42129478</v>
      </c>
      <c r="AE17" s="88">
        <f>+'[83]19-20'!$BG$55</f>
        <v>42129477</v>
      </c>
      <c r="AF17" s="88"/>
      <c r="AG17" s="88"/>
      <c r="AH17" s="695">
        <f>SUM(V17:AG17)</f>
        <v>421294803</v>
      </c>
      <c r="AI17" s="571"/>
      <c r="AJ17" s="553"/>
      <c r="AK17" s="553"/>
      <c r="AL17" s="553"/>
      <c r="AM17" s="553"/>
      <c r="AN17" s="553"/>
      <c r="AO17" s="553"/>
      <c r="AP17" s="553"/>
      <c r="AQ17" s="553"/>
      <c r="AR17" s="553"/>
      <c r="AS17" s="553"/>
      <c r="AT17" s="553"/>
      <c r="AU17" s="553"/>
      <c r="AV17" s="553"/>
      <c r="AW17" s="553"/>
      <c r="AX17" s="553"/>
      <c r="AY17" s="553"/>
      <c r="AZ17" s="553"/>
      <c r="BA17" s="553"/>
      <c r="BB17" s="553"/>
      <c r="BC17" s="553"/>
      <c r="BD17" s="553"/>
      <c r="BE17" s="553"/>
      <c r="BF17" s="553"/>
      <c r="BG17" s="553"/>
      <c r="BH17" s="553"/>
      <c r="BI17" s="553"/>
      <c r="BJ17" s="553"/>
      <c r="BK17" s="553"/>
      <c r="BL17" s="553"/>
    </row>
    <row r="18" spans="2:64" s="240" customFormat="1" x14ac:dyDescent="0.2">
      <c r="B18" s="693"/>
      <c r="C18" s="242"/>
      <c r="D18" s="294" t="s">
        <v>525</v>
      </c>
      <c r="E18" s="294"/>
      <c r="F18" s="673"/>
      <c r="G18" s="88">
        <f>+'[64]20-21'!$I$57</f>
        <v>14026878</v>
      </c>
      <c r="H18" s="88">
        <f>+'[65]20-21'!$N$57</f>
        <v>0</v>
      </c>
      <c r="I18" s="89">
        <f>+'[66]20-21'!$S$57</f>
        <v>0</v>
      </c>
      <c r="J18" s="89">
        <f>+'[67]20-21'!$X$57</f>
        <v>0</v>
      </c>
      <c r="K18" s="89">
        <f>+'[68]20-21'!$AC$57</f>
        <v>0</v>
      </c>
      <c r="L18" s="89">
        <f>+'[69]20-21'!$AH$57</f>
        <v>4675628</v>
      </c>
      <c r="M18" s="89">
        <f>+'[70]20-21'!$AM$57</f>
        <v>0</v>
      </c>
      <c r="N18" s="89">
        <f>+'[71]20-21'!$AR$57</f>
        <v>0</v>
      </c>
      <c r="O18" s="89">
        <f>+'[72]20-21'!$AW$57</f>
        <v>0</v>
      </c>
      <c r="P18" s="89">
        <f>+'[64]20-21'!$BB$57</f>
        <v>4675628</v>
      </c>
      <c r="Q18" s="89">
        <v>0</v>
      </c>
      <c r="R18" s="89"/>
      <c r="S18" s="89"/>
      <c r="T18" s="89">
        <f t="shared" si="2"/>
        <v>9351256</v>
      </c>
      <c r="U18" s="295">
        <f>+'[74]19-20'!$I$56</f>
        <v>13166793</v>
      </c>
      <c r="V18" s="88">
        <v>0</v>
      </c>
      <c r="W18" s="89">
        <f>+'[84]19-20'!$S$56</f>
        <v>0</v>
      </c>
      <c r="X18" s="88">
        <f>+'[77]19-20'!$X$56</f>
        <v>0</v>
      </c>
      <c r="Y18" s="88">
        <f>+'[78]19-20'!$AC$56</f>
        <v>0</v>
      </c>
      <c r="Z18" s="88">
        <f>+'[79]19-20'!$AH$56</f>
        <v>4388928</v>
      </c>
      <c r="AA18" s="88">
        <f>+'[80]19-20'!$AM$56</f>
        <v>0</v>
      </c>
      <c r="AB18" s="88">
        <f>+'[81]19-20'!$AR$56</f>
        <v>0</v>
      </c>
      <c r="AC18" s="88">
        <f>+'[74]19-20'!$AW$56</f>
        <v>0</v>
      </c>
      <c r="AD18" s="88">
        <f>+'[82]19-20'!$BB$56</f>
        <v>4388931</v>
      </c>
      <c r="AE18" s="88">
        <v>0</v>
      </c>
      <c r="AF18" s="88"/>
      <c r="AG18" s="88"/>
      <c r="AH18" s="695">
        <f>SUM(V18:AG18)</f>
        <v>8777859</v>
      </c>
      <c r="AI18" s="571"/>
      <c r="AJ18" s="553"/>
      <c r="AK18" s="553"/>
      <c r="AL18" s="553"/>
      <c r="AM18" s="553"/>
      <c r="AN18" s="553"/>
      <c r="AO18" s="553"/>
      <c r="AP18" s="553"/>
      <c r="AQ18" s="553"/>
      <c r="AR18" s="553"/>
      <c r="AS18" s="553"/>
      <c r="AT18" s="553"/>
      <c r="AU18" s="553"/>
      <c r="AV18" s="553"/>
      <c r="AW18" s="553"/>
      <c r="AX18" s="553"/>
      <c r="AY18" s="553"/>
      <c r="AZ18" s="553"/>
      <c r="BA18" s="553"/>
      <c r="BB18" s="553"/>
      <c r="BC18" s="553"/>
      <c r="BD18" s="553"/>
      <c r="BE18" s="553"/>
      <c r="BF18" s="553"/>
      <c r="BG18" s="553"/>
      <c r="BH18" s="553"/>
      <c r="BI18" s="553"/>
      <c r="BJ18" s="553"/>
      <c r="BK18" s="553"/>
      <c r="BL18" s="553"/>
    </row>
    <row r="19" spans="2:64" s="240" customFormat="1" x14ac:dyDescent="0.2">
      <c r="B19" s="693"/>
      <c r="C19" s="242"/>
      <c r="D19" s="294" t="str">
        <f>+'[70]20-21'!$A$60</f>
        <v>Other payments</v>
      </c>
      <c r="E19" s="294"/>
      <c r="F19" s="673"/>
      <c r="G19" s="88"/>
      <c r="H19" s="88"/>
      <c r="I19" s="89"/>
      <c r="J19" s="89"/>
      <c r="K19" s="89"/>
      <c r="L19" s="89"/>
      <c r="M19" s="89"/>
      <c r="N19" s="89"/>
      <c r="O19" s="89"/>
      <c r="P19" s="89"/>
      <c r="Q19" s="89"/>
      <c r="R19" s="89"/>
      <c r="S19" s="89"/>
      <c r="T19" s="89"/>
      <c r="U19" s="295"/>
      <c r="V19" s="88"/>
      <c r="W19" s="89"/>
      <c r="X19" s="88"/>
      <c r="Y19" s="88"/>
      <c r="Z19" s="88"/>
      <c r="AA19" s="88"/>
      <c r="AB19" s="88"/>
      <c r="AC19" s="88"/>
      <c r="AD19" s="88"/>
      <c r="AE19" s="88"/>
      <c r="AF19" s="88"/>
      <c r="AG19" s="88"/>
      <c r="AH19" s="695"/>
      <c r="AI19" s="571"/>
      <c r="AJ19" s="553"/>
      <c r="AK19" s="553"/>
      <c r="AL19" s="553"/>
      <c r="AM19" s="553"/>
      <c r="AN19" s="553"/>
      <c r="AO19" s="553"/>
      <c r="AP19" s="553"/>
      <c r="AQ19" s="553"/>
      <c r="AR19" s="553"/>
      <c r="AS19" s="553"/>
      <c r="AT19" s="553"/>
      <c r="AU19" s="553"/>
      <c r="AV19" s="553"/>
      <c r="AW19" s="553"/>
      <c r="AX19" s="553"/>
      <c r="AY19" s="553"/>
      <c r="AZ19" s="553"/>
      <c r="BA19" s="553"/>
      <c r="BB19" s="553"/>
      <c r="BC19" s="553"/>
      <c r="BD19" s="553"/>
      <c r="BE19" s="553"/>
      <c r="BF19" s="553"/>
      <c r="BG19" s="553"/>
      <c r="BH19" s="553"/>
      <c r="BI19" s="553"/>
      <c r="BJ19" s="553"/>
      <c r="BK19" s="553"/>
      <c r="BL19" s="553"/>
    </row>
    <row r="20" spans="2:64" s="240" customFormat="1" hidden="1" x14ac:dyDescent="0.2">
      <c r="B20" s="693"/>
      <c r="C20" s="242"/>
      <c r="D20" s="294" t="str">
        <f>+'[74]19-20'!$A$58</f>
        <v>Eskom - payment in terms of Section 16(1) of the PFMA</v>
      </c>
      <c r="E20" s="294"/>
      <c r="F20" s="673"/>
      <c r="G20" s="88"/>
      <c r="H20" s="88"/>
      <c r="I20" s="89"/>
      <c r="J20" s="89"/>
      <c r="K20" s="89"/>
      <c r="L20" s="89"/>
      <c r="M20" s="89"/>
      <c r="N20" s="89"/>
      <c r="O20" s="89"/>
      <c r="P20" s="89"/>
      <c r="Q20" s="89"/>
      <c r="R20" s="89"/>
      <c r="S20" s="89"/>
      <c r="T20" s="89"/>
      <c r="U20" s="295"/>
      <c r="V20" s="88">
        <f>+'[74]19-20'!$M$58</f>
        <v>13500000</v>
      </c>
      <c r="W20" s="89">
        <v>0</v>
      </c>
      <c r="X20" s="89">
        <v>0</v>
      </c>
      <c r="Y20" s="89">
        <v>0</v>
      </c>
      <c r="Z20" s="89">
        <v>0</v>
      </c>
      <c r="AA20" s="88">
        <f>+'[74]19-20'!$AL$58</f>
        <v>-13500000</v>
      </c>
      <c r="AB20" s="88">
        <v>0</v>
      </c>
      <c r="AC20" s="88">
        <f>+'[74]19-20'!$AW$58</f>
        <v>0</v>
      </c>
      <c r="AD20" s="88"/>
      <c r="AE20" s="88"/>
      <c r="AF20" s="89"/>
      <c r="AG20" s="89"/>
      <c r="AH20" s="295"/>
      <c r="AI20" s="571"/>
      <c r="AJ20" s="553"/>
      <c r="AK20" s="553"/>
      <c r="AL20" s="553"/>
      <c r="AM20" s="553"/>
      <c r="AN20" s="553"/>
      <c r="AO20" s="553"/>
      <c r="AP20" s="553"/>
      <c r="AQ20" s="553"/>
      <c r="AR20" s="553"/>
      <c r="AS20" s="553"/>
      <c r="AT20" s="553"/>
      <c r="AU20" s="553"/>
      <c r="AV20" s="553"/>
      <c r="AW20" s="553"/>
      <c r="AX20" s="553"/>
      <c r="AY20" s="553"/>
      <c r="AZ20" s="553"/>
      <c r="BA20" s="553"/>
      <c r="BB20" s="553"/>
      <c r="BC20" s="553"/>
      <c r="BD20" s="553"/>
      <c r="BE20" s="553"/>
      <c r="BF20" s="553"/>
      <c r="BG20" s="553"/>
      <c r="BH20" s="553"/>
      <c r="BI20" s="553"/>
      <c r="BJ20" s="553"/>
      <c r="BK20" s="553"/>
      <c r="BL20" s="553"/>
    </row>
    <row r="21" spans="2:64" s="589" customFormat="1" x14ac:dyDescent="0.2">
      <c r="B21" s="696"/>
      <c r="C21" s="697"/>
      <c r="D21" s="698" t="s">
        <v>623</v>
      </c>
      <c r="F21" s="699"/>
      <c r="G21" s="700">
        <f>SUM(G22:G23)</f>
        <v>217761</v>
      </c>
      <c r="H21" s="700">
        <f t="shared" ref="H21:AH21" si="3">SUM(H22:H23)</f>
        <v>0</v>
      </c>
      <c r="I21" s="700">
        <f t="shared" si="3"/>
        <v>0</v>
      </c>
      <c r="J21" s="700">
        <f t="shared" si="3"/>
        <v>0</v>
      </c>
      <c r="K21" s="700">
        <f t="shared" si="3"/>
        <v>0</v>
      </c>
      <c r="L21" s="700">
        <f t="shared" si="3"/>
        <v>0</v>
      </c>
      <c r="M21" s="700">
        <f t="shared" si="3"/>
        <v>217761</v>
      </c>
      <c r="N21" s="700">
        <f t="shared" si="3"/>
        <v>0</v>
      </c>
      <c r="O21" s="700">
        <f t="shared" si="3"/>
        <v>0</v>
      </c>
      <c r="P21" s="700">
        <f t="shared" si="3"/>
        <v>0</v>
      </c>
      <c r="Q21" s="700">
        <f t="shared" si="3"/>
        <v>0</v>
      </c>
      <c r="R21" s="700">
        <f t="shared" si="3"/>
        <v>0</v>
      </c>
      <c r="S21" s="700">
        <f t="shared" si="3"/>
        <v>0</v>
      </c>
      <c r="T21" s="700">
        <f t="shared" si="3"/>
        <v>217761</v>
      </c>
      <c r="U21" s="700">
        <f t="shared" si="3"/>
        <v>0</v>
      </c>
      <c r="V21" s="700">
        <f t="shared" si="3"/>
        <v>0</v>
      </c>
      <c r="W21" s="700">
        <f t="shared" si="3"/>
        <v>0</v>
      </c>
      <c r="X21" s="700">
        <f t="shared" si="3"/>
        <v>0</v>
      </c>
      <c r="Y21" s="700">
        <f t="shared" si="3"/>
        <v>0</v>
      </c>
      <c r="Z21" s="700">
        <f t="shared" si="3"/>
        <v>0</v>
      </c>
      <c r="AA21" s="700">
        <f t="shared" si="3"/>
        <v>0</v>
      </c>
      <c r="AB21" s="700">
        <f t="shared" si="3"/>
        <v>0</v>
      </c>
      <c r="AC21" s="700">
        <f t="shared" si="3"/>
        <v>0</v>
      </c>
      <c r="AD21" s="700">
        <f t="shared" si="3"/>
        <v>0</v>
      </c>
      <c r="AE21" s="700">
        <f t="shared" si="3"/>
        <v>0</v>
      </c>
      <c r="AF21" s="700">
        <f t="shared" si="3"/>
        <v>0</v>
      </c>
      <c r="AG21" s="700">
        <f t="shared" si="3"/>
        <v>0</v>
      </c>
      <c r="AH21" s="700">
        <f t="shared" si="3"/>
        <v>0</v>
      </c>
      <c r="AI21" s="701"/>
    </row>
    <row r="22" spans="2:64" s="240" customFormat="1" x14ac:dyDescent="0.2">
      <c r="B22" s="693"/>
      <c r="C22" s="242"/>
      <c r="D22" s="702" t="str">
        <f>+'[70]20-21'!$B$62</f>
        <v xml:space="preserve">South African Express Airways </v>
      </c>
      <c r="E22" s="294"/>
      <c r="F22" s="694"/>
      <c r="G22" s="88">
        <f>+'[64]20-21'!$H$62</f>
        <v>143395</v>
      </c>
      <c r="H22" s="88"/>
      <c r="I22" s="89"/>
      <c r="J22" s="89"/>
      <c r="K22" s="89"/>
      <c r="L22" s="295"/>
      <c r="M22" s="88">
        <f>+'[70]20-21'!$AL$62</f>
        <v>143395</v>
      </c>
      <c r="N22" s="89">
        <v>0</v>
      </c>
      <c r="O22" s="89">
        <v>0</v>
      </c>
      <c r="P22" s="89">
        <v>0</v>
      </c>
      <c r="Q22" s="89">
        <v>0</v>
      </c>
      <c r="R22" s="89"/>
      <c r="S22" s="89"/>
      <c r="T22" s="89">
        <f t="shared" si="2"/>
        <v>143395</v>
      </c>
      <c r="U22" s="295">
        <v>0</v>
      </c>
      <c r="V22" s="88"/>
      <c r="W22" s="89"/>
      <c r="X22" s="89"/>
      <c r="Y22" s="89"/>
      <c r="Z22" s="89"/>
      <c r="AA22" s="700">
        <v>0</v>
      </c>
      <c r="AB22" s="700">
        <v>0</v>
      </c>
      <c r="AC22" s="88">
        <v>0</v>
      </c>
      <c r="AD22" s="88">
        <v>0</v>
      </c>
      <c r="AE22" s="88">
        <v>0</v>
      </c>
      <c r="AF22" s="89"/>
      <c r="AG22" s="89"/>
      <c r="AH22" s="703">
        <v>0</v>
      </c>
      <c r="AI22" s="571"/>
      <c r="AJ22" s="553"/>
      <c r="AK22" s="553"/>
      <c r="AL22" s="553"/>
      <c r="AM22" s="553"/>
      <c r="AN22" s="553"/>
      <c r="AO22" s="553"/>
      <c r="AP22" s="553"/>
      <c r="AQ22" s="553"/>
      <c r="AR22" s="553"/>
      <c r="AS22" s="553"/>
      <c r="AT22" s="553"/>
      <c r="AU22" s="553"/>
      <c r="AV22" s="553"/>
      <c r="AW22" s="553"/>
      <c r="AX22" s="553"/>
      <c r="AY22" s="553"/>
      <c r="AZ22" s="553"/>
      <c r="BA22" s="553"/>
      <c r="BB22" s="553"/>
      <c r="BC22" s="553"/>
      <c r="BD22" s="553"/>
      <c r="BE22" s="553"/>
      <c r="BF22" s="553"/>
      <c r="BG22" s="553"/>
      <c r="BH22" s="553"/>
      <c r="BI22" s="553"/>
      <c r="BJ22" s="553"/>
      <c r="BK22" s="553"/>
      <c r="BL22" s="553"/>
    </row>
    <row r="23" spans="2:64" s="240" customFormat="1" x14ac:dyDescent="0.2">
      <c r="B23" s="693"/>
      <c r="C23" s="242"/>
      <c r="D23" s="702" t="str">
        <f>+'[70]20-21'!$B$63</f>
        <v>Land and Agricultural Development Bank of SA</v>
      </c>
      <c r="E23" s="294"/>
      <c r="F23" s="694"/>
      <c r="G23" s="88">
        <f>+'[64]20-21'!$H$63</f>
        <v>74366</v>
      </c>
      <c r="H23" s="88"/>
      <c r="I23" s="89"/>
      <c r="J23" s="89"/>
      <c r="K23" s="89"/>
      <c r="L23" s="295"/>
      <c r="M23" s="88">
        <f>+'[70]20-21'!$AL$63</f>
        <v>74366</v>
      </c>
      <c r="N23" s="89">
        <v>0</v>
      </c>
      <c r="O23" s="89">
        <v>0</v>
      </c>
      <c r="P23" s="89">
        <v>0</v>
      </c>
      <c r="Q23" s="89">
        <v>0</v>
      </c>
      <c r="R23" s="89"/>
      <c r="S23" s="89"/>
      <c r="T23" s="89">
        <f t="shared" si="2"/>
        <v>74366</v>
      </c>
      <c r="U23" s="295">
        <v>0</v>
      </c>
      <c r="V23" s="88"/>
      <c r="W23" s="89"/>
      <c r="X23" s="89"/>
      <c r="Y23" s="89"/>
      <c r="Z23" s="89"/>
      <c r="AA23" s="700">
        <v>0</v>
      </c>
      <c r="AB23" s="700">
        <v>0</v>
      </c>
      <c r="AC23" s="88">
        <v>0</v>
      </c>
      <c r="AD23" s="88">
        <v>0</v>
      </c>
      <c r="AE23" s="88">
        <v>0</v>
      </c>
      <c r="AF23" s="89"/>
      <c r="AG23" s="89"/>
      <c r="AH23" s="703">
        <v>0</v>
      </c>
      <c r="AI23" s="571"/>
      <c r="AJ23" s="553"/>
      <c r="AK23" s="553"/>
      <c r="AL23" s="553"/>
      <c r="AM23" s="553"/>
      <c r="AN23" s="553"/>
      <c r="AO23" s="553"/>
      <c r="AP23" s="553"/>
      <c r="AQ23" s="553"/>
      <c r="AR23" s="553"/>
      <c r="AS23" s="553"/>
      <c r="AT23" s="553"/>
      <c r="AU23" s="553"/>
      <c r="AV23" s="553"/>
      <c r="AW23" s="553"/>
      <c r="AX23" s="553"/>
      <c r="AY23" s="553"/>
      <c r="AZ23" s="553"/>
      <c r="BA23" s="553"/>
      <c r="BB23" s="553"/>
      <c r="BC23" s="553"/>
      <c r="BD23" s="553"/>
      <c r="BE23" s="553"/>
      <c r="BF23" s="553"/>
      <c r="BG23" s="553"/>
      <c r="BH23" s="553"/>
      <c r="BI23" s="553"/>
      <c r="BJ23" s="553"/>
      <c r="BK23" s="553"/>
      <c r="BL23" s="553"/>
    </row>
    <row r="24" spans="2:64" s="240" customFormat="1" x14ac:dyDescent="0.2">
      <c r="B24" s="704"/>
      <c r="D24" s="705" t="s">
        <v>624</v>
      </c>
      <c r="E24" s="294"/>
      <c r="F24" s="706"/>
      <c r="G24" s="88">
        <v>0</v>
      </c>
      <c r="H24" s="88">
        <v>0</v>
      </c>
      <c r="I24" s="89">
        <v>0</v>
      </c>
      <c r="J24" s="89">
        <v>0</v>
      </c>
      <c r="K24" s="89"/>
      <c r="M24" s="76">
        <f>SUM(M25:M27)</f>
        <v>6571667</v>
      </c>
      <c r="N24" s="76">
        <f t="shared" ref="N24:T24" si="4">SUM(N25:N27)</f>
        <v>0</v>
      </c>
      <c r="O24" s="76">
        <f t="shared" si="4"/>
        <v>0</v>
      </c>
      <c r="P24" s="76">
        <f t="shared" si="4"/>
        <v>-6571667</v>
      </c>
      <c r="Q24" s="76">
        <f t="shared" si="4"/>
        <v>0</v>
      </c>
      <c r="R24" s="76">
        <f t="shared" si="4"/>
        <v>0</v>
      </c>
      <c r="S24" s="76">
        <f t="shared" si="4"/>
        <v>0</v>
      </c>
      <c r="T24" s="76">
        <f t="shared" si="4"/>
        <v>0</v>
      </c>
      <c r="U24" s="295">
        <v>0</v>
      </c>
      <c r="V24" s="76">
        <v>0</v>
      </c>
      <c r="W24" s="77">
        <v>0</v>
      </c>
      <c r="X24" s="77">
        <v>0</v>
      </c>
      <c r="Y24" s="77">
        <v>0</v>
      </c>
      <c r="Z24" s="77">
        <f>+'[79]19-20'!$AH$59</f>
        <v>3800000</v>
      </c>
      <c r="AA24" s="76">
        <f>SUM(AA25:AA28)</f>
        <v>3800000</v>
      </c>
      <c r="AB24" s="700">
        <f>SUM(AB25:AB28)</f>
        <v>2100000</v>
      </c>
      <c r="AC24" s="76">
        <v>0</v>
      </c>
      <c r="AD24" s="76">
        <v>0</v>
      </c>
      <c r="AE24" s="76">
        <f>SUM(AE25:AE28)</f>
        <v>-9700000</v>
      </c>
      <c r="AF24" s="77"/>
      <c r="AG24" s="77"/>
      <c r="AH24" s="118">
        <f>SUM(V24:AG24)</f>
        <v>0</v>
      </c>
      <c r="AI24" s="571"/>
      <c r="AJ24" s="553"/>
      <c r="AK24" s="553"/>
      <c r="AL24" s="553"/>
      <c r="AM24" s="553"/>
      <c r="AN24" s="553"/>
      <c r="AO24" s="553"/>
      <c r="AP24" s="553"/>
      <c r="AQ24" s="553"/>
      <c r="AR24" s="553"/>
      <c r="AS24" s="553"/>
      <c r="AT24" s="553"/>
      <c r="AU24" s="553"/>
      <c r="AV24" s="553"/>
      <c r="AW24" s="553"/>
      <c r="AX24" s="553"/>
      <c r="AY24" s="553"/>
      <c r="AZ24" s="553"/>
      <c r="BA24" s="553"/>
      <c r="BB24" s="553"/>
      <c r="BC24" s="553"/>
      <c r="BD24" s="553"/>
      <c r="BE24" s="553"/>
      <c r="BF24" s="553"/>
      <c r="BG24" s="553"/>
      <c r="BH24" s="553"/>
      <c r="BI24" s="553"/>
      <c r="BJ24" s="553"/>
      <c r="BK24" s="553"/>
      <c r="BL24" s="553"/>
    </row>
    <row r="25" spans="2:64" s="240" customFormat="1" x14ac:dyDescent="0.2">
      <c r="B25" s="693"/>
      <c r="C25" s="242"/>
      <c r="D25" s="707" t="s">
        <v>245</v>
      </c>
      <c r="E25" s="294"/>
      <c r="F25" s="694"/>
      <c r="G25" s="88">
        <v>0</v>
      </c>
      <c r="H25" s="88"/>
      <c r="I25" s="89"/>
      <c r="J25" s="89"/>
      <c r="K25" s="89"/>
      <c r="M25" s="88">
        <f>+'[70]20-21'!$AL$65</f>
        <v>6571667</v>
      </c>
      <c r="N25" s="89">
        <v>0</v>
      </c>
      <c r="O25" s="89">
        <v>0</v>
      </c>
      <c r="P25" s="89">
        <f>+'[64]20-21'!$BA$65</f>
        <v>-6571667</v>
      </c>
      <c r="Q25" s="89"/>
      <c r="R25" s="89"/>
      <c r="S25" s="89"/>
      <c r="T25" s="89">
        <f>SUM(H25:S25)</f>
        <v>0</v>
      </c>
      <c r="U25" s="295">
        <v>0</v>
      </c>
      <c r="V25" s="88">
        <v>0</v>
      </c>
      <c r="W25" s="88">
        <v>0</v>
      </c>
      <c r="X25" s="88">
        <v>0</v>
      </c>
      <c r="Y25" s="88">
        <v>0</v>
      </c>
      <c r="Z25" s="88">
        <f>+'[80]19-20'!$AG$60</f>
        <v>2000000</v>
      </c>
      <c r="AA25" s="88">
        <f>+'[80]19-20'!$AL$60</f>
        <v>3500000</v>
      </c>
      <c r="AB25" s="88">
        <v>0</v>
      </c>
      <c r="AC25" s="88">
        <v>0</v>
      </c>
      <c r="AD25" s="88">
        <v>0</v>
      </c>
      <c r="AE25" s="88">
        <f>+'[83]19-20'!$BF$60</f>
        <v>-5500000</v>
      </c>
      <c r="AF25" s="88"/>
      <c r="AG25" s="88"/>
      <c r="AH25" s="695">
        <f t="shared" ref="AH25:AH30" si="5">SUM(V25:AG25)</f>
        <v>0</v>
      </c>
      <c r="AI25" s="571"/>
      <c r="AJ25" s="553"/>
      <c r="AK25" s="553"/>
      <c r="AL25" s="553"/>
      <c r="AM25" s="553"/>
      <c r="AN25" s="553"/>
      <c r="AO25" s="553"/>
      <c r="AP25" s="553"/>
      <c r="AQ25" s="553"/>
      <c r="AR25" s="553"/>
      <c r="AS25" s="553"/>
      <c r="AT25" s="553"/>
      <c r="AU25" s="553"/>
      <c r="AV25" s="553"/>
      <c r="AW25" s="553"/>
      <c r="AX25" s="553"/>
      <c r="AY25" s="553"/>
      <c r="AZ25" s="553"/>
      <c r="BA25" s="553"/>
      <c r="BB25" s="553"/>
      <c r="BC25" s="553"/>
      <c r="BD25" s="553"/>
      <c r="BE25" s="553"/>
      <c r="BF25" s="553"/>
      <c r="BG25" s="553"/>
      <c r="BH25" s="553"/>
      <c r="BI25" s="553"/>
      <c r="BJ25" s="553"/>
      <c r="BK25" s="553"/>
      <c r="BL25" s="553"/>
    </row>
    <row r="26" spans="2:64" s="240" customFormat="1" x14ac:dyDescent="0.2">
      <c r="B26" s="693"/>
      <c r="C26" s="242"/>
      <c r="D26" s="707" t="str">
        <f>+'[85]19-20'!$A$61</f>
        <v>South African Express Airways</v>
      </c>
      <c r="E26" s="294"/>
      <c r="F26" s="694"/>
      <c r="G26" s="88">
        <v>0</v>
      </c>
      <c r="H26" s="88">
        <v>0</v>
      </c>
      <c r="I26" s="89">
        <v>0</v>
      </c>
      <c r="J26" s="89">
        <v>0</v>
      </c>
      <c r="K26" s="89"/>
      <c r="L26" s="89"/>
      <c r="M26" s="89">
        <v>0</v>
      </c>
      <c r="N26" s="89">
        <v>0</v>
      </c>
      <c r="O26" s="89">
        <v>0</v>
      </c>
      <c r="P26" s="89">
        <v>0</v>
      </c>
      <c r="Q26" s="89"/>
      <c r="R26" s="89"/>
      <c r="S26" s="89"/>
      <c r="T26" s="89">
        <f>SUM(H26:S26)</f>
        <v>0</v>
      </c>
      <c r="U26" s="295">
        <v>0</v>
      </c>
      <c r="V26" s="88">
        <v>0</v>
      </c>
      <c r="W26" s="88">
        <v>0</v>
      </c>
      <c r="X26" s="88">
        <v>0</v>
      </c>
      <c r="Y26" s="88">
        <v>0</v>
      </c>
      <c r="Z26" s="88"/>
      <c r="AA26" s="88">
        <f>+'[80]19-20'!$AL$61</f>
        <v>300000</v>
      </c>
      <c r="AB26" s="88">
        <v>0</v>
      </c>
      <c r="AC26" s="88">
        <v>0</v>
      </c>
      <c r="AD26" s="88">
        <v>0</v>
      </c>
      <c r="AE26" s="88">
        <f>+'[83]19-20'!$BF$61</f>
        <v>-300000</v>
      </c>
      <c r="AF26" s="88"/>
      <c r="AG26" s="88"/>
      <c r="AH26" s="695">
        <f t="shared" si="5"/>
        <v>0</v>
      </c>
      <c r="AI26" s="571"/>
      <c r="AJ26" s="553"/>
      <c r="AK26" s="553"/>
      <c r="AL26" s="553"/>
      <c r="AM26" s="553"/>
      <c r="AN26" s="553"/>
      <c r="AO26" s="553"/>
      <c r="AP26" s="553"/>
      <c r="AQ26" s="553"/>
      <c r="AR26" s="553"/>
      <c r="AS26" s="553"/>
      <c r="AT26" s="553"/>
      <c r="AU26" s="553"/>
      <c r="AV26" s="553"/>
      <c r="AW26" s="553"/>
      <c r="AX26" s="553"/>
      <c r="AY26" s="553"/>
      <c r="AZ26" s="553"/>
      <c r="BA26" s="553"/>
      <c r="BB26" s="553"/>
      <c r="BC26" s="553"/>
      <c r="BD26" s="553"/>
      <c r="BE26" s="553"/>
      <c r="BF26" s="553"/>
      <c r="BG26" s="553"/>
      <c r="BH26" s="553"/>
      <c r="BI26" s="553"/>
      <c r="BJ26" s="553"/>
      <c r="BK26" s="553"/>
      <c r="BL26" s="553"/>
    </row>
    <row r="27" spans="2:64" s="240" customFormat="1" x14ac:dyDescent="0.2">
      <c r="B27" s="693"/>
      <c r="C27" s="242"/>
      <c r="D27" s="707" t="str">
        <f>+'[85]19-20'!$A$62</f>
        <v xml:space="preserve">Denel </v>
      </c>
      <c r="E27" s="294"/>
      <c r="F27" s="694"/>
      <c r="G27" s="88">
        <v>0</v>
      </c>
      <c r="H27" s="88">
        <v>0</v>
      </c>
      <c r="I27" s="89">
        <v>0</v>
      </c>
      <c r="J27" s="89">
        <v>0</v>
      </c>
      <c r="K27" s="89"/>
      <c r="L27" s="89"/>
      <c r="M27" s="89">
        <v>0</v>
      </c>
      <c r="N27" s="89">
        <v>0</v>
      </c>
      <c r="O27" s="89">
        <v>0</v>
      </c>
      <c r="P27" s="89">
        <v>0</v>
      </c>
      <c r="Q27" s="89"/>
      <c r="R27" s="89"/>
      <c r="S27" s="89"/>
      <c r="T27" s="89">
        <f>SUM(H27:S27)</f>
        <v>0</v>
      </c>
      <c r="U27" s="295">
        <v>0</v>
      </c>
      <c r="V27" s="88">
        <v>0</v>
      </c>
      <c r="W27" s="88">
        <v>0</v>
      </c>
      <c r="X27" s="88">
        <v>0</v>
      </c>
      <c r="Y27" s="88">
        <v>0</v>
      </c>
      <c r="Z27" s="88">
        <f>+'[80]19-20'!$AG$62</f>
        <v>1800000</v>
      </c>
      <c r="AA27" s="88">
        <v>0</v>
      </c>
      <c r="AB27" s="88">
        <v>0</v>
      </c>
      <c r="AC27" s="88">
        <v>0</v>
      </c>
      <c r="AD27" s="88">
        <v>0</v>
      </c>
      <c r="AE27" s="88">
        <f>+'[83]19-20'!$BF$62</f>
        <v>-1800000</v>
      </c>
      <c r="AF27" s="88"/>
      <c r="AG27" s="88"/>
      <c r="AH27" s="695">
        <f t="shared" si="5"/>
        <v>0</v>
      </c>
      <c r="AI27" s="571"/>
      <c r="AJ27" s="553"/>
      <c r="AK27" s="553"/>
      <c r="AL27" s="553"/>
      <c r="AM27" s="553"/>
      <c r="AN27" s="553"/>
      <c r="AO27" s="553"/>
      <c r="AP27" s="553"/>
      <c r="AQ27" s="553"/>
      <c r="AR27" s="553"/>
      <c r="AS27" s="553"/>
      <c r="AT27" s="553"/>
      <c r="AU27" s="553"/>
      <c r="AV27" s="553"/>
      <c r="AW27" s="553"/>
      <c r="AX27" s="553"/>
      <c r="AY27" s="553"/>
      <c r="AZ27" s="553"/>
      <c r="BA27" s="553"/>
      <c r="BB27" s="553"/>
      <c r="BC27" s="553"/>
      <c r="BD27" s="553"/>
      <c r="BE27" s="553"/>
      <c r="BF27" s="553"/>
      <c r="BG27" s="553"/>
      <c r="BH27" s="553"/>
      <c r="BI27" s="553"/>
      <c r="BJ27" s="553"/>
      <c r="BK27" s="553"/>
      <c r="BL27" s="553"/>
    </row>
    <row r="28" spans="2:64" s="240" customFormat="1" x14ac:dyDescent="0.2">
      <c r="B28" s="693"/>
      <c r="C28" s="242"/>
      <c r="D28" s="707" t="s">
        <v>283</v>
      </c>
      <c r="E28" s="294"/>
      <c r="F28" s="694"/>
      <c r="G28" s="88">
        <v>0</v>
      </c>
      <c r="H28" s="88"/>
      <c r="I28" s="89"/>
      <c r="J28" s="89"/>
      <c r="K28" s="89"/>
      <c r="L28" s="89"/>
      <c r="M28" s="89">
        <v>0</v>
      </c>
      <c r="N28" s="89">
        <v>0</v>
      </c>
      <c r="O28" s="89">
        <v>0</v>
      </c>
      <c r="P28" s="89">
        <v>0</v>
      </c>
      <c r="Q28" s="89"/>
      <c r="R28" s="89"/>
      <c r="S28" s="89"/>
      <c r="T28" s="89">
        <v>0</v>
      </c>
      <c r="U28" s="295">
        <v>0</v>
      </c>
      <c r="V28" s="88"/>
      <c r="W28" s="88"/>
      <c r="X28" s="88"/>
      <c r="Y28" s="88"/>
      <c r="Z28" s="88"/>
      <c r="AA28" s="88">
        <v>0</v>
      </c>
      <c r="AB28" s="88">
        <f>+'[81]19-20'!$AR$63</f>
        <v>2100000</v>
      </c>
      <c r="AC28" s="88">
        <v>0</v>
      </c>
      <c r="AD28" s="88">
        <v>0</v>
      </c>
      <c r="AE28" s="88">
        <f>+'[83]19-20'!$BF$63</f>
        <v>-2100000</v>
      </c>
      <c r="AF28" s="88"/>
      <c r="AG28" s="88"/>
      <c r="AH28" s="695">
        <f t="shared" si="5"/>
        <v>0</v>
      </c>
      <c r="AI28" s="571"/>
      <c r="AJ28" s="553"/>
      <c r="AK28" s="553"/>
      <c r="AL28" s="553"/>
      <c r="AM28" s="553"/>
      <c r="AN28" s="553"/>
      <c r="AO28" s="553"/>
      <c r="AP28" s="553"/>
      <c r="AQ28" s="553"/>
      <c r="AR28" s="553"/>
      <c r="AS28" s="553"/>
      <c r="AT28" s="553"/>
      <c r="AU28" s="553"/>
      <c r="AV28" s="553"/>
      <c r="AW28" s="553"/>
      <c r="AX28" s="553"/>
      <c r="AY28" s="553"/>
      <c r="AZ28" s="553"/>
      <c r="BA28" s="553"/>
      <c r="BB28" s="553"/>
      <c r="BC28" s="553"/>
      <c r="BD28" s="553"/>
      <c r="BE28" s="553"/>
      <c r="BF28" s="553"/>
      <c r="BG28" s="553"/>
      <c r="BH28" s="553"/>
      <c r="BI28" s="553"/>
      <c r="BJ28" s="553"/>
      <c r="BK28" s="553"/>
      <c r="BL28" s="553"/>
    </row>
    <row r="29" spans="2:64" s="240" customFormat="1" x14ac:dyDescent="0.2">
      <c r="B29" s="693"/>
      <c r="C29" s="242"/>
      <c r="D29" s="294" t="s">
        <v>625</v>
      </c>
      <c r="E29" s="294"/>
      <c r="F29" s="673"/>
      <c r="G29" s="88">
        <f>+'[64]20-21'!$I$66</f>
        <v>10174611</v>
      </c>
      <c r="H29" s="88">
        <f>+'[65]20-21'!$N$60</f>
        <v>1745798</v>
      </c>
      <c r="I29" s="89">
        <f>+'[66]20-21'!$S$60</f>
        <v>1447692</v>
      </c>
      <c r="J29" s="89">
        <f>+'[67]20-21'!$X$60</f>
        <v>1118322</v>
      </c>
      <c r="K29" s="89">
        <f>+'[68]20-21'!$AC$60</f>
        <v>54518</v>
      </c>
      <c r="L29" s="89">
        <f>+'[69]20-21'!$AH$60</f>
        <v>92107</v>
      </c>
      <c r="M29" s="89">
        <f>+'[70]20-21'!$AM$66</f>
        <v>75474</v>
      </c>
      <c r="N29" s="89">
        <f>+'[71]20-21'!$AR$66</f>
        <v>169312</v>
      </c>
      <c r="O29" s="89">
        <f>+'[72]20-21'!$AW$66</f>
        <v>1460680</v>
      </c>
      <c r="P29" s="89">
        <f>+'[64]20-21'!$BB$66</f>
        <v>1486244</v>
      </c>
      <c r="Q29" s="89">
        <f>+'[73]20-21'!$BG$66</f>
        <v>1665558</v>
      </c>
      <c r="R29" s="89"/>
      <c r="S29" s="89"/>
      <c r="T29" s="89">
        <f>SUM(H29:S29)</f>
        <v>9315705</v>
      </c>
      <c r="U29" s="295">
        <f>+'[74]19-20'!$I$64</f>
        <v>18283844</v>
      </c>
      <c r="V29" s="88">
        <f>+'[75]19-20'!$N$64</f>
        <v>1549593</v>
      </c>
      <c r="W29" s="88">
        <f>+'[76]19-20'!$S$64</f>
        <v>1486615</v>
      </c>
      <c r="X29" s="88">
        <f>+'[77]19-20'!$X$64</f>
        <v>1412283</v>
      </c>
      <c r="Y29" s="88">
        <f>+'[78]19-20'!$AC$64</f>
        <v>1388691</v>
      </c>
      <c r="Z29" s="88">
        <f>+'[79]19-20'!$AH$64</f>
        <v>1443945</v>
      </c>
      <c r="AA29" s="88">
        <f>+'[80]19-20'!$AM$64</f>
        <v>1524417</v>
      </c>
      <c r="AB29" s="88">
        <f>+'[81]19-20'!$AR$64</f>
        <v>1497621</v>
      </c>
      <c r="AC29" s="88">
        <f>+'[74]19-20'!$AW$64</f>
        <v>1535042</v>
      </c>
      <c r="AD29" s="88">
        <f>+'[82]19-20'!$BB$64</f>
        <v>1484863</v>
      </c>
      <c r="AE29" s="88">
        <f>+'[83]19-20'!$BG$64</f>
        <v>1682694</v>
      </c>
      <c r="AF29" s="88"/>
      <c r="AG29" s="88"/>
      <c r="AH29" s="695">
        <f t="shared" si="5"/>
        <v>15005764</v>
      </c>
      <c r="AI29" s="571"/>
      <c r="AJ29" s="553"/>
      <c r="AK29" s="553"/>
      <c r="AL29" s="553"/>
      <c r="AM29" s="553"/>
      <c r="AN29" s="553"/>
      <c r="AO29" s="553"/>
      <c r="AP29" s="553"/>
      <c r="AQ29" s="553"/>
      <c r="AR29" s="553"/>
      <c r="AS29" s="553"/>
      <c r="AT29" s="553"/>
      <c r="AU29" s="553"/>
      <c r="AV29" s="553"/>
      <c r="AW29" s="553"/>
      <c r="AX29" s="553"/>
      <c r="AY29" s="553"/>
      <c r="AZ29" s="553"/>
      <c r="BA29" s="553"/>
      <c r="BB29" s="553"/>
      <c r="BC29" s="553"/>
      <c r="BD29" s="553"/>
      <c r="BE29" s="553"/>
      <c r="BF29" s="553"/>
      <c r="BG29" s="553"/>
      <c r="BH29" s="553"/>
      <c r="BI29" s="553"/>
      <c r="BJ29" s="553"/>
      <c r="BK29" s="553"/>
      <c r="BL29" s="553"/>
    </row>
    <row r="30" spans="2:64" s="240" customFormat="1" x14ac:dyDescent="0.2">
      <c r="B30" s="693"/>
      <c r="C30" s="242"/>
      <c r="D30" s="294" t="s">
        <v>527</v>
      </c>
      <c r="E30" s="294"/>
      <c r="F30" s="673"/>
      <c r="G30" s="88">
        <f>+'[64]20-21'!$I$51+'[64]20-21'!$I$52+'[64]20-21'!$I$58+'[64]20-21'!$I$59+'[64]20-21'!$I$67+'[64]20-21'!$I$68+'[64]20-21'!$I$69</f>
        <v>4353192</v>
      </c>
      <c r="H30" s="88">
        <f>+'[65]20-21'!$N$51+'[65]20-21'!$N$52+'[65]20-21'!$N$58+'[65]20-21'!$N$59+'[65]20-21'!$N$61+'[65]20-21'!$N$62+'[65]20-21'!$N$63</f>
        <v>312012</v>
      </c>
      <c r="I30" s="89">
        <f>+'[66]20-21'!$S$51+'[66]20-21'!$S$52+'[66]20-21'!$S$58+'[66]20-21'!$S$59+'[66]20-21'!$S$61+'[66]20-21'!$S$62+'[66]20-21'!$S$63</f>
        <v>412871</v>
      </c>
      <c r="J30" s="89">
        <f>+'[67]20-21'!$X$51+'[67]20-21'!$X$52+'[67]20-21'!$X$58+'[67]20-21'!$X$59+'[67]20-21'!$X$61+'[67]20-21'!$X$62+'[67]20-21'!$X$63</f>
        <v>359717</v>
      </c>
      <c r="K30" s="89">
        <f>+'[68]20-21'!$AC$51+'[68]20-21'!$AC$52+'[68]20-21'!$AC$57+'[68]20-21'!$AC$58+'[68]20-21'!$AC$61+'[68]20-21'!$AC$62+'[68]20-21'!$AC$63+'[68]20-21'!$AC$59</f>
        <v>299667</v>
      </c>
      <c r="L30" s="89">
        <f>+'[69]20-21'!$AH$51+'[69]20-21'!$AH$52+'[69]20-21'!$AH$58+'[69]20-21'!$AH$59+'[69]20-21'!$AH$61+'[69]20-21'!$AH$62+'[69]20-21'!$AH$63</f>
        <v>315189</v>
      </c>
      <c r="M30" s="89">
        <f>+'[70]20-21'!$AM$51+'[70]20-21'!$AM$52+'[70]20-21'!$AM$58+'[70]20-21'!$AM$59+'[70]20-21'!$AM$67+'[70]20-21'!$AM$68</f>
        <v>405863</v>
      </c>
      <c r="N30" s="89">
        <f>+'[86]20-21'!$AR$51+'[86]20-21'!$AR$52+'[86]20-21'!$AR$58+'[86]20-21'!$AR$67+'[86]20-21'!$AR$68</f>
        <v>301581</v>
      </c>
      <c r="O30" s="89">
        <f>+'[72]20-21'!$AW$51+'[72]20-21'!$AW$52+'[72]20-21'!$AW$67+'[72]20-21'!$AW$68+'[72]20-21'!$AW$69</f>
        <v>308149</v>
      </c>
      <c r="P30" s="89">
        <f>+'[64]20-21'!$BB$51+'[64]20-21'!$BB$52+'[64]20-21'!$BB$67+'[64]20-21'!$BB$68+'[64]20-21'!$BB$58</f>
        <v>309346</v>
      </c>
      <c r="Q30" s="89">
        <f>+'[73]20-21'!$BG$51+'[73]20-21'!$BG$52+'[73]20-21'!$BG$67+'[73]20-21'!$BG$68+'[73]20-21'!$BG$69+'[73]20-21'!$BG$58</f>
        <v>295451</v>
      </c>
      <c r="R30" s="89"/>
      <c r="S30" s="89"/>
      <c r="T30" s="89">
        <f>SUM(H30:S30)</f>
        <v>3319846</v>
      </c>
      <c r="U30" s="295">
        <f>+'[74]19-20'!$I$50+'[74]19-20'!$I$51+'[74]19-20'!$I$57+'[74]19-20'!$I$65+'[74]19-20'!$I$66+'[74]19-20'!$I$67</f>
        <v>4229199</v>
      </c>
      <c r="V30" s="88">
        <f>+'[75]19-20'!$N$50+'[75]19-20'!$N$51+'[75]19-20'!$N$57+'[75]19-20'!$N$65+'[75]19-20'!$N$66+'[75]19-20'!$N$67</f>
        <v>426762</v>
      </c>
      <c r="W30" s="88">
        <f>+'[76]19-20'!$S$50+'[76]19-20'!$S$51+'[76]19-20'!$S$57+'[76]19-20'!$S$65+'[76]19-20'!$S$66</f>
        <v>384431</v>
      </c>
      <c r="X30" s="88">
        <f>+'[77]19-20'!$X$50+'[77]19-20'!$X$51+'[77]19-20'!$X$57+'[77]19-20'!$X$58+'[77]19-20'!$X$65+'[77]19-20'!$X$66+'[77]19-20'!$X$67</f>
        <v>326193</v>
      </c>
      <c r="Y30" s="88">
        <f>+'[78]19-20'!$AC$50+'[78]19-20'!$AC$51+'[78]19-20'!$AC$65+'[78]19-20'!$AC$66+'[78]19-20'!$AC$67+'[78]19-20'!$AC$57</f>
        <v>483322</v>
      </c>
      <c r="Z30" s="88">
        <f>+'[79]19-20'!$AH$50+'[79]19-20'!$AH$51+'[79]19-20'!$AH$57+'[79]19-20'!$AH$65+'[79]19-20'!$AH$66+'[79]19-20'!$AH$67</f>
        <v>364966</v>
      </c>
      <c r="AA30" s="88">
        <f>+'[80]19-20'!$AM$50+'[80]19-20'!$AM$51+'[80]19-20'!$AM$57+'[80]19-20'!$AM$65+'[80]19-20'!$AM$66+'[80]19-20'!$AM$67</f>
        <v>314061</v>
      </c>
      <c r="AB30" s="88">
        <f>+'[81]19-20'!$AR$50+'[81]19-20'!$AR$51+'[81]19-20'!$AR$57+'[81]19-20'!$AR$65+'[81]19-20'!$AR$66</f>
        <v>295968</v>
      </c>
      <c r="AC30" s="88">
        <f>+'[74]19-20'!$AW$50+'[74]19-20'!$AW$51+'[74]19-20'!$AW$57+'[74]19-20'!$AW$65+'[74]19-20'!$AW$66+'[74]19-20'!$AW$67</f>
        <v>300435</v>
      </c>
      <c r="AD30" s="88">
        <f>+'[82]19-20'!$BB$50+'[82]19-20'!$BB$51+'[82]19-20'!$BB$65+'[82]19-20'!$BB$66+'[82]19-20'!$BB$57</f>
        <v>406225</v>
      </c>
      <c r="AE30" s="88">
        <f>+'[83]19-20'!$BG$50+'[83]19-20'!$BG$51+'[83]19-20'!$BG$57+'[83]19-20'!$BG$65+'[83]19-20'!$BG$66+'[83]19-20'!$BG$67</f>
        <v>247118</v>
      </c>
      <c r="AF30" s="88"/>
      <c r="AG30" s="88"/>
      <c r="AH30" s="695">
        <f t="shared" si="5"/>
        <v>3549481</v>
      </c>
      <c r="AI30" s="571"/>
      <c r="AJ30" s="553"/>
      <c r="AK30" s="553"/>
      <c r="AL30" s="553"/>
      <c r="AM30" s="553"/>
      <c r="AN30" s="553"/>
      <c r="AO30" s="553"/>
      <c r="AP30" s="553"/>
      <c r="AQ30" s="553"/>
      <c r="AR30" s="553"/>
      <c r="AS30" s="553"/>
      <c r="AT30" s="553"/>
      <c r="AU30" s="553"/>
      <c r="AV30" s="553"/>
      <c r="AW30" s="553"/>
      <c r="AX30" s="553"/>
      <c r="AY30" s="553"/>
      <c r="AZ30" s="553"/>
      <c r="BA30" s="553"/>
      <c r="BB30" s="553"/>
      <c r="BC30" s="553"/>
      <c r="BD30" s="553"/>
      <c r="BE30" s="553"/>
      <c r="BF30" s="553"/>
      <c r="BG30" s="553"/>
      <c r="BH30" s="553"/>
      <c r="BI30" s="553"/>
      <c r="BJ30" s="553"/>
      <c r="BK30" s="553"/>
      <c r="BL30" s="553"/>
    </row>
    <row r="31" spans="2:64" s="242" customFormat="1" x14ac:dyDescent="0.2">
      <c r="B31" s="693"/>
      <c r="C31" s="708"/>
      <c r="F31" s="673"/>
      <c r="G31" s="76"/>
      <c r="H31" s="76"/>
      <c r="I31" s="77"/>
      <c r="J31" s="77"/>
      <c r="K31" s="77"/>
      <c r="L31" s="77"/>
      <c r="M31" s="77"/>
      <c r="N31" s="77"/>
      <c r="O31" s="77"/>
      <c r="P31" s="60"/>
      <c r="Q31" s="60"/>
      <c r="R31" s="60"/>
      <c r="S31" s="60"/>
      <c r="T31" s="77"/>
      <c r="U31" s="78"/>
      <c r="V31" s="76"/>
      <c r="W31" s="76"/>
      <c r="X31" s="76"/>
      <c r="Y31" s="76"/>
      <c r="Z31" s="76"/>
      <c r="AA31" s="76"/>
      <c r="AB31" s="76"/>
      <c r="AC31" s="76"/>
      <c r="AD31" s="76"/>
      <c r="AE31" s="76"/>
      <c r="AF31" s="76"/>
      <c r="AG31" s="76"/>
      <c r="AH31" s="118"/>
      <c r="AI31" s="582"/>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row>
    <row r="32" spans="2:64" s="242" customFormat="1" x14ac:dyDescent="0.2">
      <c r="B32" s="693"/>
      <c r="C32" s="708" t="s">
        <v>251</v>
      </c>
      <c r="F32" s="673"/>
      <c r="G32" s="76">
        <f>+'[71]20-21'!$I$73</f>
        <v>-2108558</v>
      </c>
      <c r="H32" s="76">
        <v>0</v>
      </c>
      <c r="I32" s="77">
        <v>0</v>
      </c>
      <c r="J32" s="77">
        <v>0</v>
      </c>
      <c r="K32" s="77">
        <v>0</v>
      </c>
      <c r="L32" s="77">
        <v>0</v>
      </c>
      <c r="M32" s="77">
        <v>0</v>
      </c>
      <c r="N32" s="77">
        <v>0</v>
      </c>
      <c r="O32" s="77">
        <v>0</v>
      </c>
      <c r="P32" s="60">
        <v>0</v>
      </c>
      <c r="Q32" s="60">
        <v>0</v>
      </c>
      <c r="R32" s="60"/>
      <c r="S32" s="60"/>
      <c r="T32" s="77">
        <v>0</v>
      </c>
      <c r="U32" s="76">
        <v>0</v>
      </c>
      <c r="V32" s="76">
        <v>0</v>
      </c>
      <c r="W32" s="77">
        <v>0</v>
      </c>
      <c r="X32" s="77">
        <v>0</v>
      </c>
      <c r="Y32" s="77">
        <v>0</v>
      </c>
      <c r="Z32" s="77">
        <v>0</v>
      </c>
      <c r="AA32" s="77">
        <v>0</v>
      </c>
      <c r="AB32" s="77">
        <v>0</v>
      </c>
      <c r="AC32" s="77">
        <v>0</v>
      </c>
      <c r="AD32" s="76">
        <v>0</v>
      </c>
      <c r="AE32" s="76">
        <v>0</v>
      </c>
      <c r="AF32" s="76"/>
      <c r="AG32" s="76"/>
      <c r="AH32" s="118">
        <v>0</v>
      </c>
      <c r="AI32" s="582"/>
      <c r="AJ32" s="248"/>
      <c r="AK32" s="248"/>
      <c r="AL32" s="248"/>
      <c r="AM32" s="248"/>
      <c r="AN32" s="248"/>
      <c r="AO32" s="248"/>
      <c r="AP32" s="248"/>
      <c r="AQ32" s="248"/>
      <c r="AR32" s="248"/>
      <c r="AS32" s="248"/>
      <c r="AT32" s="248"/>
      <c r="AU32" s="248"/>
      <c r="AV32" s="248"/>
      <c r="AW32" s="248"/>
      <c r="AX32" s="248"/>
      <c r="AY32" s="248"/>
      <c r="AZ32" s="248"/>
      <c r="BA32" s="248"/>
      <c r="BB32" s="248"/>
      <c r="BC32" s="248"/>
      <c r="BD32" s="248"/>
      <c r="BE32" s="248"/>
      <c r="BF32" s="248"/>
      <c r="BG32" s="248"/>
      <c r="BH32" s="248"/>
      <c r="BI32" s="248"/>
      <c r="BJ32" s="248"/>
      <c r="BK32" s="248"/>
      <c r="BL32" s="248"/>
    </row>
    <row r="33" spans="2:66" s="242" customFormat="1" x14ac:dyDescent="0.2">
      <c r="B33" s="693"/>
      <c r="C33" s="708"/>
      <c r="F33" s="673"/>
      <c r="G33" s="76"/>
      <c r="H33" s="76"/>
      <c r="I33" s="60"/>
      <c r="J33" s="60"/>
      <c r="K33" s="77"/>
      <c r="L33" s="77"/>
      <c r="M33" s="60"/>
      <c r="N33" s="77"/>
      <c r="O33" s="60"/>
      <c r="P33" s="60"/>
      <c r="Q33" s="60"/>
      <c r="R33" s="60"/>
      <c r="S33" s="60"/>
      <c r="T33" s="77"/>
      <c r="U33" s="78"/>
      <c r="V33" s="76"/>
      <c r="W33" s="70"/>
      <c r="X33" s="70"/>
      <c r="Y33" s="70"/>
      <c r="Z33" s="70"/>
      <c r="AA33" s="70"/>
      <c r="AB33" s="70"/>
      <c r="AC33" s="70"/>
      <c r="AD33" s="70"/>
      <c r="AE33" s="70"/>
      <c r="AF33" s="70"/>
      <c r="AG33" s="70"/>
      <c r="AH33" s="71"/>
      <c r="AI33" s="582"/>
      <c r="AJ33" s="248"/>
      <c r="AK33" s="248"/>
      <c r="AL33" s="248"/>
      <c r="AM33" s="248"/>
      <c r="AN33" s="248"/>
      <c r="AO33" s="248"/>
      <c r="AP33" s="248"/>
      <c r="AQ33" s="248"/>
      <c r="AR33" s="248"/>
      <c r="AS33" s="248"/>
      <c r="AT33" s="248"/>
      <c r="AU33" s="248"/>
      <c r="AV33" s="248"/>
      <c r="AW33" s="248"/>
      <c r="AX33" s="248"/>
      <c r="AY33" s="248"/>
      <c r="AZ33" s="248"/>
      <c r="BA33" s="248"/>
      <c r="BB33" s="248"/>
      <c r="BC33" s="248"/>
      <c r="BD33" s="248"/>
      <c r="BE33" s="248"/>
      <c r="BF33" s="248"/>
      <c r="BG33" s="248"/>
      <c r="BH33" s="248"/>
      <c r="BI33" s="248"/>
      <c r="BJ33" s="248"/>
      <c r="BK33" s="248"/>
      <c r="BL33" s="248"/>
    </row>
    <row r="34" spans="2:66" s="240" customFormat="1" x14ac:dyDescent="0.2">
      <c r="B34" s="230" t="s">
        <v>528</v>
      </c>
      <c r="C34" s="242"/>
      <c r="D34" s="242"/>
      <c r="E34" s="242"/>
      <c r="F34" s="673"/>
      <c r="G34" s="709">
        <f t="shared" ref="G34:S34" si="6">+G9-G11</f>
        <v>-707826711.66846108</v>
      </c>
      <c r="H34" s="709">
        <f t="shared" si="6"/>
        <v>-51156457.046230003</v>
      </c>
      <c r="I34" s="709">
        <f t="shared" si="6"/>
        <v>-52369080.107569978</v>
      </c>
      <c r="J34" s="709">
        <f t="shared" si="6"/>
        <v>-22296182.623359978</v>
      </c>
      <c r="K34" s="709">
        <f t="shared" si="6"/>
        <v>-134529648.03983</v>
      </c>
      <c r="L34" s="709">
        <f t="shared" si="6"/>
        <v>-63673793.456500009</v>
      </c>
      <c r="M34" s="709">
        <f t="shared" si="6"/>
        <v>-42866801.970830038</v>
      </c>
      <c r="N34" s="709">
        <f t="shared" si="6"/>
        <v>-49729127.847139999</v>
      </c>
      <c r="O34" s="709">
        <f t="shared" si="6"/>
        <v>-21403285.226410002</v>
      </c>
      <c r="P34" s="709">
        <f t="shared" si="6"/>
        <v>5051318.7694999874</v>
      </c>
      <c r="Q34" s="709">
        <f t="shared" si="6"/>
        <v>-76235278.776310012</v>
      </c>
      <c r="R34" s="709">
        <f t="shared" si="6"/>
        <v>0</v>
      </c>
      <c r="S34" s="709">
        <f t="shared" si="6"/>
        <v>0</v>
      </c>
      <c r="T34" s="710">
        <f>+T9-T11+1</f>
        <v>-509208336.32468009</v>
      </c>
      <c r="U34" s="710">
        <f t="shared" ref="U34:AH34" si="7">+U9-U11</f>
        <v>-345253039.25291967</v>
      </c>
      <c r="V34" s="709">
        <f t="shared" si="7"/>
        <v>-63530124.914269969</v>
      </c>
      <c r="W34" s="709">
        <f t="shared" si="7"/>
        <v>-17540392.930979982</v>
      </c>
      <c r="X34" s="709">
        <f t="shared" si="7"/>
        <v>23606007.997280002</v>
      </c>
      <c r="Y34" s="709">
        <f t="shared" si="7"/>
        <v>-99103979.470700011</v>
      </c>
      <c r="Z34" s="709">
        <f t="shared" si="7"/>
        <v>-32839807.354750007</v>
      </c>
      <c r="AA34" s="709">
        <f t="shared" si="7"/>
        <v>-649646.72567999363</v>
      </c>
      <c r="AB34" s="709">
        <f t="shared" si="7"/>
        <v>-42343200.265070021</v>
      </c>
      <c r="AC34" s="709">
        <f t="shared" si="7"/>
        <v>-15141181.965899989</v>
      </c>
      <c r="AD34" s="709">
        <f t="shared" si="7"/>
        <v>-2169109.574939996</v>
      </c>
      <c r="AE34" s="709">
        <f>+AE9-AE11</f>
        <v>-47546404.333759978</v>
      </c>
      <c r="AF34" s="709">
        <f t="shared" si="7"/>
        <v>0</v>
      </c>
      <c r="AG34" s="709">
        <f t="shared" si="7"/>
        <v>0</v>
      </c>
      <c r="AH34" s="711">
        <f t="shared" si="7"/>
        <v>-297257841.53876996</v>
      </c>
      <c r="AI34" s="571"/>
      <c r="AJ34" s="49"/>
      <c r="AK34" s="248"/>
      <c r="AL34" s="248"/>
      <c r="AM34" s="248"/>
      <c r="AN34" s="248"/>
      <c r="AO34" s="248"/>
      <c r="AP34" s="248"/>
      <c r="AQ34" s="248"/>
      <c r="AR34" s="248"/>
      <c r="AS34" s="248"/>
      <c r="AT34" s="248"/>
      <c r="AU34" s="248"/>
      <c r="AV34" s="248"/>
      <c r="AW34" s="248"/>
      <c r="AX34" s="248"/>
      <c r="AY34" s="248"/>
      <c r="AZ34" s="248"/>
      <c r="BA34" s="248"/>
      <c r="BB34" s="248"/>
      <c r="BC34" s="248"/>
      <c r="BD34" s="248"/>
      <c r="BE34" s="248"/>
      <c r="BF34" s="248"/>
      <c r="BG34" s="248"/>
      <c r="BH34" s="248"/>
      <c r="BI34" s="248"/>
      <c r="BJ34" s="248"/>
      <c r="BK34" s="248"/>
      <c r="BL34" s="248"/>
      <c r="BM34" s="553"/>
      <c r="BN34" s="553"/>
    </row>
    <row r="35" spans="2:66" s="240" customFormat="1" x14ac:dyDescent="0.2">
      <c r="B35" s="223"/>
      <c r="F35" s="673"/>
      <c r="G35" s="712"/>
      <c r="H35" s="712"/>
      <c r="I35" s="713"/>
      <c r="J35" s="713"/>
      <c r="K35" s="713"/>
      <c r="L35" s="713"/>
      <c r="M35" s="713"/>
      <c r="N35" s="713"/>
      <c r="O35" s="713"/>
      <c r="P35" s="713"/>
      <c r="Q35" s="713"/>
      <c r="R35" s="713"/>
      <c r="S35" s="713"/>
      <c r="T35" s="713"/>
      <c r="U35" s="714"/>
      <c r="V35" s="712"/>
      <c r="W35" s="712"/>
      <c r="X35" s="712"/>
      <c r="Y35" s="712"/>
      <c r="Z35" s="712"/>
      <c r="AA35" s="712"/>
      <c r="AB35" s="712"/>
      <c r="AC35" s="712"/>
      <c r="AD35" s="712"/>
      <c r="AE35" s="712"/>
      <c r="AF35" s="712"/>
      <c r="AG35" s="712"/>
      <c r="AH35" s="715"/>
      <c r="AI35" s="571"/>
      <c r="AJ35" s="553"/>
      <c r="AK35" s="553"/>
      <c r="AL35" s="553"/>
      <c r="AM35" s="553"/>
      <c r="AN35" s="553"/>
      <c r="AO35" s="553"/>
      <c r="AP35" s="553"/>
      <c r="AQ35" s="553"/>
      <c r="AR35" s="553"/>
      <c r="AS35" s="553"/>
      <c r="AT35" s="553"/>
      <c r="AU35" s="553"/>
      <c r="AV35" s="553"/>
      <c r="AW35" s="553"/>
      <c r="AX35" s="553"/>
      <c r="AY35" s="553"/>
      <c r="AZ35" s="553"/>
      <c r="BA35" s="553"/>
      <c r="BB35" s="553"/>
      <c r="BC35" s="553"/>
      <c r="BD35" s="553"/>
      <c r="BE35" s="553"/>
      <c r="BF35" s="553"/>
      <c r="BG35" s="553"/>
      <c r="BH35" s="553"/>
      <c r="BI35" s="553"/>
      <c r="BJ35" s="553"/>
      <c r="BK35" s="553"/>
      <c r="BL35" s="553"/>
    </row>
    <row r="36" spans="2:66" s="240" customFormat="1" x14ac:dyDescent="0.2">
      <c r="B36" s="230"/>
      <c r="C36" s="242"/>
      <c r="F36" s="694"/>
      <c r="G36" s="716"/>
      <c r="H36" s="716"/>
      <c r="I36" s="717"/>
      <c r="J36" s="717"/>
      <c r="K36" s="717"/>
      <c r="L36" s="717"/>
      <c r="M36" s="717"/>
      <c r="N36" s="717"/>
      <c r="O36" s="717"/>
      <c r="P36" s="717"/>
      <c r="Q36" s="717"/>
      <c r="R36" s="717"/>
      <c r="S36" s="717"/>
      <c r="T36" s="717"/>
      <c r="U36" s="718"/>
      <c r="V36" s="716"/>
      <c r="W36" s="716"/>
      <c r="X36" s="716"/>
      <c r="Y36" s="716"/>
      <c r="Z36" s="716"/>
      <c r="AA36" s="716"/>
      <c r="AB36" s="716"/>
      <c r="AC36" s="716"/>
      <c r="AD36" s="716"/>
      <c r="AE36" s="716"/>
      <c r="AF36" s="716"/>
      <c r="AG36" s="716"/>
      <c r="AH36" s="719"/>
      <c r="AI36" s="571"/>
      <c r="AJ36" s="553"/>
      <c r="AK36" s="553"/>
      <c r="AL36" s="553"/>
      <c r="AM36" s="553"/>
      <c r="AN36" s="553"/>
      <c r="AO36" s="553"/>
      <c r="AP36" s="553"/>
      <c r="AQ36" s="553"/>
      <c r="AR36" s="553"/>
      <c r="AS36" s="553"/>
      <c r="AT36" s="553"/>
      <c r="AU36" s="553"/>
      <c r="AV36" s="553"/>
      <c r="AW36" s="553"/>
      <c r="AX36" s="553"/>
      <c r="AY36" s="553"/>
      <c r="AZ36" s="553"/>
      <c r="BA36" s="553"/>
      <c r="BB36" s="553"/>
      <c r="BC36" s="553"/>
      <c r="BD36" s="553"/>
      <c r="BE36" s="553"/>
      <c r="BF36" s="553"/>
      <c r="BG36" s="553"/>
      <c r="BH36" s="553"/>
      <c r="BI36" s="553"/>
      <c r="BJ36" s="553"/>
      <c r="BK36" s="553"/>
      <c r="BL36" s="553"/>
    </row>
    <row r="37" spans="2:66" s="240" customFormat="1" x14ac:dyDescent="0.2">
      <c r="B37" s="230" t="s">
        <v>626</v>
      </c>
      <c r="C37" s="242"/>
      <c r="F37" s="694"/>
      <c r="G37" s="720"/>
      <c r="H37" s="720"/>
      <c r="I37" s="721"/>
      <c r="J37" s="721"/>
      <c r="K37" s="721"/>
      <c r="L37" s="721"/>
      <c r="M37" s="721"/>
      <c r="N37" s="721"/>
      <c r="O37" s="721"/>
      <c r="P37" s="721"/>
      <c r="Q37" s="721"/>
      <c r="R37" s="721"/>
      <c r="S37" s="721"/>
      <c r="T37" s="721"/>
      <c r="U37" s="722"/>
      <c r="V37" s="720"/>
      <c r="W37" s="720"/>
      <c r="X37" s="720"/>
      <c r="Y37" s="720"/>
      <c r="Z37" s="720"/>
      <c r="AA37" s="720"/>
      <c r="AB37" s="720"/>
      <c r="AC37" s="720"/>
      <c r="AD37" s="720"/>
      <c r="AE37" s="720"/>
      <c r="AF37" s="720"/>
      <c r="AG37" s="720"/>
      <c r="AH37" s="723"/>
      <c r="AI37" s="571"/>
      <c r="AJ37" s="553"/>
      <c r="AK37" s="553"/>
      <c r="AL37" s="553"/>
      <c r="AM37" s="553"/>
      <c r="AN37" s="553"/>
      <c r="AO37" s="553"/>
      <c r="AP37" s="553"/>
      <c r="AQ37" s="553"/>
      <c r="AR37" s="553"/>
      <c r="AS37" s="553"/>
      <c r="AT37" s="553"/>
      <c r="AU37" s="553"/>
      <c r="AV37" s="553"/>
      <c r="AW37" s="553"/>
      <c r="AX37" s="553"/>
      <c r="AY37" s="553"/>
      <c r="AZ37" s="553"/>
      <c r="BA37" s="553"/>
      <c r="BB37" s="553"/>
      <c r="BC37" s="553"/>
      <c r="BD37" s="553"/>
      <c r="BE37" s="553"/>
      <c r="BF37" s="553"/>
      <c r="BG37" s="553"/>
      <c r="BH37" s="553"/>
      <c r="BI37" s="553"/>
      <c r="BJ37" s="553"/>
      <c r="BK37" s="553"/>
      <c r="BL37" s="553"/>
    </row>
    <row r="38" spans="2:66" s="240" customFormat="1" x14ac:dyDescent="0.2">
      <c r="B38" s="230"/>
      <c r="C38" s="242"/>
      <c r="F38" s="694"/>
      <c r="G38" s="720"/>
      <c r="H38" s="720"/>
      <c r="I38" s="721"/>
      <c r="J38" s="721"/>
      <c r="K38" s="721"/>
      <c r="L38" s="721"/>
      <c r="M38" s="721"/>
      <c r="N38" s="721"/>
      <c r="O38" s="721"/>
      <c r="P38" s="721"/>
      <c r="Q38" s="721"/>
      <c r="R38" s="721"/>
      <c r="S38" s="721"/>
      <c r="T38" s="721"/>
      <c r="U38" s="722"/>
      <c r="V38" s="720"/>
      <c r="W38" s="720"/>
      <c r="X38" s="720"/>
      <c r="Y38" s="720"/>
      <c r="Z38" s="720"/>
      <c r="AA38" s="720"/>
      <c r="AB38" s="720"/>
      <c r="AC38" s="720"/>
      <c r="AD38" s="720"/>
      <c r="AE38" s="720"/>
      <c r="AF38" s="720"/>
      <c r="AG38" s="720"/>
      <c r="AH38" s="723"/>
      <c r="AI38" s="571"/>
      <c r="AJ38" s="553"/>
      <c r="AK38" s="553"/>
      <c r="AL38" s="553"/>
      <c r="AM38" s="553"/>
      <c r="AN38" s="553"/>
      <c r="AO38" s="553"/>
      <c r="AP38" s="553"/>
      <c r="AQ38" s="553"/>
      <c r="AR38" s="553"/>
      <c r="AS38" s="553"/>
      <c r="AT38" s="553"/>
      <c r="AU38" s="553"/>
      <c r="AV38" s="553"/>
      <c r="AW38" s="553"/>
      <c r="AX38" s="553"/>
      <c r="AY38" s="553"/>
      <c r="AZ38" s="553"/>
      <c r="BA38" s="553"/>
      <c r="BB38" s="553"/>
      <c r="BC38" s="553"/>
      <c r="BD38" s="553"/>
      <c r="BE38" s="553"/>
      <c r="BF38" s="553"/>
      <c r="BG38" s="553"/>
      <c r="BH38" s="553"/>
      <c r="BI38" s="553"/>
      <c r="BJ38" s="553"/>
      <c r="BK38" s="553"/>
      <c r="BL38" s="553"/>
    </row>
    <row r="39" spans="2:66" s="240" customFormat="1" x14ac:dyDescent="0.2">
      <c r="B39" s="230" t="s">
        <v>295</v>
      </c>
      <c r="C39" s="724"/>
      <c r="E39" s="725"/>
      <c r="F39" s="673">
        <v>3</v>
      </c>
      <c r="G39" s="70">
        <f>+[87]summary!$H$13</f>
        <v>143000000</v>
      </c>
      <c r="H39" s="70">
        <f>+[88]summary!$M$13</f>
        <v>37582688</v>
      </c>
      <c r="I39" s="60">
        <f>+[89]summary!$R$13</f>
        <v>16125619</v>
      </c>
      <c r="J39" s="60">
        <f>+[90]summary!$W$13</f>
        <v>11567828</v>
      </c>
      <c r="K39" s="60">
        <f>+[91]summary!$AB$13</f>
        <v>26289577</v>
      </c>
      <c r="L39" s="60">
        <f>+[92]summary!$AG$13</f>
        <v>-5974831</v>
      </c>
      <c r="M39" s="60">
        <f>+[93]summary!$AL$13</f>
        <v>1315362</v>
      </c>
      <c r="N39" s="60">
        <f>+[87]summary!$AQ$13</f>
        <v>31098565</v>
      </c>
      <c r="O39" s="60">
        <f>+[94]summary!$AV$13</f>
        <v>295423</v>
      </c>
      <c r="P39" s="60">
        <f>+[95]summary!$BA$13</f>
        <v>-33015782</v>
      </c>
      <c r="Q39" s="60">
        <f>+[96]summary!$BF$13</f>
        <v>15701292</v>
      </c>
      <c r="R39" s="60"/>
      <c r="S39" s="60"/>
      <c r="T39" s="28">
        <f>SUM(H39:S39)</f>
        <v>100985741</v>
      </c>
      <c r="U39" s="29">
        <f>+[97]summary!$BZ$13</f>
        <v>36077502</v>
      </c>
      <c r="V39" s="27">
        <v>32089095</v>
      </c>
      <c r="W39" s="27">
        <f>+[89]summary!$CJ$13</f>
        <v>12375928</v>
      </c>
      <c r="X39" s="27">
        <f>+[90]summary!$CO$13</f>
        <v>21645154</v>
      </c>
      <c r="Y39" s="27">
        <f>+[91]summary!$CT$13</f>
        <v>4387554</v>
      </c>
      <c r="Z39" s="27">
        <f>+[92]summary!$CY$13</f>
        <v>10613091</v>
      </c>
      <c r="AA39" s="27">
        <f>+[93]summary!$DD$13</f>
        <v>-17323880</v>
      </c>
      <c r="AB39" s="27">
        <f>+[98]summary!$DI$13</f>
        <v>7778423</v>
      </c>
      <c r="AC39" s="27">
        <f>+[97]summary!$DN$13</f>
        <v>6126860</v>
      </c>
      <c r="AD39" s="27">
        <f>+[95]summary!$DS$13</f>
        <v>-16508019</v>
      </c>
      <c r="AE39" s="27">
        <f>+[96]summary!$DX$13</f>
        <v>13250851</v>
      </c>
      <c r="AF39" s="27"/>
      <c r="AG39" s="27"/>
      <c r="AH39" s="692">
        <f>SUM(V39:AG39)</f>
        <v>74435057</v>
      </c>
      <c r="AI39" s="571"/>
      <c r="AJ39" s="553"/>
      <c r="AK39" s="49"/>
      <c r="AL39" s="49"/>
      <c r="AM39" s="49"/>
      <c r="AN39" s="49"/>
      <c r="AO39" s="49"/>
      <c r="AP39" s="49"/>
      <c r="AQ39" s="49"/>
      <c r="AR39" s="49"/>
      <c r="AS39" s="49"/>
      <c r="AT39" s="49"/>
      <c r="AU39" s="49"/>
      <c r="AV39" s="49"/>
      <c r="AW39" s="49"/>
      <c r="AX39" s="553"/>
      <c r="AY39" s="553"/>
      <c r="AZ39" s="553"/>
      <c r="BA39" s="553"/>
      <c r="BB39" s="553"/>
      <c r="BC39" s="553"/>
      <c r="BD39" s="553"/>
      <c r="BE39" s="553"/>
      <c r="BF39" s="553"/>
      <c r="BG39" s="553"/>
      <c r="BH39" s="553"/>
      <c r="BI39" s="553"/>
      <c r="BJ39" s="553"/>
      <c r="BK39" s="553"/>
      <c r="BL39" s="553"/>
    </row>
    <row r="40" spans="2:66" s="240" customFormat="1" x14ac:dyDescent="0.2">
      <c r="B40" s="230"/>
      <c r="C40" s="724"/>
      <c r="F40" s="673"/>
      <c r="G40" s="70"/>
      <c r="H40" s="70"/>
      <c r="I40" s="60"/>
      <c r="J40" s="60"/>
      <c r="K40" s="60"/>
      <c r="L40" s="60"/>
      <c r="M40" s="60"/>
      <c r="N40" s="60"/>
      <c r="O40" s="60"/>
      <c r="P40" s="60"/>
      <c r="Q40" s="60"/>
      <c r="R40" s="60"/>
      <c r="S40" s="60"/>
      <c r="T40" s="60"/>
      <c r="U40" s="61"/>
      <c r="V40" s="70"/>
      <c r="W40" s="70"/>
      <c r="X40" s="70"/>
      <c r="Y40" s="70"/>
      <c r="Z40" s="70"/>
      <c r="AA40" s="70"/>
      <c r="AB40" s="70"/>
      <c r="AC40" s="70"/>
      <c r="AD40" s="70"/>
      <c r="AE40" s="70"/>
      <c r="AF40" s="70"/>
      <c r="AG40" s="70"/>
      <c r="AH40" s="71"/>
      <c r="AI40" s="571"/>
      <c r="AJ40" s="553"/>
      <c r="AK40" s="553"/>
      <c r="AL40" s="553"/>
      <c r="AM40" s="553"/>
      <c r="AN40" s="553"/>
      <c r="AO40" s="553"/>
      <c r="AP40" s="553"/>
      <c r="AQ40" s="553"/>
      <c r="AR40" s="553"/>
      <c r="AS40" s="553"/>
      <c r="AT40" s="553"/>
      <c r="AU40" s="553"/>
      <c r="AV40" s="553"/>
      <c r="AW40" s="553"/>
      <c r="AX40" s="553"/>
      <c r="AY40" s="553"/>
      <c r="AZ40" s="553"/>
      <c r="BA40" s="553"/>
      <c r="BB40" s="553"/>
      <c r="BC40" s="553"/>
      <c r="BD40" s="553"/>
      <c r="BE40" s="553"/>
      <c r="BF40" s="553"/>
      <c r="BG40" s="553"/>
      <c r="BH40" s="553"/>
      <c r="BI40" s="553"/>
      <c r="BJ40" s="553"/>
      <c r="BK40" s="553"/>
      <c r="BL40" s="553"/>
    </row>
    <row r="41" spans="2:66" s="240" customFormat="1" x14ac:dyDescent="0.2">
      <c r="B41" s="230" t="s">
        <v>303</v>
      </c>
      <c r="C41" s="724"/>
      <c r="F41" s="673">
        <v>3</v>
      </c>
      <c r="G41" s="70">
        <f>+[87]summary!$H$23</f>
        <v>410035000</v>
      </c>
      <c r="H41" s="70">
        <f>+[88]summary!$M$23</f>
        <v>32850713</v>
      </c>
      <c r="I41" s="60">
        <f>+[89]summary!$R$23</f>
        <v>40638036.743999995</v>
      </c>
      <c r="J41" s="60">
        <f>+[90]summary!$W$23</f>
        <v>43402900</v>
      </c>
      <c r="K41" s="60">
        <f>+[91]summary!$AB$23</f>
        <v>60600922</v>
      </c>
      <c r="L41" s="60">
        <f>+[92]summary!$AG$23</f>
        <v>37229982</v>
      </c>
      <c r="M41" s="60">
        <f>+[93]summary!$AL$23</f>
        <v>50427153</v>
      </c>
      <c r="N41" s="60">
        <f>+[87]summary!$AQ$23</f>
        <v>50571945</v>
      </c>
      <c r="O41" s="60">
        <f>+[94]summary!$AV$23</f>
        <v>39211461</v>
      </c>
      <c r="P41" s="60">
        <f>+[95]summary!$BA$23</f>
        <v>45711722</v>
      </c>
      <c r="Q41" s="60">
        <f>+[96]summary!$BF$23</f>
        <v>34673258</v>
      </c>
      <c r="R41" s="60"/>
      <c r="S41" s="60"/>
      <c r="T41" s="28">
        <f>SUM(H41:S41)</f>
        <v>435318092.74399996</v>
      </c>
      <c r="U41" s="29">
        <f>+[97]summary!$BZ$23</f>
        <v>286021581</v>
      </c>
      <c r="V41" s="27">
        <v>19134410</v>
      </c>
      <c r="W41" s="27">
        <f>+[89]summary!$CJ$23</f>
        <v>24383035</v>
      </c>
      <c r="X41" s="27">
        <f>+[90]summary!$CO$23</f>
        <v>19205091</v>
      </c>
      <c r="Y41" s="27">
        <f>+[91]summary!$CT$23</f>
        <v>22800224</v>
      </c>
      <c r="Z41" s="27">
        <f>+[92]summary!$CY$23</f>
        <v>28165310</v>
      </c>
      <c r="AA41" s="27">
        <f>+[93]summary!$DD$23</f>
        <v>29107369</v>
      </c>
      <c r="AB41" s="27">
        <f>+[98]summary!$DI$23</f>
        <v>30927020</v>
      </c>
      <c r="AC41" s="27">
        <f>+[97]summary!$DN$23</f>
        <v>30718792</v>
      </c>
      <c r="AD41" s="27">
        <f>+[95]summary!$DS$23</f>
        <v>23853310</v>
      </c>
      <c r="AE41" s="27">
        <f>+[96]summary!$DX$23</f>
        <v>3150815</v>
      </c>
      <c r="AF41" s="27"/>
      <c r="AG41" s="27"/>
      <c r="AH41" s="692">
        <f>SUM(V41:AG41)</f>
        <v>231445376</v>
      </c>
      <c r="AI41" s="571"/>
      <c r="AJ41" s="553"/>
      <c r="AK41" s="49"/>
      <c r="AL41" s="49"/>
      <c r="AM41" s="49"/>
      <c r="AN41" s="49"/>
      <c r="AO41" s="49"/>
      <c r="AP41" s="49"/>
      <c r="AQ41" s="49"/>
      <c r="AR41" s="49"/>
      <c r="AS41" s="49"/>
      <c r="AT41" s="49"/>
      <c r="AU41" s="49"/>
      <c r="AV41" s="49"/>
      <c r="AW41" s="49"/>
      <c r="AX41" s="553"/>
      <c r="AY41" s="553"/>
      <c r="AZ41" s="553"/>
      <c r="BA41" s="553"/>
      <c r="BB41" s="553"/>
      <c r="BC41" s="553"/>
      <c r="BD41" s="553"/>
      <c r="BE41" s="553"/>
      <c r="BF41" s="553"/>
      <c r="BG41" s="553"/>
      <c r="BH41" s="553"/>
      <c r="BI41" s="553"/>
      <c r="BJ41" s="553"/>
      <c r="BK41" s="553"/>
      <c r="BL41" s="553"/>
    </row>
    <row r="42" spans="2:66" s="240" customFormat="1" x14ac:dyDescent="0.2">
      <c r="B42" s="223"/>
      <c r="F42" s="673"/>
      <c r="G42" s="155"/>
      <c r="H42" s="155"/>
      <c r="I42" s="591"/>
      <c r="J42" s="591"/>
      <c r="K42" s="591"/>
      <c r="L42" s="591"/>
      <c r="M42" s="591"/>
      <c r="N42" s="591"/>
      <c r="O42" s="591"/>
      <c r="P42" s="591"/>
      <c r="Q42" s="591"/>
      <c r="R42" s="591"/>
      <c r="S42" s="591"/>
      <c r="T42" s="591"/>
      <c r="U42" s="289"/>
      <c r="V42" s="155"/>
      <c r="W42" s="155"/>
      <c r="X42" s="155"/>
      <c r="Y42" s="155"/>
      <c r="Z42" s="155"/>
      <c r="AA42" s="155"/>
      <c r="AB42" s="155"/>
      <c r="AC42" s="155"/>
      <c r="AD42" s="155"/>
      <c r="AE42" s="155"/>
      <c r="AF42" s="155"/>
      <c r="AG42" s="155"/>
      <c r="AH42" s="691"/>
      <c r="AI42" s="571"/>
      <c r="AJ42" s="553"/>
      <c r="AK42" s="553"/>
      <c r="AL42" s="553"/>
      <c r="AM42" s="553"/>
      <c r="AN42" s="553"/>
      <c r="AO42" s="553"/>
      <c r="AP42" s="553"/>
      <c r="AQ42" s="553"/>
      <c r="AR42" s="553"/>
      <c r="AS42" s="553"/>
      <c r="AT42" s="553"/>
      <c r="AU42" s="553"/>
      <c r="AV42" s="553"/>
      <c r="AW42" s="553"/>
      <c r="AX42" s="553"/>
      <c r="AY42" s="553"/>
      <c r="AZ42" s="553"/>
      <c r="BA42" s="553"/>
      <c r="BB42" s="553"/>
      <c r="BC42" s="553"/>
      <c r="BD42" s="553"/>
      <c r="BE42" s="553"/>
      <c r="BF42" s="553"/>
      <c r="BG42" s="553"/>
      <c r="BH42" s="553"/>
      <c r="BI42" s="553"/>
      <c r="BJ42" s="553"/>
      <c r="BK42" s="553"/>
      <c r="BL42" s="553"/>
    </row>
    <row r="43" spans="2:66" s="240" customFormat="1" x14ac:dyDescent="0.2">
      <c r="B43" s="230" t="s">
        <v>627</v>
      </c>
      <c r="C43" s="724"/>
      <c r="F43" s="673">
        <v>3</v>
      </c>
      <c r="G43" s="27">
        <f>+[87]summary!$H$44</f>
        <v>106956000</v>
      </c>
      <c r="H43" s="27">
        <f>+[88]summary!$M$45</f>
        <v>-777665</v>
      </c>
      <c r="I43" s="28">
        <f>+[89]summary!$R$45</f>
        <v>-4931986</v>
      </c>
      <c r="J43" s="28">
        <f>+[90]summary!$W$44</f>
        <v>-8699700</v>
      </c>
      <c r="K43" s="28">
        <f>+[91]summary!$AB$44</f>
        <v>86911584</v>
      </c>
      <c r="L43" s="28">
        <f>+[92]summary!$AG$44</f>
        <v>0</v>
      </c>
      <c r="M43" s="28">
        <f>+[93]summary!$AL$44</f>
        <v>0</v>
      </c>
      <c r="N43" s="28">
        <f>+[87]summary!$AQ$44</f>
        <v>5008164</v>
      </c>
      <c r="O43" s="28">
        <f>+[94]summary!$AV$44</f>
        <v>-6967</v>
      </c>
      <c r="P43" s="28">
        <f>+[95]summary!$BA$44</f>
        <v>0</v>
      </c>
      <c r="Q43" s="28">
        <f>+[96]summary!$BF$44</f>
        <v>0</v>
      </c>
      <c r="R43" s="28"/>
      <c r="S43" s="28"/>
      <c r="T43" s="28">
        <f>SUM(H43:S43)</f>
        <v>77503430</v>
      </c>
      <c r="U43" s="29">
        <f>+[97]summary!$BZ$44</f>
        <v>24823043</v>
      </c>
      <c r="V43" s="27">
        <v>-628449</v>
      </c>
      <c r="W43" s="27">
        <f>+[89]summary!$CJ$45</f>
        <v>-25247385</v>
      </c>
      <c r="X43" s="27">
        <f>+[90]summary!$CO$44</f>
        <v>0</v>
      </c>
      <c r="Y43" s="27">
        <f>+[91]summary!$CT$44</f>
        <v>0</v>
      </c>
      <c r="Z43" s="27">
        <f>+[92]summary!$CY$44</f>
        <v>0</v>
      </c>
      <c r="AA43" s="27">
        <f>+[93]summary!$DD$44</f>
        <v>76052000</v>
      </c>
      <c r="AB43" s="27">
        <f>+[98]summary!$DI$44</f>
        <v>-654491</v>
      </c>
      <c r="AC43" s="27">
        <f>+[97]summary!$DN$44</f>
        <v>-6365</v>
      </c>
      <c r="AD43" s="27">
        <f>+[95]summary!$DS$44</f>
        <v>0</v>
      </c>
      <c r="AE43" s="27">
        <f>+[96]summary!$DX$44</f>
        <v>0</v>
      </c>
      <c r="AF43" s="27"/>
      <c r="AG43" s="27"/>
      <c r="AH43" s="692">
        <f>SUM(V43:AG43)</f>
        <v>49515310</v>
      </c>
      <c r="AI43" s="726"/>
      <c r="AJ43" s="727"/>
      <c r="AK43" s="49"/>
      <c r="AL43" s="49"/>
      <c r="AM43" s="49"/>
      <c r="AN43" s="49"/>
      <c r="AO43" s="49"/>
      <c r="AP43" s="49"/>
      <c r="AQ43" s="49"/>
      <c r="AR43" s="49"/>
      <c r="AS43" s="49"/>
      <c r="AT43" s="49"/>
      <c r="AU43" s="49"/>
      <c r="AV43" s="49"/>
      <c r="AW43" s="49"/>
      <c r="AX43" s="553"/>
      <c r="AY43" s="553"/>
      <c r="AZ43" s="553"/>
      <c r="BA43" s="553"/>
      <c r="BB43" s="553"/>
      <c r="BC43" s="553"/>
      <c r="BD43" s="553"/>
      <c r="BE43" s="553"/>
      <c r="BF43" s="553"/>
      <c r="BG43" s="553"/>
      <c r="BH43" s="553"/>
      <c r="BI43" s="553"/>
      <c r="BJ43" s="553"/>
      <c r="BK43" s="553"/>
      <c r="BL43" s="553"/>
    </row>
    <row r="44" spans="2:66" s="240" customFormat="1" x14ac:dyDescent="0.2">
      <c r="B44" s="230"/>
      <c r="C44" s="724"/>
      <c r="F44" s="567"/>
      <c r="G44" s="155"/>
      <c r="H44" s="155"/>
      <c r="I44" s="591"/>
      <c r="J44" s="591"/>
      <c r="K44" s="591"/>
      <c r="L44" s="591"/>
      <c r="M44" s="591"/>
      <c r="N44" s="591"/>
      <c r="O44" s="591"/>
      <c r="P44" s="591"/>
      <c r="Q44" s="591"/>
      <c r="R44" s="591"/>
      <c r="S44" s="591"/>
      <c r="T44" s="591"/>
      <c r="U44" s="289"/>
      <c r="V44" s="155"/>
      <c r="W44" s="155"/>
      <c r="X44" s="155"/>
      <c r="Y44" s="155"/>
      <c r="Z44" s="155"/>
      <c r="AA44" s="155"/>
      <c r="AB44" s="155"/>
      <c r="AC44" s="155"/>
      <c r="AD44" s="155"/>
      <c r="AE44" s="155"/>
      <c r="AF44" s="155"/>
      <c r="AG44" s="155"/>
      <c r="AH44" s="691"/>
      <c r="AI44" s="726"/>
      <c r="AJ44" s="727"/>
      <c r="AK44" s="553"/>
      <c r="AL44" s="553"/>
      <c r="AM44" s="553"/>
      <c r="AN44" s="553"/>
      <c r="AO44" s="553"/>
      <c r="AP44" s="553"/>
      <c r="AQ44" s="553"/>
      <c r="AR44" s="553"/>
      <c r="AS44" s="553"/>
      <c r="AT44" s="553"/>
      <c r="AU44" s="553"/>
      <c r="AV44" s="553"/>
      <c r="AW44" s="553"/>
      <c r="AX44" s="553"/>
      <c r="AY44" s="553"/>
      <c r="AZ44" s="553"/>
      <c r="BA44" s="553"/>
      <c r="BB44" s="553"/>
      <c r="BC44" s="553"/>
      <c r="BD44" s="553"/>
      <c r="BE44" s="553"/>
      <c r="BF44" s="553"/>
      <c r="BG44" s="553"/>
      <c r="BH44" s="553"/>
      <c r="BI44" s="553"/>
      <c r="BJ44" s="553"/>
      <c r="BK44" s="553"/>
      <c r="BL44" s="553"/>
    </row>
    <row r="45" spans="2:66" s="240" customFormat="1" x14ac:dyDescent="0.2">
      <c r="B45" s="230" t="s">
        <v>628</v>
      </c>
      <c r="C45" s="724"/>
      <c r="F45" s="673">
        <v>3</v>
      </c>
      <c r="G45" s="27">
        <f>+[87]summary!$H$67</f>
        <v>47835711.668461092</v>
      </c>
      <c r="H45" s="27">
        <f>+[88]summary!$M$68</f>
        <v>-18499278.953769997</v>
      </c>
      <c r="I45" s="28">
        <f>+[89]summary!$R$67</f>
        <v>537410.36356998235</v>
      </c>
      <c r="J45" s="28">
        <f>+[90]summary!$W$67</f>
        <v>-23974845.376640022</v>
      </c>
      <c r="K45" s="28">
        <f>+[91]summary!$AB$67</f>
        <v>-39272434.960170001</v>
      </c>
      <c r="L45" s="28">
        <f>+[92]summary!$AG$67</f>
        <v>32418642.456500009</v>
      </c>
      <c r="M45" s="28">
        <f>+[93]summary!$AL$67</f>
        <v>-8875713.0291699618</v>
      </c>
      <c r="N45" s="28">
        <f>+[87]summary!$AQ$67</f>
        <v>-36949546.152860001</v>
      </c>
      <c r="O45" s="28">
        <f>+[94]summary!$AV$67</f>
        <v>-18096631.773589998</v>
      </c>
      <c r="P45" s="28">
        <f>+[95]summary!$BA$67</f>
        <v>-17747258.769499987</v>
      </c>
      <c r="Q45" s="28">
        <f>+[96]summary!$BF$67</f>
        <v>25860728.776310012</v>
      </c>
      <c r="R45" s="28"/>
      <c r="S45" s="28"/>
      <c r="T45" s="28">
        <f>SUM(H45:S45)+1</f>
        <v>-104598926.41931996</v>
      </c>
      <c r="U45" s="29">
        <f>+[94]summary!$BZ$67</f>
        <v>-1669085.7470803251</v>
      </c>
      <c r="V45" s="27">
        <v>12935069</v>
      </c>
      <c r="W45" s="27">
        <f>+[89]summary!$CJ$67</f>
        <v>6028814.930979982</v>
      </c>
      <c r="X45" s="27">
        <f>+[90]summary!$CO$67</f>
        <v>-64456252.997280002</v>
      </c>
      <c r="Y45" s="27">
        <f>+[91]summary!$CT$67</f>
        <v>71916201.470700011</v>
      </c>
      <c r="Z45" s="27">
        <f>+[92]summary!$CY$67</f>
        <v>-5938593.6452499926</v>
      </c>
      <c r="AA45" s="27">
        <f>+[93]summary!$DD$67</f>
        <v>-87185842.274320006</v>
      </c>
      <c r="AB45" s="27">
        <f>+[98]summary!$DI$67</f>
        <v>4292248.2650700212</v>
      </c>
      <c r="AC45" s="27">
        <f>+[97]summary!$DN$67</f>
        <v>-21698105.034100011</v>
      </c>
      <c r="AD45" s="27">
        <f>+[95]summary!$DS$67</f>
        <v>-5176181.425060004</v>
      </c>
      <c r="AE45" s="27">
        <f>+[96]summary!$DX$67</f>
        <v>31144738.333759978</v>
      </c>
      <c r="AF45" s="27"/>
      <c r="AG45" s="27"/>
      <c r="AH45" s="692">
        <f>SUM(V45:AG45)+1</f>
        <v>-58137902.375500023</v>
      </c>
      <c r="AI45" s="726"/>
      <c r="AJ45" s="727"/>
      <c r="AK45" s="49"/>
      <c r="AL45" s="49"/>
      <c r="AM45" s="49"/>
      <c r="AN45" s="49"/>
      <c r="AO45" s="49"/>
      <c r="AP45" s="49"/>
      <c r="AQ45" s="49"/>
      <c r="AR45" s="49"/>
      <c r="AS45" s="49"/>
      <c r="AT45" s="49"/>
      <c r="AU45" s="49"/>
      <c r="AV45" s="49"/>
      <c r="AW45" s="49"/>
      <c r="AX45" s="553"/>
      <c r="AY45" s="553"/>
      <c r="AZ45" s="553"/>
      <c r="BA45" s="553"/>
      <c r="BB45" s="553"/>
      <c r="BC45" s="553"/>
      <c r="BD45" s="553"/>
      <c r="BE45" s="553"/>
      <c r="BF45" s="553"/>
      <c r="BG45" s="553"/>
      <c r="BH45" s="553"/>
      <c r="BI45" s="553"/>
      <c r="BJ45" s="553"/>
      <c r="BK45" s="553"/>
      <c r="BL45" s="553"/>
    </row>
    <row r="46" spans="2:66" s="240" customFormat="1" x14ac:dyDescent="0.2">
      <c r="B46" s="230"/>
      <c r="C46" s="724"/>
      <c r="F46" s="673"/>
      <c r="G46" s="728"/>
      <c r="H46" s="728"/>
      <c r="I46" s="729"/>
      <c r="J46" s="729"/>
      <c r="K46" s="729"/>
      <c r="L46" s="729"/>
      <c r="M46" s="729"/>
      <c r="N46" s="729"/>
      <c r="O46" s="729"/>
      <c r="P46" s="729"/>
      <c r="Q46" s="729"/>
      <c r="R46" s="729"/>
      <c r="S46" s="729"/>
      <c r="T46" s="729"/>
      <c r="U46" s="730"/>
      <c r="V46" s="728"/>
      <c r="W46" s="728"/>
      <c r="X46" s="728"/>
      <c r="Y46" s="728"/>
      <c r="Z46" s="728"/>
      <c r="AA46" s="728"/>
      <c r="AB46" s="728"/>
      <c r="AC46" s="728"/>
      <c r="AD46" s="728"/>
      <c r="AE46" s="728"/>
      <c r="AF46" s="728"/>
      <c r="AG46" s="728"/>
      <c r="AH46" s="731"/>
      <c r="AI46" s="726"/>
      <c r="AJ46" s="727"/>
      <c r="AK46" s="553"/>
      <c r="AL46" s="553"/>
      <c r="AM46" s="553"/>
      <c r="AN46" s="553"/>
      <c r="AO46" s="553"/>
      <c r="AP46" s="553"/>
      <c r="AQ46" s="553"/>
      <c r="AR46" s="553"/>
      <c r="AS46" s="553"/>
      <c r="AT46" s="553"/>
      <c r="AU46" s="553"/>
      <c r="AV46" s="553"/>
      <c r="AW46" s="553"/>
      <c r="AX46" s="553"/>
      <c r="AY46" s="553"/>
      <c r="AZ46" s="553"/>
      <c r="BA46" s="553"/>
      <c r="BB46" s="553"/>
      <c r="BC46" s="553"/>
      <c r="BD46" s="553"/>
      <c r="BE46" s="553"/>
      <c r="BF46" s="553"/>
      <c r="BG46" s="553"/>
      <c r="BH46" s="553"/>
      <c r="BI46" s="553"/>
      <c r="BJ46" s="553"/>
      <c r="BK46" s="553"/>
      <c r="BL46" s="553"/>
    </row>
    <row r="47" spans="2:66" s="240" customFormat="1" x14ac:dyDescent="0.2">
      <c r="B47" s="230" t="s">
        <v>629</v>
      </c>
      <c r="C47" s="242"/>
      <c r="D47" s="242"/>
      <c r="E47" s="242"/>
      <c r="F47" s="567"/>
      <c r="G47" s="732">
        <f>+G39+G41+G43+G45</f>
        <v>707826711.66846108</v>
      </c>
      <c r="H47" s="732">
        <f t="shared" ref="H47:S47" si="8">+H39+H41+H43+H45</f>
        <v>51156457.046230003</v>
      </c>
      <c r="I47" s="732">
        <f t="shared" si="8"/>
        <v>52369080.107569978</v>
      </c>
      <c r="J47" s="732">
        <f>+J39+J41+J43+J45</f>
        <v>22296182.623359978</v>
      </c>
      <c r="K47" s="732">
        <f t="shared" si="8"/>
        <v>134529648.03983</v>
      </c>
      <c r="L47" s="732">
        <f>+L39+L41+L43+L45</f>
        <v>63673793.456500009</v>
      </c>
      <c r="M47" s="732">
        <f>+M39+M41+M43+M45</f>
        <v>42866801.970830038</v>
      </c>
      <c r="N47" s="732">
        <f t="shared" si="8"/>
        <v>49729127.847139999</v>
      </c>
      <c r="O47" s="732">
        <f t="shared" si="8"/>
        <v>21403285.226410002</v>
      </c>
      <c r="P47" s="710">
        <f t="shared" si="8"/>
        <v>-5051318.7694999874</v>
      </c>
      <c r="Q47" s="732">
        <f t="shared" si="8"/>
        <v>76235278.776310012</v>
      </c>
      <c r="R47" s="732">
        <f t="shared" si="8"/>
        <v>0</v>
      </c>
      <c r="S47" s="732">
        <f t="shared" si="8"/>
        <v>0</v>
      </c>
      <c r="T47" s="733">
        <f>+T39+T41+T43+T45-1</f>
        <v>509208336.32467997</v>
      </c>
      <c r="U47" s="734">
        <f>+U39+U41+U43+U45</f>
        <v>345253040.25291967</v>
      </c>
      <c r="V47" s="732">
        <f>+V39+V41+V43+V45</f>
        <v>63530125</v>
      </c>
      <c r="W47" s="732">
        <f t="shared" ref="W47:AF47" si="9">+W39+W41+W43+W45</f>
        <v>17540392.930979982</v>
      </c>
      <c r="X47" s="732">
        <f t="shared" si="9"/>
        <v>-23606007.997280002</v>
      </c>
      <c r="Y47" s="732">
        <f t="shared" si="9"/>
        <v>99103979.470700011</v>
      </c>
      <c r="Z47" s="732">
        <f t="shared" si="9"/>
        <v>32839807.354750007</v>
      </c>
      <c r="AA47" s="732">
        <f t="shared" si="9"/>
        <v>649646.72567999363</v>
      </c>
      <c r="AB47" s="732">
        <f t="shared" si="9"/>
        <v>42343200.265070021</v>
      </c>
      <c r="AC47" s="732">
        <f t="shared" si="9"/>
        <v>15141181.965899989</v>
      </c>
      <c r="AD47" s="732">
        <f t="shared" si="9"/>
        <v>2169109.574939996</v>
      </c>
      <c r="AE47" s="732">
        <f t="shared" si="9"/>
        <v>47546404.333759978</v>
      </c>
      <c r="AF47" s="732">
        <f t="shared" si="9"/>
        <v>0</v>
      </c>
      <c r="AG47" s="732">
        <f>+AG39+AG41+AG43+AG45</f>
        <v>0</v>
      </c>
      <c r="AH47" s="735">
        <f>+AH39+AH41+AH43+AH45+1</f>
        <v>297257841.62449998</v>
      </c>
      <c r="AI47" s="726"/>
      <c r="AJ47" s="141"/>
      <c r="AK47" s="553"/>
      <c r="AL47" s="553"/>
      <c r="AM47" s="553"/>
      <c r="AN47" s="553"/>
      <c r="AO47" s="553"/>
      <c r="AP47" s="553"/>
      <c r="AQ47" s="553"/>
      <c r="AR47" s="553"/>
      <c r="AS47" s="553"/>
      <c r="AT47" s="553"/>
      <c r="AU47" s="553"/>
      <c r="AV47" s="553"/>
      <c r="AW47" s="553"/>
      <c r="AX47" s="553"/>
      <c r="AY47" s="553"/>
      <c r="AZ47" s="553"/>
      <c r="BA47" s="553"/>
      <c r="BB47" s="553"/>
      <c r="BC47" s="553"/>
      <c r="BD47" s="553"/>
      <c r="BE47" s="553"/>
      <c r="BF47" s="553"/>
      <c r="BG47" s="553"/>
      <c r="BH47" s="553"/>
      <c r="BI47" s="553"/>
      <c r="BJ47" s="553"/>
      <c r="BK47" s="553"/>
      <c r="BL47" s="553"/>
    </row>
    <row r="48" spans="2:66" s="240" customFormat="1" x14ac:dyDescent="0.2">
      <c r="B48" s="592"/>
      <c r="C48" s="243"/>
      <c r="D48" s="243"/>
      <c r="E48" s="243"/>
      <c r="F48" s="736"/>
      <c r="G48" s="595"/>
      <c r="H48" s="595"/>
      <c r="I48" s="737"/>
      <c r="J48" s="737"/>
      <c r="K48" s="737"/>
      <c r="L48" s="737"/>
      <c r="M48" s="737"/>
      <c r="N48" s="737"/>
      <c r="O48" s="737"/>
      <c r="P48" s="737"/>
      <c r="Q48" s="737"/>
      <c r="R48" s="737"/>
      <c r="S48" s="737"/>
      <c r="T48" s="737"/>
      <c r="U48" s="738"/>
      <c r="V48" s="595"/>
      <c r="W48" s="595"/>
      <c r="X48" s="595"/>
      <c r="Y48" s="595"/>
      <c r="Z48" s="595"/>
      <c r="AA48" s="595"/>
      <c r="AB48" s="595"/>
      <c r="AC48" s="595"/>
      <c r="AD48" s="595"/>
      <c r="AE48" s="595"/>
      <c r="AF48" s="595"/>
      <c r="AG48" s="595"/>
      <c r="AH48" s="739"/>
      <c r="AI48" s="571"/>
      <c r="AJ48" s="553"/>
      <c r="AK48" s="553"/>
      <c r="AL48" s="553"/>
      <c r="AM48" s="553"/>
      <c r="AN48" s="553"/>
      <c r="AO48" s="553"/>
      <c r="AP48" s="553"/>
      <c r="AQ48" s="553"/>
      <c r="AR48" s="553"/>
      <c r="AS48" s="553"/>
      <c r="AT48" s="553"/>
      <c r="AU48" s="553"/>
      <c r="AV48" s="553"/>
      <c r="AW48" s="553"/>
      <c r="AX48" s="553"/>
      <c r="AY48" s="553"/>
      <c r="AZ48" s="553"/>
      <c r="BA48" s="553"/>
      <c r="BB48" s="553"/>
      <c r="BC48" s="553"/>
      <c r="BD48" s="553"/>
      <c r="BE48" s="553"/>
      <c r="BF48" s="553"/>
      <c r="BG48" s="553"/>
      <c r="BH48" s="553"/>
      <c r="BI48" s="553"/>
      <c r="BJ48" s="553"/>
      <c r="BK48" s="553"/>
      <c r="BL48" s="553"/>
    </row>
    <row r="49" spans="2:64" s="240" customFormat="1" ht="13.5" x14ac:dyDescent="0.25">
      <c r="B49" s="740" t="s">
        <v>506</v>
      </c>
      <c r="F49" s="323"/>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553"/>
      <c r="AJ49" s="553"/>
      <c r="AK49" s="553"/>
      <c r="AL49" s="553"/>
      <c r="AM49" s="553"/>
      <c r="AN49" s="553"/>
      <c r="AO49" s="553"/>
      <c r="AP49" s="553"/>
      <c r="AQ49" s="553"/>
      <c r="AR49" s="553"/>
      <c r="AS49" s="553"/>
      <c r="AT49" s="553"/>
      <c r="AU49" s="553"/>
      <c r="AV49" s="553"/>
      <c r="AW49" s="553"/>
      <c r="AX49" s="553"/>
      <c r="AY49" s="553"/>
      <c r="AZ49" s="553"/>
      <c r="BA49" s="553"/>
      <c r="BB49" s="553"/>
      <c r="BC49" s="553"/>
      <c r="BD49" s="553"/>
      <c r="BE49" s="553"/>
      <c r="BF49" s="553"/>
      <c r="BG49" s="553"/>
      <c r="BH49" s="553"/>
      <c r="BI49" s="553"/>
      <c r="BJ49" s="553"/>
      <c r="BK49" s="553"/>
      <c r="BL49" s="553"/>
    </row>
    <row r="50" spans="2:64" s="740" customFormat="1" ht="13.5" x14ac:dyDescent="0.25">
      <c r="B50" s="740" t="s">
        <v>630</v>
      </c>
    </row>
    <row r="51" spans="2:64" s="740" customFormat="1" ht="13.5" x14ac:dyDescent="0.25">
      <c r="B51" s="740" t="s">
        <v>631</v>
      </c>
    </row>
    <row r="53" spans="2:64" ht="13.5" hidden="1" x14ac:dyDescent="0.25">
      <c r="G53" s="740">
        <f t="shared" ref="G53:AH53" si="10">+G34+G47</f>
        <v>0</v>
      </c>
      <c r="H53" s="740">
        <f t="shared" si="10"/>
        <v>0</v>
      </c>
      <c r="I53" s="740">
        <f t="shared" si="10"/>
        <v>0</v>
      </c>
      <c r="J53" s="740">
        <f t="shared" si="10"/>
        <v>0</v>
      </c>
      <c r="K53" s="740">
        <f t="shared" si="10"/>
        <v>0</v>
      </c>
      <c r="L53" s="740">
        <f t="shared" si="10"/>
        <v>0</v>
      </c>
      <c r="M53" s="740">
        <f t="shared" si="10"/>
        <v>0</v>
      </c>
      <c r="N53" s="740">
        <f t="shared" si="10"/>
        <v>0</v>
      </c>
      <c r="O53" s="740">
        <f t="shared" si="10"/>
        <v>0</v>
      </c>
      <c r="P53" s="740">
        <f t="shared" si="10"/>
        <v>0</v>
      </c>
      <c r="Q53" s="740">
        <f t="shared" si="10"/>
        <v>0</v>
      </c>
      <c r="R53" s="740">
        <f t="shared" si="10"/>
        <v>0</v>
      </c>
      <c r="S53" s="740">
        <f t="shared" si="10"/>
        <v>0</v>
      </c>
      <c r="T53" s="740">
        <f t="shared" si="10"/>
        <v>0</v>
      </c>
      <c r="U53" s="741">
        <f t="shared" si="10"/>
        <v>1</v>
      </c>
      <c r="V53" s="740">
        <f t="shared" si="10"/>
        <v>8.5730031132698059E-2</v>
      </c>
      <c r="W53" s="740">
        <f t="shared" si="10"/>
        <v>0</v>
      </c>
      <c r="X53" s="740">
        <f t="shared" si="10"/>
        <v>0</v>
      </c>
      <c r="Y53" s="740">
        <f t="shared" si="10"/>
        <v>0</v>
      </c>
      <c r="Z53" s="740">
        <f t="shared" si="10"/>
        <v>0</v>
      </c>
      <c r="AA53" s="740">
        <f t="shared" si="10"/>
        <v>0</v>
      </c>
      <c r="AB53" s="740">
        <f t="shared" si="10"/>
        <v>0</v>
      </c>
      <c r="AC53" s="740">
        <f t="shared" si="10"/>
        <v>0</v>
      </c>
      <c r="AD53" s="740">
        <f t="shared" si="10"/>
        <v>0</v>
      </c>
      <c r="AE53" s="741">
        <f t="shared" si="10"/>
        <v>0</v>
      </c>
      <c r="AF53" s="740">
        <f t="shared" si="10"/>
        <v>0</v>
      </c>
      <c r="AG53" s="740">
        <f t="shared" si="10"/>
        <v>0</v>
      </c>
      <c r="AH53" s="740">
        <f t="shared" si="10"/>
        <v>8.5730016231536865E-2</v>
      </c>
      <c r="AI53" s="662"/>
      <c r="AJ53" s="662"/>
      <c r="AK53" s="662"/>
      <c r="AL53" s="662"/>
      <c r="AM53" s="662"/>
      <c r="AN53" s="662"/>
      <c r="AO53" s="662"/>
      <c r="AP53" s="662"/>
      <c r="AQ53" s="662"/>
      <c r="AR53" s="662"/>
      <c r="AS53" s="662"/>
      <c r="AT53" s="662"/>
      <c r="AU53" s="662"/>
      <c r="AV53" s="662"/>
      <c r="AW53" s="662"/>
      <c r="AX53" s="662"/>
      <c r="AY53" s="662"/>
      <c r="AZ53" s="662"/>
      <c r="BA53" s="662"/>
      <c r="BB53" s="662"/>
      <c r="BC53" s="662"/>
      <c r="BD53" s="662"/>
      <c r="BE53" s="662"/>
      <c r="BF53" s="662"/>
      <c r="BG53" s="662"/>
      <c r="BH53" s="662"/>
      <c r="BI53" s="662"/>
      <c r="BJ53" s="662"/>
      <c r="BK53" s="662"/>
      <c r="BL53" s="662"/>
    </row>
    <row r="54" spans="2:64" hidden="1" x14ac:dyDescent="0.25">
      <c r="G54" s="742"/>
      <c r="H54" s="742"/>
      <c r="I54" s="742"/>
      <c r="J54" s="742"/>
      <c r="K54" s="742"/>
      <c r="L54" s="742"/>
      <c r="M54" s="742"/>
      <c r="N54" s="742"/>
      <c r="O54" s="742"/>
      <c r="P54" s="742"/>
      <c r="Q54" s="742"/>
      <c r="R54" s="742"/>
      <c r="S54" s="742"/>
      <c r="T54" s="742"/>
      <c r="U54" s="743"/>
      <c r="V54" s="743"/>
      <c r="W54" s="743"/>
      <c r="X54" s="742"/>
      <c r="Y54" s="742"/>
      <c r="Z54" s="742"/>
      <c r="AA54" s="742"/>
      <c r="AB54" s="742"/>
      <c r="AC54" s="742"/>
      <c r="AD54" s="742"/>
      <c r="AE54" s="742"/>
      <c r="AF54" s="742"/>
      <c r="AG54" s="742"/>
      <c r="AH54" s="662"/>
      <c r="AI54" s="662"/>
      <c r="AJ54" s="662"/>
      <c r="AK54" s="662"/>
      <c r="AL54" s="662"/>
      <c r="AM54" s="662"/>
      <c r="AN54" s="662"/>
      <c r="AO54" s="662"/>
      <c r="AP54" s="662"/>
      <c r="AQ54" s="662"/>
      <c r="AR54" s="662"/>
      <c r="AS54" s="662"/>
      <c r="AT54" s="662"/>
      <c r="AU54" s="662"/>
      <c r="AV54" s="662"/>
      <c r="AW54" s="662"/>
      <c r="AX54" s="662"/>
      <c r="AY54" s="662"/>
      <c r="AZ54" s="662"/>
      <c r="BA54" s="662"/>
      <c r="BB54" s="662"/>
      <c r="BC54" s="662"/>
      <c r="BD54" s="662"/>
      <c r="BE54" s="662"/>
      <c r="BF54" s="662"/>
      <c r="BG54" s="662"/>
      <c r="BH54" s="662"/>
      <c r="BI54" s="662"/>
      <c r="BJ54" s="662"/>
      <c r="BK54" s="662"/>
      <c r="BL54" s="662"/>
    </row>
    <row r="55" spans="2:64" hidden="1" x14ac:dyDescent="0.25">
      <c r="C55" s="663" t="s">
        <v>632</v>
      </c>
      <c r="F55" s="663" t="s">
        <v>633</v>
      </c>
      <c r="G55" s="742"/>
      <c r="H55" s="742"/>
      <c r="I55" s="742"/>
      <c r="J55" s="742"/>
      <c r="K55" s="742"/>
      <c r="L55" s="742"/>
      <c r="M55" s="742"/>
      <c r="N55" s="742"/>
      <c r="O55" s="742"/>
      <c r="P55" s="742"/>
      <c r="Q55" s="742"/>
      <c r="R55" s="742"/>
      <c r="S55" s="742"/>
      <c r="T55" s="742"/>
      <c r="U55" s="743" t="s">
        <v>634</v>
      </c>
      <c r="V55" s="743"/>
      <c r="W55" s="743"/>
      <c r="X55" s="742"/>
      <c r="Y55" s="742"/>
      <c r="Z55" s="742"/>
      <c r="AA55" s="742"/>
      <c r="AB55" s="742"/>
      <c r="AC55" s="742"/>
      <c r="AD55" s="742"/>
      <c r="AE55" s="742"/>
      <c r="AF55" s="742"/>
      <c r="AG55" s="742"/>
      <c r="AH55" s="662"/>
      <c r="AI55" s="662"/>
      <c r="AJ55" s="662"/>
      <c r="AK55" s="662"/>
      <c r="AL55" s="662"/>
      <c r="AM55" s="662"/>
      <c r="AN55" s="662"/>
      <c r="AO55" s="662"/>
      <c r="AP55" s="662"/>
      <c r="AQ55" s="662"/>
      <c r="AR55" s="662"/>
      <c r="AS55" s="662"/>
      <c r="AT55" s="662"/>
      <c r="AU55" s="662"/>
      <c r="AV55" s="662"/>
      <c r="AW55" s="662"/>
      <c r="AX55" s="662"/>
      <c r="AY55" s="662"/>
      <c r="AZ55" s="662"/>
      <c r="BA55" s="662"/>
      <c r="BB55" s="662"/>
      <c r="BC55" s="662"/>
      <c r="BD55" s="662"/>
      <c r="BE55" s="662"/>
      <c r="BF55" s="662"/>
      <c r="BG55" s="662"/>
      <c r="BH55" s="662"/>
      <c r="BI55" s="662"/>
      <c r="BJ55" s="662"/>
      <c r="BK55" s="662"/>
      <c r="BL55" s="662"/>
    </row>
    <row r="56" spans="2:64" hidden="1" x14ac:dyDescent="0.25">
      <c r="G56" s="742"/>
      <c r="H56" s="742"/>
      <c r="I56" s="742"/>
      <c r="J56" s="742"/>
      <c r="K56" s="742"/>
      <c r="L56" s="742"/>
      <c r="M56" s="742"/>
      <c r="N56" s="742"/>
      <c r="O56" s="742"/>
      <c r="P56" s="742"/>
      <c r="Q56" s="742"/>
      <c r="R56" s="742"/>
      <c r="S56" s="742"/>
      <c r="T56" s="742"/>
      <c r="U56" s="744"/>
      <c r="V56" s="744"/>
      <c r="W56" s="744"/>
      <c r="X56" s="742"/>
      <c r="Y56" s="742"/>
      <c r="Z56" s="742"/>
      <c r="AA56" s="742"/>
      <c r="AB56" s="742"/>
      <c r="AC56" s="742"/>
      <c r="AD56" s="742"/>
      <c r="AE56" s="742"/>
      <c r="AF56" s="742"/>
      <c r="AG56" s="742"/>
      <c r="AH56" s="662"/>
      <c r="AI56" s="662"/>
      <c r="AJ56" s="662"/>
      <c r="AK56" s="662"/>
      <c r="AL56" s="662"/>
      <c r="AM56" s="662"/>
      <c r="AN56" s="662"/>
      <c r="AO56" s="662"/>
      <c r="AP56" s="662"/>
      <c r="AQ56" s="662"/>
      <c r="AR56" s="662"/>
      <c r="AS56" s="662"/>
      <c r="AT56" s="662"/>
      <c r="AU56" s="662"/>
      <c r="AV56" s="662"/>
      <c r="AW56" s="662"/>
      <c r="AX56" s="662"/>
      <c r="AY56" s="662"/>
      <c r="AZ56" s="662"/>
      <c r="BA56" s="662"/>
      <c r="BB56" s="662"/>
      <c r="BC56" s="662"/>
      <c r="BD56" s="662"/>
      <c r="BE56" s="662"/>
      <c r="BF56" s="662"/>
      <c r="BG56" s="662"/>
      <c r="BH56" s="662"/>
      <c r="BI56" s="662"/>
      <c r="BJ56" s="662"/>
      <c r="BK56" s="662"/>
      <c r="BL56" s="662"/>
    </row>
    <row r="57" spans="2:64" hidden="1" x14ac:dyDescent="0.25">
      <c r="G57" s="742"/>
      <c r="H57" s="742"/>
      <c r="I57" s="742"/>
      <c r="J57" s="742"/>
      <c r="K57" s="742"/>
      <c r="L57" s="742"/>
      <c r="M57" s="742"/>
      <c r="N57" s="742"/>
      <c r="O57" s="742"/>
      <c r="P57" s="742"/>
      <c r="Q57" s="742"/>
      <c r="R57" s="742"/>
      <c r="S57" s="742"/>
      <c r="T57" s="742"/>
      <c r="U57" s="742"/>
      <c r="V57" s="742"/>
      <c r="W57" s="742"/>
      <c r="X57" s="742"/>
      <c r="Y57" s="742"/>
      <c r="Z57" s="742"/>
      <c r="AA57" s="742"/>
      <c r="AB57" s="742"/>
      <c r="AC57" s="742"/>
      <c r="AD57" s="742"/>
      <c r="AE57" s="742"/>
      <c r="AF57" s="742"/>
      <c r="AG57" s="742"/>
      <c r="AH57" s="662"/>
      <c r="AI57" s="662"/>
      <c r="AJ57" s="662"/>
      <c r="AK57" s="662"/>
      <c r="AL57" s="662"/>
      <c r="AM57" s="662"/>
      <c r="AN57" s="662"/>
      <c r="AO57" s="662"/>
      <c r="AP57" s="662"/>
      <c r="AQ57" s="662"/>
      <c r="AR57" s="662"/>
      <c r="AS57" s="662"/>
      <c r="AT57" s="662"/>
      <c r="AU57" s="662"/>
      <c r="AV57" s="662"/>
      <c r="AW57" s="662"/>
      <c r="AX57" s="662"/>
      <c r="AY57" s="662"/>
      <c r="AZ57" s="662"/>
      <c r="BA57" s="662"/>
      <c r="BB57" s="662"/>
      <c r="BC57" s="662"/>
      <c r="BD57" s="662"/>
      <c r="BE57" s="662"/>
      <c r="BF57" s="662"/>
      <c r="BG57" s="662"/>
      <c r="BH57" s="662"/>
      <c r="BI57" s="662"/>
      <c r="BJ57" s="662"/>
      <c r="BK57" s="662"/>
      <c r="BL57" s="662"/>
    </row>
    <row r="58" spans="2:64" hidden="1" x14ac:dyDescent="0.25">
      <c r="C58" s="663" t="s">
        <v>635</v>
      </c>
      <c r="F58" s="663" t="s">
        <v>635</v>
      </c>
      <c r="G58" s="742"/>
      <c r="H58" s="742"/>
      <c r="I58" s="742"/>
      <c r="J58" s="742"/>
      <c r="K58" s="742"/>
      <c r="L58" s="742"/>
      <c r="M58" s="742"/>
      <c r="N58" s="742"/>
      <c r="O58" s="742"/>
      <c r="P58" s="742"/>
      <c r="Q58" s="742"/>
      <c r="R58" s="742"/>
      <c r="S58" s="742"/>
      <c r="T58" s="742"/>
      <c r="U58" s="745" t="s">
        <v>635</v>
      </c>
      <c r="V58" s="745"/>
      <c r="W58" s="745"/>
      <c r="X58" s="742"/>
      <c r="Y58" s="742"/>
      <c r="Z58" s="742"/>
      <c r="AA58" s="742"/>
      <c r="AB58" s="742"/>
      <c r="AC58" s="742"/>
      <c r="AD58" s="742"/>
      <c r="AE58" s="742"/>
      <c r="AF58" s="742"/>
      <c r="AG58" s="742"/>
      <c r="AH58" s="662"/>
      <c r="AI58" s="662"/>
      <c r="AJ58" s="662"/>
      <c r="AK58" s="662"/>
      <c r="AL58" s="662"/>
      <c r="AM58" s="662"/>
      <c r="AN58" s="662"/>
      <c r="AO58" s="662"/>
      <c r="AP58" s="662"/>
      <c r="AQ58" s="662"/>
      <c r="AR58" s="662"/>
      <c r="AS58" s="662"/>
      <c r="AT58" s="662"/>
      <c r="AU58" s="662"/>
      <c r="AV58" s="662"/>
      <c r="AW58" s="662"/>
      <c r="AX58" s="662"/>
      <c r="AY58" s="662"/>
      <c r="AZ58" s="662"/>
      <c r="BA58" s="662"/>
      <c r="BB58" s="662"/>
      <c r="BC58" s="662"/>
      <c r="BD58" s="662"/>
      <c r="BE58" s="662"/>
      <c r="BF58" s="662"/>
      <c r="BG58" s="662"/>
      <c r="BH58" s="662"/>
      <c r="BI58" s="662"/>
      <c r="BJ58" s="662"/>
      <c r="BK58" s="662"/>
      <c r="BL58" s="662"/>
    </row>
    <row r="59" spans="2:64" hidden="1" x14ac:dyDescent="0.25">
      <c r="G59" s="742"/>
      <c r="H59" s="742"/>
      <c r="I59" s="742"/>
      <c r="J59" s="742"/>
      <c r="K59" s="742"/>
      <c r="L59" s="742"/>
      <c r="M59" s="742"/>
      <c r="N59" s="742"/>
      <c r="O59" s="742"/>
      <c r="P59" s="742"/>
      <c r="Q59" s="742"/>
      <c r="R59" s="742"/>
      <c r="S59" s="742"/>
      <c r="T59" s="742"/>
      <c r="U59" s="742"/>
      <c r="V59" s="742"/>
      <c r="W59" s="742"/>
      <c r="X59" s="742"/>
      <c r="Y59" s="742"/>
      <c r="Z59" s="742"/>
      <c r="AA59" s="742"/>
      <c r="AB59" s="742"/>
      <c r="AC59" s="742"/>
      <c r="AD59" s="742"/>
      <c r="AE59" s="742"/>
      <c r="AF59" s="742"/>
      <c r="AG59" s="742"/>
      <c r="AH59" s="662"/>
      <c r="AI59" s="662"/>
      <c r="AJ59" s="662"/>
      <c r="AK59" s="662"/>
      <c r="AL59" s="662"/>
      <c r="AM59" s="662"/>
      <c r="AN59" s="662"/>
      <c r="AO59" s="662"/>
      <c r="AP59" s="662"/>
      <c r="AQ59" s="662"/>
      <c r="AR59" s="662"/>
      <c r="AS59" s="662"/>
      <c r="AT59" s="662"/>
      <c r="AU59" s="662"/>
      <c r="AV59" s="662"/>
      <c r="AW59" s="662"/>
      <c r="AX59" s="662"/>
      <c r="AY59" s="662"/>
      <c r="AZ59" s="662"/>
      <c r="BA59" s="662"/>
      <c r="BB59" s="662"/>
      <c r="BC59" s="662"/>
      <c r="BD59" s="662"/>
      <c r="BE59" s="662"/>
      <c r="BF59" s="662"/>
      <c r="BG59" s="662"/>
      <c r="BH59" s="662"/>
      <c r="BI59" s="662"/>
      <c r="BJ59" s="662"/>
      <c r="BK59" s="662"/>
      <c r="BL59" s="662"/>
    </row>
    <row r="60" spans="2:64" hidden="1" x14ac:dyDescent="0.25">
      <c r="G60" s="742"/>
      <c r="H60" s="742"/>
      <c r="I60" s="742"/>
      <c r="J60" s="742"/>
      <c r="K60" s="742"/>
      <c r="L60" s="742"/>
      <c r="M60" s="742"/>
      <c r="N60" s="742"/>
      <c r="O60" s="742"/>
      <c r="P60" s="742"/>
      <c r="Q60" s="742"/>
      <c r="R60" s="742"/>
      <c r="S60" s="742"/>
      <c r="T60" s="742"/>
      <c r="U60" s="742"/>
      <c r="V60" s="742"/>
      <c r="W60" s="742"/>
      <c r="X60" s="742"/>
      <c r="Y60" s="742"/>
      <c r="Z60" s="742"/>
      <c r="AA60" s="742"/>
      <c r="AB60" s="742"/>
      <c r="AC60" s="742"/>
      <c r="AD60" s="742"/>
      <c r="AE60" s="742"/>
      <c r="AF60" s="742"/>
      <c r="AG60" s="742"/>
      <c r="AH60" s="662"/>
      <c r="AI60" s="662"/>
      <c r="AJ60" s="662"/>
      <c r="AK60" s="662"/>
      <c r="AL60" s="662"/>
      <c r="AM60" s="662"/>
      <c r="AN60" s="662"/>
      <c r="AO60" s="662"/>
      <c r="AP60" s="662"/>
      <c r="AQ60" s="662"/>
      <c r="AR60" s="662"/>
      <c r="AS60" s="662"/>
      <c r="AT60" s="662"/>
      <c r="AU60" s="662"/>
      <c r="AV60" s="662"/>
      <c r="AW60" s="662"/>
      <c r="AX60" s="662"/>
      <c r="AY60" s="662"/>
      <c r="AZ60" s="662"/>
      <c r="BA60" s="662"/>
      <c r="BB60" s="662"/>
      <c r="BC60" s="662"/>
      <c r="BD60" s="662"/>
      <c r="BE60" s="662"/>
      <c r="BF60" s="662"/>
      <c r="BG60" s="662"/>
      <c r="BH60" s="662"/>
      <c r="BI60" s="662"/>
      <c r="BJ60" s="662"/>
      <c r="BK60" s="662"/>
      <c r="BL60" s="662"/>
    </row>
    <row r="61" spans="2:64" hidden="1" x14ac:dyDescent="0.25">
      <c r="G61" s="742"/>
      <c r="H61" s="742"/>
      <c r="I61" s="742"/>
      <c r="J61" s="742"/>
      <c r="K61" s="742"/>
      <c r="L61" s="742"/>
      <c r="M61" s="742"/>
      <c r="N61" s="742"/>
      <c r="O61" s="742"/>
      <c r="P61" s="742"/>
      <c r="Q61" s="742"/>
      <c r="R61" s="742"/>
      <c r="S61" s="742"/>
      <c r="T61" s="742"/>
      <c r="U61" s="742"/>
      <c r="V61" s="742"/>
      <c r="W61" s="742"/>
      <c r="X61" s="742"/>
      <c r="Y61" s="742"/>
      <c r="Z61" s="742"/>
      <c r="AA61" s="742"/>
      <c r="AB61" s="742"/>
      <c r="AC61" s="742"/>
      <c r="AD61" s="742"/>
      <c r="AE61" s="742"/>
      <c r="AF61" s="742"/>
      <c r="AG61" s="742"/>
      <c r="AH61" s="662"/>
      <c r="AI61" s="662"/>
      <c r="AJ61" s="662"/>
      <c r="AK61" s="662"/>
      <c r="AL61" s="662"/>
      <c r="AM61" s="662"/>
      <c r="AN61" s="662"/>
      <c r="AO61" s="662"/>
      <c r="AP61" s="662"/>
      <c r="AQ61" s="662"/>
      <c r="AR61" s="662"/>
      <c r="AS61" s="662"/>
      <c r="AT61" s="662"/>
      <c r="AU61" s="662"/>
      <c r="AV61" s="662"/>
      <c r="AW61" s="662"/>
      <c r="AX61" s="662"/>
      <c r="AY61" s="662"/>
      <c r="AZ61" s="662"/>
      <c r="BA61" s="662"/>
      <c r="BB61" s="662"/>
      <c r="BC61" s="662"/>
      <c r="BD61" s="662"/>
      <c r="BE61" s="662"/>
      <c r="BF61" s="662"/>
      <c r="BG61" s="662"/>
      <c r="BH61" s="662"/>
      <c r="BI61" s="662"/>
      <c r="BJ61" s="662"/>
      <c r="BK61" s="662"/>
      <c r="BL61" s="662"/>
    </row>
    <row r="62" spans="2:64" x14ac:dyDescent="0.25">
      <c r="G62" s="742"/>
      <c r="H62" s="742"/>
      <c r="I62" s="742"/>
      <c r="J62" s="742"/>
      <c r="K62" s="742"/>
      <c r="L62" s="742"/>
      <c r="M62" s="742"/>
      <c r="N62" s="742"/>
      <c r="O62" s="742"/>
      <c r="P62" s="742"/>
      <c r="Q62" s="742"/>
      <c r="R62" s="742"/>
      <c r="S62" s="742"/>
      <c r="T62" s="742"/>
      <c r="U62" s="742"/>
      <c r="V62" s="742"/>
      <c r="W62" s="742"/>
      <c r="X62" s="742"/>
      <c r="Y62" s="742"/>
      <c r="Z62" s="742"/>
      <c r="AA62" s="742"/>
      <c r="AB62" s="742"/>
      <c r="AC62" s="742"/>
      <c r="AD62" s="742"/>
      <c r="AE62" s="742"/>
      <c r="AF62" s="742"/>
      <c r="AG62" s="742"/>
      <c r="AH62" s="662"/>
      <c r="AI62" s="662"/>
      <c r="AJ62" s="662"/>
      <c r="AK62" s="662"/>
      <c r="AL62" s="662"/>
      <c r="AM62" s="662"/>
      <c r="AN62" s="662"/>
      <c r="AO62" s="662"/>
      <c r="AP62" s="662"/>
      <c r="AQ62" s="662"/>
      <c r="AR62" s="662"/>
      <c r="AS62" s="662"/>
      <c r="AT62" s="662"/>
      <c r="AU62" s="662"/>
      <c r="AV62" s="662"/>
      <c r="AW62" s="662"/>
      <c r="AX62" s="662"/>
      <c r="AY62" s="662"/>
      <c r="AZ62" s="662"/>
      <c r="BA62" s="662"/>
      <c r="BB62" s="662"/>
      <c r="BC62" s="662"/>
      <c r="BD62" s="662"/>
      <c r="BE62" s="662"/>
      <c r="BF62" s="662"/>
      <c r="BG62" s="662"/>
      <c r="BH62" s="662"/>
      <c r="BI62" s="662"/>
      <c r="BJ62" s="662"/>
      <c r="BK62" s="662"/>
      <c r="BL62" s="662"/>
    </row>
    <row r="63" spans="2:64" x14ac:dyDescent="0.25">
      <c r="G63" s="742"/>
      <c r="H63" s="742"/>
      <c r="I63" s="742"/>
      <c r="J63" s="742"/>
      <c r="K63" s="742"/>
      <c r="L63" s="742"/>
      <c r="M63" s="742"/>
      <c r="N63" s="742"/>
      <c r="O63" s="742"/>
      <c r="P63" s="742"/>
      <c r="Q63" s="742"/>
      <c r="R63" s="742"/>
      <c r="S63" s="742"/>
      <c r="T63" s="742"/>
      <c r="U63" s="742"/>
      <c r="V63" s="742"/>
      <c r="W63" s="742"/>
      <c r="X63" s="742"/>
      <c r="Y63" s="742"/>
      <c r="Z63" s="742"/>
      <c r="AA63" s="742"/>
      <c r="AB63" s="742"/>
      <c r="AC63" s="742"/>
      <c r="AD63" s="742"/>
      <c r="AE63" s="742"/>
      <c r="AF63" s="742"/>
      <c r="AG63" s="742"/>
      <c r="AH63" s="662"/>
      <c r="AI63" s="662"/>
      <c r="AJ63" s="662"/>
      <c r="AK63" s="662"/>
      <c r="AL63" s="662"/>
      <c r="AM63" s="662"/>
      <c r="AN63" s="662"/>
      <c r="AO63" s="662"/>
      <c r="AP63" s="662"/>
      <c r="AQ63" s="662"/>
      <c r="AR63" s="662"/>
      <c r="AS63" s="662"/>
      <c r="AT63" s="662"/>
      <c r="AU63" s="662"/>
      <c r="AV63" s="662"/>
      <c r="AW63" s="662"/>
      <c r="AX63" s="662"/>
      <c r="AY63" s="662"/>
      <c r="AZ63" s="662"/>
      <c r="BA63" s="662"/>
      <c r="BB63" s="662"/>
      <c r="BC63" s="662"/>
      <c r="BD63" s="662"/>
      <c r="BE63" s="662"/>
      <c r="BF63" s="662"/>
      <c r="BG63" s="662"/>
      <c r="BH63" s="662"/>
      <c r="BI63" s="662"/>
      <c r="BJ63" s="662"/>
      <c r="BK63" s="662"/>
      <c r="BL63" s="662"/>
    </row>
    <row r="64" spans="2:64" x14ac:dyDescent="0.25">
      <c r="G64" s="742"/>
      <c r="H64" s="742"/>
      <c r="I64" s="742"/>
      <c r="J64" s="742"/>
      <c r="K64" s="742"/>
      <c r="L64" s="742"/>
      <c r="M64" s="742"/>
      <c r="N64" s="742"/>
      <c r="O64" s="742"/>
      <c r="P64" s="742"/>
      <c r="Q64" s="742"/>
      <c r="R64" s="742"/>
      <c r="S64" s="742"/>
      <c r="T64" s="742"/>
      <c r="U64" s="742"/>
      <c r="V64" s="742"/>
      <c r="W64" s="742"/>
      <c r="X64" s="742"/>
      <c r="Y64" s="742"/>
      <c r="Z64" s="742"/>
      <c r="AA64" s="742"/>
      <c r="AB64" s="742"/>
      <c r="AC64" s="742"/>
      <c r="AD64" s="742"/>
      <c r="AE64" s="742"/>
      <c r="AF64" s="742"/>
      <c r="AG64" s="742"/>
      <c r="AH64" s="662"/>
      <c r="AI64" s="662"/>
      <c r="AJ64" s="662"/>
      <c r="AK64" s="662"/>
      <c r="AL64" s="662"/>
      <c r="AM64" s="662"/>
      <c r="AN64" s="662"/>
      <c r="AO64" s="662"/>
      <c r="AP64" s="662"/>
      <c r="AQ64" s="662"/>
      <c r="AR64" s="662"/>
      <c r="AS64" s="662"/>
      <c r="AT64" s="662"/>
      <c r="AU64" s="662"/>
      <c r="AV64" s="662"/>
      <c r="AW64" s="662"/>
      <c r="AX64" s="662"/>
      <c r="AY64" s="662"/>
      <c r="AZ64" s="662"/>
      <c r="BA64" s="662"/>
      <c r="BB64" s="662"/>
      <c r="BC64" s="662"/>
      <c r="BD64" s="662"/>
      <c r="BE64" s="662"/>
      <c r="BF64" s="662"/>
      <c r="BG64" s="662"/>
      <c r="BH64" s="662"/>
      <c r="BI64" s="662"/>
      <c r="BJ64" s="662"/>
      <c r="BK64" s="662"/>
      <c r="BL64" s="662"/>
    </row>
    <row r="65" spans="7:64" x14ac:dyDescent="0.25">
      <c r="G65" s="742"/>
      <c r="H65" s="742"/>
      <c r="I65" s="742"/>
      <c r="J65" s="742"/>
      <c r="K65" s="742"/>
      <c r="L65" s="742"/>
      <c r="M65" s="742"/>
      <c r="N65" s="742"/>
      <c r="O65" s="742"/>
      <c r="P65" s="742"/>
      <c r="Q65" s="742"/>
      <c r="R65" s="742"/>
      <c r="S65" s="742"/>
      <c r="T65" s="742"/>
      <c r="U65" s="742"/>
      <c r="V65" s="742"/>
      <c r="W65" s="742"/>
      <c r="X65" s="742"/>
      <c r="Y65" s="742"/>
      <c r="Z65" s="742"/>
      <c r="AA65" s="742"/>
      <c r="AB65" s="742"/>
      <c r="AC65" s="742"/>
      <c r="AD65" s="742"/>
      <c r="AE65" s="742"/>
      <c r="AF65" s="742"/>
      <c r="AG65" s="742"/>
      <c r="AH65" s="662"/>
      <c r="AI65" s="662"/>
      <c r="AJ65" s="662"/>
      <c r="AK65" s="662"/>
      <c r="AL65" s="662"/>
      <c r="AM65" s="662"/>
      <c r="AN65" s="662"/>
      <c r="AO65" s="662"/>
      <c r="AP65" s="662"/>
      <c r="AQ65" s="662"/>
      <c r="AR65" s="662"/>
      <c r="AS65" s="662"/>
      <c r="AT65" s="662"/>
      <c r="AU65" s="662"/>
      <c r="AV65" s="662"/>
      <c r="AW65" s="662"/>
      <c r="AX65" s="662"/>
      <c r="AY65" s="662"/>
      <c r="AZ65" s="662"/>
      <c r="BA65" s="662"/>
      <c r="BB65" s="662"/>
      <c r="BC65" s="662"/>
      <c r="BD65" s="662"/>
      <c r="BE65" s="662"/>
      <c r="BF65" s="662"/>
      <c r="BG65" s="662"/>
      <c r="BH65" s="662"/>
      <c r="BI65" s="662"/>
      <c r="BJ65" s="662"/>
      <c r="BK65" s="662"/>
      <c r="BL65" s="662"/>
    </row>
    <row r="66" spans="7:64" x14ac:dyDescent="0.25">
      <c r="G66" s="742"/>
      <c r="H66" s="742"/>
      <c r="I66" s="742"/>
      <c r="J66" s="742"/>
      <c r="K66" s="742"/>
      <c r="L66" s="742"/>
      <c r="M66" s="742"/>
      <c r="N66" s="742"/>
      <c r="O66" s="742"/>
      <c r="P66" s="742"/>
      <c r="Q66" s="742"/>
      <c r="R66" s="742"/>
      <c r="S66" s="742"/>
      <c r="T66" s="742"/>
      <c r="U66" s="742"/>
      <c r="V66" s="742"/>
      <c r="W66" s="742"/>
      <c r="X66" s="742"/>
      <c r="Y66" s="742"/>
      <c r="Z66" s="742"/>
      <c r="AA66" s="742"/>
      <c r="AB66" s="742"/>
      <c r="AC66" s="742"/>
      <c r="AD66" s="742"/>
      <c r="AE66" s="742"/>
      <c r="AF66" s="742"/>
      <c r="AG66" s="742"/>
      <c r="AH66" s="662"/>
      <c r="AI66" s="662"/>
      <c r="AJ66" s="662"/>
      <c r="AK66" s="662"/>
      <c r="AL66" s="662"/>
      <c r="AM66" s="662"/>
      <c r="AN66" s="662"/>
      <c r="AO66" s="662"/>
      <c r="AP66" s="662"/>
      <c r="AQ66" s="662"/>
      <c r="AR66" s="662"/>
      <c r="AS66" s="662"/>
      <c r="AT66" s="662"/>
      <c r="AU66" s="662"/>
      <c r="AV66" s="662"/>
      <c r="AW66" s="662"/>
      <c r="AX66" s="662"/>
      <c r="AY66" s="662"/>
      <c r="AZ66" s="662"/>
      <c r="BA66" s="662"/>
      <c r="BB66" s="662"/>
      <c r="BC66" s="662"/>
      <c r="BD66" s="662"/>
      <c r="BE66" s="662"/>
      <c r="BF66" s="662"/>
      <c r="BG66" s="662"/>
      <c r="BH66" s="662"/>
      <c r="BI66" s="662"/>
      <c r="BJ66" s="662"/>
      <c r="BK66" s="662"/>
      <c r="BL66" s="662"/>
    </row>
    <row r="67" spans="7:64" x14ac:dyDescent="0.25">
      <c r="G67" s="742"/>
      <c r="H67" s="742"/>
      <c r="I67" s="742"/>
      <c r="J67" s="742"/>
      <c r="K67" s="742"/>
      <c r="L67" s="742"/>
      <c r="M67" s="742"/>
      <c r="N67" s="742"/>
      <c r="O67" s="742"/>
      <c r="P67" s="742"/>
      <c r="Q67" s="742"/>
      <c r="R67" s="742"/>
      <c r="S67" s="742"/>
      <c r="T67" s="742"/>
      <c r="U67" s="742"/>
      <c r="V67" s="742"/>
      <c r="W67" s="742"/>
      <c r="X67" s="742"/>
      <c r="Y67" s="742"/>
      <c r="Z67" s="742"/>
      <c r="AA67" s="742"/>
      <c r="AB67" s="742"/>
      <c r="AC67" s="742"/>
      <c r="AD67" s="742"/>
      <c r="AE67" s="742"/>
      <c r="AF67" s="742"/>
      <c r="AG67" s="742"/>
      <c r="AH67" s="662"/>
      <c r="AI67" s="662"/>
      <c r="AJ67" s="662"/>
      <c r="AK67" s="662"/>
      <c r="AL67" s="662"/>
      <c r="AM67" s="662"/>
      <c r="AN67" s="662"/>
      <c r="AO67" s="662"/>
      <c r="AP67" s="662"/>
      <c r="AQ67" s="662"/>
      <c r="AR67" s="662"/>
      <c r="AS67" s="662"/>
      <c r="AT67" s="662"/>
      <c r="AU67" s="662"/>
      <c r="AV67" s="662"/>
      <c r="AW67" s="662"/>
      <c r="AX67" s="662"/>
      <c r="AY67" s="662"/>
      <c r="AZ67" s="662"/>
      <c r="BA67" s="662"/>
      <c r="BB67" s="662"/>
      <c r="BC67" s="662"/>
      <c r="BD67" s="662"/>
      <c r="BE67" s="662"/>
      <c r="BF67" s="662"/>
      <c r="BG67" s="662"/>
      <c r="BH67" s="662"/>
      <c r="BI67" s="662"/>
      <c r="BJ67" s="662"/>
      <c r="BK67" s="662"/>
      <c r="BL67" s="662"/>
    </row>
    <row r="68" spans="7:64" x14ac:dyDescent="0.25">
      <c r="G68" s="742"/>
      <c r="H68" s="742"/>
      <c r="I68" s="742"/>
      <c r="J68" s="742"/>
      <c r="K68" s="742"/>
      <c r="L68" s="742"/>
      <c r="M68" s="742"/>
      <c r="N68" s="742"/>
      <c r="O68" s="742"/>
      <c r="P68" s="742"/>
      <c r="Q68" s="742"/>
      <c r="R68" s="742"/>
      <c r="S68" s="742"/>
      <c r="T68" s="742"/>
      <c r="U68" s="742"/>
      <c r="V68" s="742"/>
      <c r="W68" s="742"/>
      <c r="X68" s="742"/>
      <c r="Y68" s="742"/>
      <c r="Z68" s="742"/>
      <c r="AA68" s="742"/>
      <c r="AB68" s="742"/>
      <c r="AC68" s="742"/>
      <c r="AD68" s="742"/>
      <c r="AE68" s="742"/>
      <c r="AF68" s="742"/>
      <c r="AG68" s="742"/>
      <c r="AH68" s="662"/>
      <c r="AI68" s="662"/>
      <c r="AJ68" s="662"/>
      <c r="AK68" s="662"/>
      <c r="AL68" s="662"/>
      <c r="AM68" s="662"/>
      <c r="AN68" s="662"/>
      <c r="AO68" s="662"/>
      <c r="AP68" s="662"/>
      <c r="AQ68" s="662"/>
      <c r="AR68" s="662"/>
      <c r="AS68" s="662"/>
      <c r="AT68" s="662"/>
      <c r="AU68" s="662"/>
      <c r="AV68" s="662"/>
      <c r="AW68" s="662"/>
      <c r="AX68" s="662"/>
      <c r="AY68" s="662"/>
      <c r="AZ68" s="662"/>
      <c r="BA68" s="662"/>
      <c r="BB68" s="662"/>
      <c r="BC68" s="662"/>
      <c r="BD68" s="662"/>
      <c r="BE68" s="662"/>
      <c r="BF68" s="662"/>
      <c r="BG68" s="662"/>
      <c r="BH68" s="662"/>
      <c r="BI68" s="662"/>
      <c r="BJ68" s="662"/>
      <c r="BK68" s="662"/>
      <c r="BL68" s="662"/>
    </row>
    <row r="69" spans="7:64" x14ac:dyDescent="0.25">
      <c r="G69" s="742"/>
      <c r="H69" s="742"/>
      <c r="I69" s="742"/>
      <c r="J69" s="742"/>
      <c r="K69" s="742"/>
      <c r="L69" s="742"/>
      <c r="M69" s="742"/>
      <c r="N69" s="742"/>
      <c r="O69" s="742"/>
      <c r="P69" s="742"/>
      <c r="Q69" s="742"/>
      <c r="R69" s="742"/>
      <c r="S69" s="742"/>
      <c r="T69" s="742"/>
      <c r="U69" s="742"/>
      <c r="V69" s="742"/>
      <c r="W69" s="742"/>
      <c r="X69" s="742"/>
      <c r="Y69" s="742"/>
      <c r="Z69" s="742"/>
      <c r="AA69" s="742"/>
      <c r="AB69" s="742"/>
      <c r="AC69" s="742"/>
      <c r="AD69" s="742"/>
      <c r="AE69" s="742"/>
      <c r="AF69" s="742"/>
      <c r="AG69" s="742"/>
      <c r="AH69" s="662"/>
      <c r="AI69" s="662"/>
      <c r="AJ69" s="662"/>
      <c r="AK69" s="662"/>
      <c r="AL69" s="662"/>
      <c r="AM69" s="662"/>
      <c r="AN69" s="662"/>
      <c r="AO69" s="662"/>
      <c r="AP69" s="662"/>
      <c r="AQ69" s="662"/>
      <c r="AR69" s="662"/>
      <c r="AS69" s="662"/>
      <c r="AT69" s="662"/>
      <c r="AU69" s="662"/>
      <c r="AV69" s="662"/>
      <c r="AW69" s="662"/>
      <c r="AX69" s="662"/>
      <c r="AY69" s="662"/>
      <c r="AZ69" s="662"/>
      <c r="BA69" s="662"/>
      <c r="BB69" s="662"/>
      <c r="BC69" s="662"/>
      <c r="BD69" s="662"/>
      <c r="BE69" s="662"/>
      <c r="BF69" s="662"/>
      <c r="BG69" s="662"/>
      <c r="BH69" s="662"/>
      <c r="BI69" s="662"/>
      <c r="BJ69" s="662"/>
      <c r="BK69" s="662"/>
      <c r="BL69" s="662"/>
    </row>
    <row r="70" spans="7:64" x14ac:dyDescent="0.25">
      <c r="G70" s="742"/>
      <c r="H70" s="742"/>
      <c r="I70" s="742"/>
      <c r="J70" s="742"/>
      <c r="K70" s="742"/>
      <c r="L70" s="742"/>
      <c r="M70" s="742"/>
      <c r="N70" s="742"/>
      <c r="O70" s="742"/>
      <c r="P70" s="742"/>
      <c r="Q70" s="742"/>
      <c r="R70" s="742"/>
      <c r="S70" s="742"/>
      <c r="T70" s="742"/>
      <c r="U70" s="742"/>
      <c r="V70" s="742"/>
      <c r="W70" s="742"/>
      <c r="X70" s="742"/>
      <c r="Y70" s="742"/>
      <c r="Z70" s="742"/>
      <c r="AA70" s="742"/>
      <c r="AB70" s="742"/>
      <c r="AC70" s="742"/>
      <c r="AD70" s="742"/>
      <c r="AE70" s="742"/>
      <c r="AF70" s="742"/>
      <c r="AG70" s="742"/>
      <c r="AH70" s="662"/>
      <c r="AI70" s="662"/>
      <c r="AJ70" s="662"/>
      <c r="AK70" s="662"/>
      <c r="AL70" s="662"/>
      <c r="AM70" s="662"/>
      <c r="AN70" s="662"/>
      <c r="AO70" s="662"/>
      <c r="AP70" s="662"/>
      <c r="AQ70" s="662"/>
      <c r="AR70" s="662"/>
      <c r="AS70" s="662"/>
      <c r="AT70" s="662"/>
      <c r="AU70" s="662"/>
      <c r="AV70" s="662"/>
      <c r="AW70" s="662"/>
      <c r="AX70" s="662"/>
      <c r="AY70" s="662"/>
      <c r="AZ70" s="662"/>
      <c r="BA70" s="662"/>
      <c r="BB70" s="662"/>
      <c r="BC70" s="662"/>
      <c r="BD70" s="662"/>
      <c r="BE70" s="662"/>
      <c r="BF70" s="662"/>
      <c r="BG70" s="662"/>
      <c r="BH70" s="662"/>
      <c r="BI70" s="662"/>
      <c r="BJ70" s="662"/>
      <c r="BK70" s="662"/>
      <c r="BL70" s="662"/>
    </row>
    <row r="71" spans="7:64" x14ac:dyDescent="0.25">
      <c r="G71" s="742"/>
      <c r="H71" s="742"/>
      <c r="I71" s="742"/>
      <c r="J71" s="742"/>
      <c r="K71" s="742"/>
      <c r="L71" s="742"/>
      <c r="M71" s="742"/>
      <c r="N71" s="742"/>
      <c r="O71" s="742"/>
      <c r="P71" s="742"/>
      <c r="Q71" s="742"/>
      <c r="R71" s="742"/>
      <c r="S71" s="742"/>
      <c r="T71" s="742"/>
      <c r="U71" s="742"/>
      <c r="V71" s="742"/>
      <c r="W71" s="742"/>
      <c r="X71" s="742"/>
      <c r="Y71" s="742"/>
      <c r="Z71" s="742"/>
      <c r="AA71" s="742"/>
      <c r="AB71" s="742"/>
      <c r="AC71" s="742"/>
      <c r="AD71" s="742"/>
      <c r="AE71" s="742"/>
      <c r="AF71" s="742"/>
      <c r="AG71" s="742"/>
      <c r="AH71" s="662"/>
      <c r="AI71" s="662"/>
      <c r="AJ71" s="662"/>
      <c r="AK71" s="662"/>
      <c r="AL71" s="662"/>
      <c r="AM71" s="662"/>
      <c r="AN71" s="662"/>
      <c r="AO71" s="662"/>
      <c r="AP71" s="662"/>
      <c r="AQ71" s="662"/>
      <c r="AR71" s="662"/>
      <c r="AS71" s="662"/>
      <c r="AT71" s="662"/>
      <c r="AU71" s="662"/>
      <c r="AV71" s="662"/>
      <c r="AW71" s="662"/>
      <c r="AX71" s="662"/>
      <c r="AY71" s="662"/>
      <c r="AZ71" s="662"/>
      <c r="BA71" s="662"/>
      <c r="BB71" s="662"/>
      <c r="BC71" s="662"/>
      <c r="BD71" s="662"/>
      <c r="BE71" s="662"/>
      <c r="BF71" s="662"/>
      <c r="BG71" s="662"/>
      <c r="BH71" s="662"/>
      <c r="BI71" s="662"/>
      <c r="BJ71" s="662"/>
      <c r="BK71" s="662"/>
      <c r="BL71" s="662"/>
    </row>
    <row r="72" spans="7:64" x14ac:dyDescent="0.25">
      <c r="G72" s="742"/>
      <c r="H72" s="742"/>
      <c r="I72" s="742"/>
      <c r="J72" s="742"/>
      <c r="K72" s="742"/>
      <c r="L72" s="742"/>
      <c r="M72" s="742"/>
      <c r="N72" s="742"/>
      <c r="O72" s="742"/>
      <c r="P72" s="742"/>
      <c r="Q72" s="742"/>
      <c r="R72" s="742"/>
      <c r="S72" s="742"/>
      <c r="T72" s="742"/>
      <c r="U72" s="742"/>
      <c r="V72" s="742"/>
      <c r="W72" s="742"/>
      <c r="X72" s="742"/>
      <c r="Y72" s="742"/>
      <c r="Z72" s="742"/>
      <c r="AA72" s="742"/>
      <c r="AB72" s="742"/>
      <c r="AC72" s="742"/>
      <c r="AD72" s="742"/>
      <c r="AE72" s="742"/>
      <c r="AF72" s="742"/>
      <c r="AG72" s="742"/>
      <c r="AH72" s="662"/>
      <c r="AI72" s="662"/>
      <c r="AJ72" s="662"/>
      <c r="AK72" s="662"/>
      <c r="AL72" s="662"/>
      <c r="AM72" s="662"/>
      <c r="AN72" s="662"/>
      <c r="AO72" s="662"/>
      <c r="AP72" s="662"/>
      <c r="AQ72" s="662"/>
      <c r="AR72" s="662"/>
      <c r="AS72" s="662"/>
      <c r="AT72" s="662"/>
      <c r="AU72" s="662"/>
      <c r="AV72" s="662"/>
      <c r="AW72" s="662"/>
      <c r="AX72" s="662"/>
      <c r="AY72" s="662"/>
      <c r="AZ72" s="662"/>
      <c r="BA72" s="662"/>
      <c r="BB72" s="662"/>
      <c r="BC72" s="662"/>
      <c r="BD72" s="662"/>
      <c r="BE72" s="662"/>
      <c r="BF72" s="662"/>
      <c r="BG72" s="662"/>
      <c r="BH72" s="662"/>
      <c r="BI72" s="662"/>
      <c r="BJ72" s="662"/>
      <c r="BK72" s="662"/>
      <c r="BL72" s="662"/>
    </row>
    <row r="73" spans="7:64" x14ac:dyDescent="0.25">
      <c r="G73" s="742"/>
      <c r="H73" s="742"/>
      <c r="I73" s="742"/>
      <c r="J73" s="742"/>
      <c r="K73" s="742"/>
      <c r="L73" s="742"/>
      <c r="M73" s="742"/>
      <c r="N73" s="742"/>
      <c r="O73" s="742"/>
      <c r="P73" s="742"/>
      <c r="Q73" s="742"/>
      <c r="R73" s="742"/>
      <c r="S73" s="742"/>
      <c r="T73" s="742"/>
      <c r="U73" s="742"/>
      <c r="V73" s="742"/>
      <c r="W73" s="742"/>
      <c r="X73" s="742"/>
      <c r="Y73" s="742"/>
      <c r="Z73" s="742"/>
      <c r="AA73" s="742"/>
      <c r="AB73" s="742"/>
      <c r="AC73" s="742"/>
      <c r="AD73" s="742"/>
      <c r="AE73" s="742"/>
      <c r="AF73" s="742"/>
      <c r="AG73" s="742"/>
      <c r="AH73" s="662"/>
      <c r="AI73" s="662"/>
      <c r="AJ73" s="662"/>
      <c r="AK73" s="662"/>
      <c r="AL73" s="662"/>
      <c r="AM73" s="662"/>
      <c r="AN73" s="662"/>
      <c r="AO73" s="662"/>
      <c r="AP73" s="662"/>
      <c r="AQ73" s="662"/>
      <c r="AR73" s="662"/>
      <c r="AS73" s="662"/>
      <c r="AT73" s="662"/>
      <c r="AU73" s="662"/>
      <c r="AV73" s="662"/>
      <c r="AW73" s="662"/>
      <c r="AX73" s="662"/>
      <c r="AY73" s="662"/>
      <c r="AZ73" s="662"/>
      <c r="BA73" s="662"/>
      <c r="BB73" s="662"/>
      <c r="BC73" s="662"/>
      <c r="BD73" s="662"/>
      <c r="BE73" s="662"/>
      <c r="BF73" s="662"/>
      <c r="BG73" s="662"/>
      <c r="BH73" s="662"/>
      <c r="BI73" s="662"/>
      <c r="BJ73" s="662"/>
      <c r="BK73" s="662"/>
      <c r="BL73" s="662"/>
    </row>
    <row r="74" spans="7:64" x14ac:dyDescent="0.25">
      <c r="G74" s="742"/>
      <c r="H74" s="742"/>
      <c r="I74" s="742"/>
      <c r="J74" s="742"/>
      <c r="K74" s="742"/>
      <c r="L74" s="742"/>
      <c r="M74" s="742"/>
      <c r="N74" s="742"/>
      <c r="O74" s="742"/>
      <c r="P74" s="742"/>
      <c r="Q74" s="742"/>
      <c r="R74" s="742"/>
      <c r="S74" s="742"/>
      <c r="T74" s="742"/>
      <c r="U74" s="742"/>
      <c r="V74" s="742"/>
      <c r="W74" s="742"/>
      <c r="X74" s="742"/>
      <c r="Y74" s="742"/>
      <c r="Z74" s="742"/>
      <c r="AA74" s="742"/>
      <c r="AB74" s="742"/>
      <c r="AC74" s="742"/>
      <c r="AD74" s="742"/>
      <c r="AE74" s="742"/>
      <c r="AF74" s="742"/>
      <c r="AG74" s="742"/>
      <c r="AH74" s="662"/>
      <c r="AI74" s="662"/>
      <c r="AJ74" s="662"/>
      <c r="AK74" s="662"/>
      <c r="AL74" s="662"/>
      <c r="AM74" s="662"/>
      <c r="AN74" s="662"/>
      <c r="AO74" s="662"/>
      <c r="AP74" s="662"/>
      <c r="AQ74" s="662"/>
      <c r="AR74" s="662"/>
      <c r="AS74" s="662"/>
      <c r="AT74" s="662"/>
      <c r="AU74" s="662"/>
      <c r="AV74" s="662"/>
      <c r="AW74" s="662"/>
      <c r="AX74" s="662"/>
      <c r="AY74" s="662"/>
      <c r="AZ74" s="662"/>
      <c r="BA74" s="662"/>
      <c r="BB74" s="662"/>
      <c r="BC74" s="662"/>
      <c r="BD74" s="662"/>
      <c r="BE74" s="662"/>
      <c r="BF74" s="662"/>
      <c r="BG74" s="662"/>
      <c r="BH74" s="662"/>
      <c r="BI74" s="662"/>
      <c r="BJ74" s="662"/>
      <c r="BK74" s="662"/>
      <c r="BL74" s="662"/>
    </row>
    <row r="75" spans="7:64" x14ac:dyDescent="0.25">
      <c r="G75" s="742"/>
      <c r="H75" s="742"/>
      <c r="I75" s="742"/>
      <c r="J75" s="742"/>
      <c r="K75" s="742"/>
      <c r="L75" s="742"/>
      <c r="M75" s="742"/>
      <c r="N75" s="742"/>
      <c r="O75" s="742"/>
      <c r="P75" s="742"/>
      <c r="Q75" s="742"/>
      <c r="R75" s="742"/>
      <c r="S75" s="742"/>
      <c r="T75" s="742"/>
      <c r="U75" s="742"/>
      <c r="V75" s="742"/>
      <c r="W75" s="742"/>
      <c r="X75" s="742"/>
      <c r="Y75" s="742"/>
      <c r="Z75" s="742"/>
      <c r="AA75" s="742"/>
      <c r="AB75" s="742"/>
      <c r="AC75" s="742"/>
      <c r="AD75" s="742"/>
      <c r="AE75" s="742"/>
      <c r="AF75" s="742"/>
      <c r="AG75" s="742"/>
      <c r="AH75" s="662"/>
      <c r="AI75" s="662"/>
      <c r="AJ75" s="662"/>
      <c r="AK75" s="662"/>
      <c r="AL75" s="662"/>
      <c r="AM75" s="662"/>
      <c r="AN75" s="662"/>
      <c r="AO75" s="662"/>
      <c r="AP75" s="662"/>
      <c r="AQ75" s="662"/>
      <c r="AR75" s="662"/>
      <c r="AS75" s="662"/>
      <c r="AT75" s="662"/>
      <c r="AU75" s="662"/>
      <c r="AV75" s="662"/>
      <c r="AW75" s="662"/>
      <c r="AX75" s="662"/>
      <c r="AY75" s="662"/>
      <c r="AZ75" s="662"/>
      <c r="BA75" s="662"/>
      <c r="BB75" s="662"/>
      <c r="BC75" s="662"/>
      <c r="BD75" s="662"/>
      <c r="BE75" s="662"/>
      <c r="BF75" s="662"/>
      <c r="BG75" s="662"/>
      <c r="BH75" s="662"/>
      <c r="BI75" s="662"/>
      <c r="BJ75" s="662"/>
      <c r="BK75" s="662"/>
      <c r="BL75" s="662"/>
    </row>
    <row r="76" spans="7:64" x14ac:dyDescent="0.25">
      <c r="G76" s="742"/>
      <c r="H76" s="742"/>
      <c r="I76" s="742"/>
      <c r="J76" s="742"/>
      <c r="K76" s="742"/>
      <c r="L76" s="742"/>
      <c r="M76" s="742"/>
      <c r="N76" s="742"/>
      <c r="O76" s="742"/>
      <c r="P76" s="742"/>
      <c r="Q76" s="742"/>
      <c r="R76" s="742"/>
      <c r="S76" s="742"/>
      <c r="T76" s="742"/>
      <c r="U76" s="742"/>
      <c r="V76" s="742"/>
      <c r="W76" s="742"/>
      <c r="X76" s="742"/>
      <c r="Y76" s="742"/>
      <c r="Z76" s="742"/>
      <c r="AA76" s="742"/>
      <c r="AB76" s="742"/>
      <c r="AC76" s="742"/>
      <c r="AD76" s="742"/>
      <c r="AE76" s="742"/>
      <c r="AF76" s="742"/>
      <c r="AG76" s="742"/>
      <c r="AH76" s="662"/>
      <c r="AI76" s="662"/>
      <c r="AJ76" s="662"/>
      <c r="AK76" s="662"/>
      <c r="AL76" s="662"/>
      <c r="AM76" s="662"/>
      <c r="AN76" s="662"/>
      <c r="AO76" s="662"/>
      <c r="AP76" s="662"/>
      <c r="AQ76" s="662"/>
      <c r="AR76" s="662"/>
      <c r="AS76" s="662"/>
      <c r="AT76" s="662"/>
      <c r="AU76" s="662"/>
      <c r="AV76" s="662"/>
      <c r="AW76" s="662"/>
      <c r="AX76" s="662"/>
      <c r="AY76" s="662"/>
      <c r="AZ76" s="662"/>
      <c r="BA76" s="662"/>
      <c r="BB76" s="662"/>
      <c r="BC76" s="662"/>
      <c r="BD76" s="662"/>
      <c r="BE76" s="662"/>
      <c r="BF76" s="662"/>
      <c r="BG76" s="662"/>
      <c r="BH76" s="662"/>
      <c r="BI76" s="662"/>
      <c r="BJ76" s="662"/>
      <c r="BK76" s="662"/>
      <c r="BL76" s="662"/>
    </row>
    <row r="77" spans="7:64" x14ac:dyDescent="0.25">
      <c r="G77" s="742"/>
      <c r="H77" s="742"/>
      <c r="I77" s="742"/>
      <c r="J77" s="742"/>
      <c r="K77" s="742"/>
      <c r="L77" s="742"/>
      <c r="M77" s="742"/>
      <c r="N77" s="742"/>
      <c r="O77" s="742"/>
      <c r="P77" s="742"/>
      <c r="Q77" s="742"/>
      <c r="R77" s="742"/>
      <c r="S77" s="742"/>
      <c r="T77" s="742"/>
      <c r="U77" s="742"/>
      <c r="V77" s="742"/>
      <c r="W77" s="742"/>
      <c r="X77" s="742"/>
      <c r="Y77" s="742"/>
      <c r="Z77" s="742"/>
      <c r="AA77" s="742"/>
      <c r="AB77" s="742"/>
      <c r="AC77" s="742"/>
      <c r="AD77" s="742"/>
      <c r="AE77" s="742"/>
      <c r="AF77" s="742"/>
      <c r="AG77" s="742"/>
      <c r="AH77" s="662"/>
      <c r="AI77" s="662"/>
      <c r="AJ77" s="662"/>
      <c r="AK77" s="662"/>
      <c r="AL77" s="662"/>
      <c r="AM77" s="662"/>
      <c r="AN77" s="662"/>
      <c r="AO77" s="662"/>
      <c r="AP77" s="662"/>
      <c r="AQ77" s="662"/>
      <c r="AR77" s="662"/>
      <c r="AS77" s="662"/>
      <c r="AT77" s="662"/>
      <c r="AU77" s="662"/>
      <c r="AV77" s="662"/>
      <c r="AW77" s="662"/>
      <c r="AX77" s="662"/>
      <c r="AY77" s="662"/>
      <c r="AZ77" s="662"/>
      <c r="BA77" s="662"/>
      <c r="BB77" s="662"/>
      <c r="BC77" s="662"/>
      <c r="BD77" s="662"/>
      <c r="BE77" s="662"/>
      <c r="BF77" s="662"/>
      <c r="BG77" s="662"/>
      <c r="BH77" s="662"/>
      <c r="BI77" s="662"/>
      <c r="BJ77" s="662"/>
      <c r="BK77" s="662"/>
      <c r="BL77" s="662"/>
    </row>
    <row r="78" spans="7:64" x14ac:dyDescent="0.25">
      <c r="G78" s="742"/>
      <c r="H78" s="742"/>
      <c r="I78" s="742"/>
      <c r="J78" s="742"/>
      <c r="K78" s="742"/>
      <c r="L78" s="742"/>
      <c r="M78" s="742"/>
      <c r="N78" s="742"/>
      <c r="O78" s="742"/>
      <c r="P78" s="742"/>
      <c r="Q78" s="742"/>
      <c r="R78" s="742"/>
      <c r="S78" s="742"/>
      <c r="T78" s="742"/>
      <c r="U78" s="742"/>
      <c r="V78" s="742"/>
      <c r="W78" s="742"/>
      <c r="X78" s="742"/>
      <c r="Y78" s="742"/>
      <c r="Z78" s="742"/>
      <c r="AA78" s="742"/>
      <c r="AB78" s="742"/>
      <c r="AC78" s="742"/>
      <c r="AD78" s="742"/>
      <c r="AE78" s="742"/>
      <c r="AF78" s="742"/>
      <c r="AG78" s="742"/>
      <c r="AH78" s="662"/>
      <c r="AI78" s="662"/>
      <c r="AJ78" s="662"/>
      <c r="AK78" s="662"/>
      <c r="AL78" s="662"/>
      <c r="AM78" s="662"/>
      <c r="AN78" s="662"/>
      <c r="AO78" s="662"/>
      <c r="AP78" s="662"/>
      <c r="AQ78" s="662"/>
      <c r="AR78" s="662"/>
      <c r="AS78" s="662"/>
      <c r="AT78" s="662"/>
      <c r="AU78" s="662"/>
      <c r="AV78" s="662"/>
      <c r="AW78" s="662"/>
      <c r="AX78" s="662"/>
      <c r="AY78" s="662"/>
      <c r="AZ78" s="662"/>
      <c r="BA78" s="662"/>
      <c r="BB78" s="662"/>
      <c r="BC78" s="662"/>
      <c r="BD78" s="662"/>
      <c r="BE78" s="662"/>
      <c r="BF78" s="662"/>
      <c r="BG78" s="662"/>
      <c r="BH78" s="662"/>
      <c r="BI78" s="662"/>
      <c r="BJ78" s="662"/>
      <c r="BK78" s="662"/>
      <c r="BL78" s="662"/>
    </row>
    <row r="79" spans="7:64" x14ac:dyDescent="0.25">
      <c r="G79" s="742"/>
      <c r="H79" s="742"/>
      <c r="I79" s="742"/>
      <c r="J79" s="742"/>
      <c r="K79" s="742"/>
      <c r="L79" s="742"/>
      <c r="M79" s="742"/>
      <c r="N79" s="742"/>
      <c r="O79" s="742"/>
      <c r="P79" s="742"/>
      <c r="Q79" s="742"/>
      <c r="R79" s="742"/>
      <c r="S79" s="742"/>
      <c r="T79" s="742"/>
      <c r="U79" s="742"/>
      <c r="V79" s="742"/>
      <c r="W79" s="742"/>
      <c r="X79" s="742"/>
      <c r="Y79" s="742"/>
      <c r="Z79" s="742"/>
      <c r="AA79" s="742"/>
      <c r="AB79" s="742"/>
      <c r="AC79" s="742"/>
      <c r="AD79" s="742"/>
      <c r="AE79" s="742"/>
      <c r="AF79" s="742"/>
      <c r="AG79" s="742"/>
      <c r="AH79" s="662"/>
      <c r="AI79" s="662"/>
      <c r="AJ79" s="662"/>
      <c r="AK79" s="662"/>
      <c r="AL79" s="662"/>
      <c r="AM79" s="662"/>
      <c r="AN79" s="662"/>
      <c r="AO79" s="662"/>
      <c r="AP79" s="662"/>
      <c r="AQ79" s="662"/>
      <c r="AR79" s="662"/>
      <c r="AS79" s="662"/>
      <c r="AT79" s="662"/>
      <c r="AU79" s="662"/>
      <c r="AV79" s="662"/>
      <c r="AW79" s="662"/>
      <c r="AX79" s="662"/>
      <c r="AY79" s="662"/>
      <c r="AZ79" s="662"/>
      <c r="BA79" s="662"/>
      <c r="BB79" s="662"/>
      <c r="BC79" s="662"/>
      <c r="BD79" s="662"/>
      <c r="BE79" s="662"/>
      <c r="BF79" s="662"/>
      <c r="BG79" s="662"/>
      <c r="BH79" s="662"/>
      <c r="BI79" s="662"/>
      <c r="BJ79" s="662"/>
      <c r="BK79" s="662"/>
      <c r="BL79" s="662"/>
    </row>
    <row r="80" spans="7:64" x14ac:dyDescent="0.25">
      <c r="G80" s="742"/>
      <c r="H80" s="742"/>
      <c r="I80" s="742"/>
      <c r="J80" s="742"/>
      <c r="K80" s="742"/>
      <c r="L80" s="742"/>
      <c r="M80" s="742"/>
      <c r="N80" s="742"/>
      <c r="O80" s="742"/>
      <c r="P80" s="742"/>
      <c r="Q80" s="742"/>
      <c r="R80" s="742"/>
      <c r="S80" s="742"/>
      <c r="T80" s="742"/>
      <c r="U80" s="742"/>
      <c r="V80" s="742"/>
      <c r="W80" s="742"/>
      <c r="X80" s="742"/>
      <c r="Y80" s="742"/>
      <c r="Z80" s="742"/>
      <c r="AA80" s="742"/>
      <c r="AB80" s="742"/>
      <c r="AC80" s="742"/>
      <c r="AD80" s="742"/>
      <c r="AE80" s="742"/>
      <c r="AF80" s="742"/>
      <c r="AG80" s="742"/>
      <c r="AH80" s="662"/>
      <c r="AI80" s="662"/>
      <c r="AJ80" s="662"/>
      <c r="AK80" s="662"/>
      <c r="AL80" s="662"/>
      <c r="AM80" s="662"/>
      <c r="AN80" s="662"/>
      <c r="AO80" s="662"/>
      <c r="AP80" s="662"/>
      <c r="AQ80" s="662"/>
      <c r="AR80" s="662"/>
      <c r="AS80" s="662"/>
      <c r="AT80" s="662"/>
      <c r="AU80" s="662"/>
      <c r="AV80" s="662"/>
      <c r="AW80" s="662"/>
      <c r="AX80" s="662"/>
      <c r="AY80" s="662"/>
      <c r="AZ80" s="662"/>
      <c r="BA80" s="662"/>
      <c r="BB80" s="662"/>
      <c r="BC80" s="662"/>
      <c r="BD80" s="662"/>
      <c r="BE80" s="662"/>
      <c r="BF80" s="662"/>
      <c r="BG80" s="662"/>
      <c r="BH80" s="662"/>
      <c r="BI80" s="662"/>
      <c r="BJ80" s="662"/>
      <c r="BK80" s="662"/>
      <c r="BL80" s="662"/>
    </row>
    <row r="81" spans="7:64" x14ac:dyDescent="0.25">
      <c r="G81" s="742"/>
      <c r="H81" s="742"/>
      <c r="I81" s="742"/>
      <c r="J81" s="742"/>
      <c r="K81" s="742"/>
      <c r="L81" s="742"/>
      <c r="M81" s="742"/>
      <c r="N81" s="742"/>
      <c r="O81" s="742"/>
      <c r="P81" s="742"/>
      <c r="Q81" s="742"/>
      <c r="R81" s="742"/>
      <c r="S81" s="742"/>
      <c r="T81" s="742"/>
      <c r="U81" s="742"/>
      <c r="V81" s="742"/>
      <c r="W81" s="742"/>
      <c r="X81" s="742"/>
      <c r="Y81" s="742"/>
      <c r="Z81" s="742"/>
      <c r="AA81" s="742"/>
      <c r="AB81" s="742"/>
      <c r="AC81" s="742"/>
      <c r="AD81" s="742"/>
      <c r="AE81" s="742"/>
      <c r="AF81" s="742"/>
      <c r="AG81" s="742"/>
      <c r="AH81" s="662"/>
      <c r="AI81" s="662"/>
      <c r="AJ81" s="662"/>
      <c r="AK81" s="662"/>
      <c r="AL81" s="662"/>
      <c r="AM81" s="662"/>
      <c r="AN81" s="662"/>
      <c r="AO81" s="662"/>
      <c r="AP81" s="662"/>
      <c r="AQ81" s="662"/>
      <c r="AR81" s="662"/>
      <c r="AS81" s="662"/>
      <c r="AT81" s="662"/>
      <c r="AU81" s="662"/>
      <c r="AV81" s="662"/>
      <c r="AW81" s="662"/>
      <c r="AX81" s="662"/>
      <c r="AY81" s="662"/>
      <c r="AZ81" s="662"/>
      <c r="BA81" s="662"/>
      <c r="BB81" s="662"/>
      <c r="BC81" s="662"/>
      <c r="BD81" s="662"/>
      <c r="BE81" s="662"/>
      <c r="BF81" s="662"/>
      <c r="BG81" s="662"/>
      <c r="BH81" s="662"/>
      <c r="BI81" s="662"/>
      <c r="BJ81" s="662"/>
      <c r="BK81" s="662"/>
      <c r="BL81" s="662"/>
    </row>
    <row r="82" spans="7:64" x14ac:dyDescent="0.25">
      <c r="G82" s="742"/>
      <c r="H82" s="742"/>
      <c r="I82" s="742"/>
      <c r="J82" s="742"/>
      <c r="K82" s="742"/>
      <c r="L82" s="742"/>
      <c r="M82" s="742"/>
      <c r="N82" s="742"/>
      <c r="O82" s="742"/>
      <c r="P82" s="742"/>
      <c r="Q82" s="742"/>
      <c r="R82" s="742"/>
      <c r="S82" s="742"/>
      <c r="T82" s="742"/>
      <c r="U82" s="742"/>
      <c r="V82" s="742"/>
      <c r="W82" s="742"/>
      <c r="X82" s="742"/>
      <c r="Y82" s="742"/>
      <c r="Z82" s="742"/>
      <c r="AA82" s="742"/>
      <c r="AB82" s="742"/>
      <c r="AC82" s="742"/>
      <c r="AD82" s="742"/>
      <c r="AE82" s="742"/>
      <c r="AF82" s="742"/>
      <c r="AG82" s="742"/>
      <c r="AH82" s="662"/>
      <c r="AI82" s="662"/>
      <c r="AJ82" s="662"/>
      <c r="AK82" s="662"/>
      <c r="AL82" s="662"/>
      <c r="AM82" s="662"/>
      <c r="AN82" s="662"/>
      <c r="AO82" s="662"/>
      <c r="AP82" s="662"/>
      <c r="AQ82" s="662"/>
      <c r="AR82" s="662"/>
      <c r="AS82" s="662"/>
      <c r="AT82" s="662"/>
      <c r="AU82" s="662"/>
      <c r="AV82" s="662"/>
      <c r="AW82" s="662"/>
      <c r="AX82" s="662"/>
      <c r="AY82" s="662"/>
      <c r="AZ82" s="662"/>
      <c r="BA82" s="662"/>
      <c r="BB82" s="662"/>
      <c r="BC82" s="662"/>
      <c r="BD82" s="662"/>
      <c r="BE82" s="662"/>
      <c r="BF82" s="662"/>
      <c r="BG82" s="662"/>
      <c r="BH82" s="662"/>
      <c r="BI82" s="662"/>
      <c r="BJ82" s="662"/>
      <c r="BK82" s="662"/>
      <c r="BL82" s="662"/>
    </row>
    <row r="83" spans="7:64" x14ac:dyDescent="0.25">
      <c r="G83" s="742"/>
      <c r="H83" s="742"/>
      <c r="I83" s="742"/>
      <c r="J83" s="742"/>
      <c r="K83" s="742"/>
      <c r="L83" s="742"/>
      <c r="M83" s="742"/>
      <c r="N83" s="742"/>
      <c r="O83" s="742"/>
      <c r="P83" s="742"/>
      <c r="Q83" s="742"/>
      <c r="R83" s="742"/>
      <c r="S83" s="742"/>
      <c r="T83" s="742"/>
      <c r="U83" s="742"/>
      <c r="V83" s="742"/>
      <c r="W83" s="742"/>
      <c r="X83" s="742"/>
      <c r="Y83" s="742"/>
      <c r="Z83" s="742"/>
      <c r="AA83" s="742"/>
      <c r="AB83" s="742"/>
      <c r="AC83" s="742"/>
      <c r="AD83" s="742"/>
      <c r="AE83" s="742"/>
      <c r="AF83" s="742"/>
      <c r="AG83" s="742"/>
      <c r="AH83" s="662"/>
      <c r="AI83" s="662"/>
      <c r="AJ83" s="662"/>
      <c r="AK83" s="662"/>
      <c r="AL83" s="662"/>
      <c r="AM83" s="662"/>
      <c r="AN83" s="662"/>
      <c r="AO83" s="662"/>
      <c r="AP83" s="662"/>
      <c r="AQ83" s="662"/>
      <c r="AR83" s="662"/>
      <c r="AS83" s="662"/>
      <c r="AT83" s="662"/>
      <c r="AU83" s="662"/>
      <c r="AV83" s="662"/>
      <c r="AW83" s="662"/>
      <c r="AX83" s="662"/>
      <c r="AY83" s="662"/>
      <c r="AZ83" s="662"/>
      <c r="BA83" s="662"/>
      <c r="BB83" s="662"/>
      <c r="BC83" s="662"/>
      <c r="BD83" s="662"/>
      <c r="BE83" s="662"/>
      <c r="BF83" s="662"/>
      <c r="BG83" s="662"/>
      <c r="BH83" s="662"/>
      <c r="BI83" s="662"/>
      <c r="BJ83" s="662"/>
      <c r="BK83" s="662"/>
      <c r="BL83" s="662"/>
    </row>
    <row r="84" spans="7:64" x14ac:dyDescent="0.25">
      <c r="G84" s="742"/>
      <c r="H84" s="742"/>
      <c r="I84" s="742"/>
      <c r="J84" s="742"/>
      <c r="K84" s="742"/>
      <c r="L84" s="742"/>
      <c r="M84" s="742"/>
      <c r="N84" s="742"/>
      <c r="O84" s="742"/>
      <c r="P84" s="742"/>
      <c r="Q84" s="742"/>
      <c r="R84" s="742"/>
      <c r="S84" s="742"/>
      <c r="T84" s="742"/>
      <c r="U84" s="742"/>
      <c r="V84" s="742"/>
      <c r="W84" s="742"/>
      <c r="X84" s="742"/>
      <c r="Y84" s="742"/>
      <c r="Z84" s="742"/>
      <c r="AA84" s="742"/>
      <c r="AB84" s="742"/>
      <c r="AC84" s="742"/>
      <c r="AD84" s="742"/>
      <c r="AE84" s="742"/>
      <c r="AF84" s="742"/>
      <c r="AG84" s="742"/>
      <c r="AH84" s="662"/>
      <c r="AI84" s="662"/>
      <c r="AJ84" s="662"/>
      <c r="AK84" s="662"/>
      <c r="AL84" s="662"/>
      <c r="AM84" s="662"/>
      <c r="AN84" s="662"/>
      <c r="AO84" s="662"/>
      <c r="AP84" s="662"/>
      <c r="AQ84" s="662"/>
      <c r="AR84" s="662"/>
      <c r="AS84" s="662"/>
      <c r="AT84" s="662"/>
      <c r="AU84" s="662"/>
      <c r="AV84" s="662"/>
      <c r="AW84" s="662"/>
      <c r="AX84" s="662"/>
      <c r="AY84" s="662"/>
      <c r="AZ84" s="662"/>
      <c r="BA84" s="662"/>
      <c r="BB84" s="662"/>
      <c r="BC84" s="662"/>
      <c r="BD84" s="662"/>
      <c r="BE84" s="662"/>
      <c r="BF84" s="662"/>
      <c r="BG84" s="662"/>
      <c r="BH84" s="662"/>
      <c r="BI84" s="662"/>
      <c r="BJ84" s="662"/>
      <c r="BK84" s="662"/>
      <c r="BL84" s="662"/>
    </row>
    <row r="85" spans="7:64" x14ac:dyDescent="0.25">
      <c r="G85" s="742"/>
      <c r="H85" s="742"/>
      <c r="I85" s="742"/>
      <c r="J85" s="742"/>
      <c r="K85" s="742"/>
      <c r="L85" s="742"/>
      <c r="M85" s="742"/>
      <c r="N85" s="742"/>
      <c r="O85" s="742"/>
      <c r="P85" s="742"/>
      <c r="Q85" s="742"/>
      <c r="R85" s="742"/>
      <c r="S85" s="742"/>
      <c r="T85" s="742"/>
      <c r="U85" s="742"/>
      <c r="V85" s="742"/>
      <c r="W85" s="742"/>
      <c r="X85" s="742"/>
      <c r="Y85" s="742"/>
      <c r="Z85" s="742"/>
      <c r="AA85" s="742"/>
      <c r="AB85" s="742"/>
      <c r="AC85" s="742"/>
      <c r="AD85" s="742"/>
      <c r="AE85" s="742"/>
      <c r="AF85" s="742"/>
      <c r="AG85" s="742"/>
      <c r="AH85" s="662"/>
      <c r="AI85" s="662"/>
      <c r="AJ85" s="662"/>
      <c r="AK85" s="662"/>
      <c r="AL85" s="662"/>
      <c r="AM85" s="662"/>
      <c r="AN85" s="662"/>
      <c r="AO85" s="662"/>
      <c r="AP85" s="662"/>
      <c r="AQ85" s="662"/>
      <c r="AR85" s="662"/>
      <c r="AS85" s="662"/>
      <c r="AT85" s="662"/>
      <c r="AU85" s="662"/>
      <c r="AV85" s="662"/>
      <c r="AW85" s="662"/>
      <c r="AX85" s="662"/>
      <c r="AY85" s="662"/>
      <c r="AZ85" s="662"/>
      <c r="BA85" s="662"/>
      <c r="BB85" s="662"/>
      <c r="BC85" s="662"/>
      <c r="BD85" s="662"/>
      <c r="BE85" s="662"/>
      <c r="BF85" s="662"/>
      <c r="BG85" s="662"/>
      <c r="BH85" s="662"/>
      <c r="BI85" s="662"/>
      <c r="BJ85" s="662"/>
      <c r="BK85" s="662"/>
      <c r="BL85" s="662"/>
    </row>
    <row r="86" spans="7:64" x14ac:dyDescent="0.25">
      <c r="G86" s="742"/>
      <c r="H86" s="742"/>
      <c r="I86" s="742"/>
      <c r="J86" s="742"/>
      <c r="K86" s="742"/>
      <c r="L86" s="742"/>
      <c r="M86" s="742"/>
      <c r="N86" s="742"/>
      <c r="O86" s="742"/>
      <c r="P86" s="742"/>
      <c r="Q86" s="742"/>
      <c r="R86" s="742"/>
      <c r="S86" s="742"/>
      <c r="T86" s="742"/>
      <c r="U86" s="742"/>
      <c r="V86" s="742"/>
      <c r="W86" s="742"/>
      <c r="X86" s="742"/>
      <c r="Y86" s="742"/>
      <c r="Z86" s="742"/>
      <c r="AA86" s="742"/>
      <c r="AB86" s="742"/>
      <c r="AC86" s="742"/>
      <c r="AD86" s="742"/>
      <c r="AE86" s="742"/>
      <c r="AF86" s="742"/>
      <c r="AG86" s="742"/>
      <c r="AH86" s="662"/>
      <c r="AI86" s="662"/>
      <c r="AJ86" s="662"/>
      <c r="AK86" s="662"/>
      <c r="AL86" s="662"/>
      <c r="AM86" s="662"/>
      <c r="AN86" s="662"/>
      <c r="AO86" s="662"/>
      <c r="AP86" s="662"/>
      <c r="AQ86" s="662"/>
      <c r="AR86" s="662"/>
      <c r="AS86" s="662"/>
      <c r="AT86" s="662"/>
      <c r="AU86" s="662"/>
      <c r="AV86" s="662"/>
      <c r="AW86" s="662"/>
      <c r="AX86" s="662"/>
      <c r="AY86" s="662"/>
      <c r="AZ86" s="662"/>
      <c r="BA86" s="662"/>
      <c r="BB86" s="662"/>
      <c r="BC86" s="662"/>
      <c r="BD86" s="662"/>
      <c r="BE86" s="662"/>
      <c r="BF86" s="662"/>
      <c r="BG86" s="662"/>
      <c r="BH86" s="662"/>
      <c r="BI86" s="662"/>
      <c r="BJ86" s="662"/>
      <c r="BK86" s="662"/>
      <c r="BL86" s="662"/>
    </row>
    <row r="87" spans="7:64" x14ac:dyDescent="0.25">
      <c r="G87" s="742"/>
      <c r="H87" s="742"/>
      <c r="I87" s="742"/>
      <c r="J87" s="742"/>
      <c r="K87" s="742"/>
      <c r="L87" s="742"/>
      <c r="M87" s="742"/>
      <c r="N87" s="742"/>
      <c r="O87" s="742"/>
      <c r="P87" s="742"/>
      <c r="Q87" s="742"/>
      <c r="R87" s="742"/>
      <c r="S87" s="742"/>
      <c r="T87" s="742"/>
      <c r="U87" s="742"/>
      <c r="V87" s="742"/>
      <c r="W87" s="742"/>
      <c r="X87" s="742"/>
      <c r="Y87" s="742"/>
      <c r="Z87" s="742"/>
      <c r="AA87" s="742"/>
      <c r="AB87" s="742"/>
      <c r="AC87" s="742"/>
      <c r="AD87" s="742"/>
      <c r="AE87" s="742"/>
      <c r="AF87" s="742"/>
      <c r="AG87" s="742"/>
      <c r="AH87" s="662"/>
      <c r="AI87" s="662"/>
      <c r="AJ87" s="662"/>
      <c r="AK87" s="662"/>
      <c r="AL87" s="662"/>
      <c r="AM87" s="662"/>
      <c r="AN87" s="662"/>
      <c r="AO87" s="662"/>
      <c r="AP87" s="662"/>
      <c r="AQ87" s="662"/>
      <c r="AR87" s="662"/>
      <c r="AS87" s="662"/>
      <c r="AT87" s="662"/>
      <c r="AU87" s="662"/>
      <c r="AV87" s="662"/>
      <c r="AW87" s="662"/>
      <c r="AX87" s="662"/>
      <c r="AY87" s="662"/>
      <c r="AZ87" s="662"/>
      <c r="BA87" s="662"/>
      <c r="BB87" s="662"/>
      <c r="BC87" s="662"/>
      <c r="BD87" s="662"/>
      <c r="BE87" s="662"/>
      <c r="BF87" s="662"/>
      <c r="BG87" s="662"/>
      <c r="BH87" s="662"/>
      <c r="BI87" s="662"/>
      <c r="BJ87" s="662"/>
      <c r="BK87" s="662"/>
      <c r="BL87" s="662"/>
    </row>
    <row r="88" spans="7:64" x14ac:dyDescent="0.25">
      <c r="G88" s="742"/>
      <c r="H88" s="742"/>
      <c r="I88" s="742"/>
      <c r="J88" s="742"/>
      <c r="K88" s="742"/>
      <c r="L88" s="742"/>
      <c r="M88" s="742"/>
      <c r="N88" s="742"/>
      <c r="O88" s="742"/>
      <c r="P88" s="742"/>
      <c r="Q88" s="742"/>
      <c r="R88" s="742"/>
      <c r="S88" s="742"/>
      <c r="T88" s="742"/>
      <c r="U88" s="742"/>
      <c r="V88" s="742"/>
      <c r="W88" s="742"/>
      <c r="X88" s="742"/>
      <c r="Y88" s="742"/>
      <c r="Z88" s="742"/>
      <c r="AA88" s="742"/>
      <c r="AB88" s="742"/>
      <c r="AC88" s="742"/>
      <c r="AD88" s="742"/>
      <c r="AE88" s="742"/>
      <c r="AF88" s="742"/>
      <c r="AG88" s="742"/>
      <c r="AH88" s="662"/>
      <c r="AI88" s="662"/>
      <c r="AJ88" s="662"/>
      <c r="AK88" s="662"/>
      <c r="AL88" s="662"/>
      <c r="AM88" s="662"/>
      <c r="AN88" s="662"/>
      <c r="AO88" s="662"/>
      <c r="AP88" s="662"/>
      <c r="AQ88" s="662"/>
      <c r="AR88" s="662"/>
      <c r="AS88" s="662"/>
      <c r="AT88" s="662"/>
      <c r="AU88" s="662"/>
      <c r="AV88" s="662"/>
      <c r="AW88" s="662"/>
      <c r="AX88" s="662"/>
      <c r="AY88" s="662"/>
      <c r="AZ88" s="662"/>
      <c r="BA88" s="662"/>
      <c r="BB88" s="662"/>
      <c r="BC88" s="662"/>
      <c r="BD88" s="662"/>
      <c r="BE88" s="662"/>
      <c r="BF88" s="662"/>
      <c r="BG88" s="662"/>
      <c r="BH88" s="662"/>
      <c r="BI88" s="662"/>
      <c r="BJ88" s="662"/>
      <c r="BK88" s="662"/>
      <c r="BL88" s="662"/>
    </row>
    <row r="89" spans="7:64" x14ac:dyDescent="0.25">
      <c r="G89" s="742"/>
      <c r="H89" s="742"/>
      <c r="I89" s="742"/>
      <c r="J89" s="742"/>
      <c r="K89" s="742"/>
      <c r="L89" s="742"/>
      <c r="M89" s="742"/>
      <c r="N89" s="742"/>
      <c r="O89" s="742"/>
      <c r="P89" s="742"/>
      <c r="Q89" s="742"/>
      <c r="R89" s="742"/>
      <c r="S89" s="742"/>
      <c r="T89" s="742"/>
      <c r="U89" s="742"/>
      <c r="V89" s="742"/>
      <c r="W89" s="742"/>
      <c r="X89" s="742"/>
      <c r="Y89" s="742"/>
      <c r="Z89" s="742"/>
      <c r="AA89" s="742"/>
      <c r="AB89" s="742"/>
      <c r="AC89" s="742"/>
      <c r="AD89" s="742"/>
      <c r="AE89" s="742"/>
      <c r="AF89" s="742"/>
      <c r="AG89" s="742"/>
      <c r="AH89" s="662"/>
      <c r="AI89" s="662"/>
      <c r="AJ89" s="662"/>
      <c r="AK89" s="662"/>
      <c r="AL89" s="662"/>
      <c r="AM89" s="662"/>
      <c r="AN89" s="662"/>
      <c r="AO89" s="662"/>
      <c r="AP89" s="662"/>
      <c r="AQ89" s="662"/>
      <c r="AR89" s="662"/>
      <c r="AS89" s="662"/>
      <c r="AT89" s="662"/>
      <c r="AU89" s="662"/>
      <c r="AV89" s="662"/>
      <c r="AW89" s="662"/>
      <c r="AX89" s="662"/>
      <c r="AY89" s="662"/>
      <c r="AZ89" s="662"/>
      <c r="BA89" s="662"/>
      <c r="BB89" s="662"/>
      <c r="BC89" s="662"/>
      <c r="BD89" s="662"/>
      <c r="BE89" s="662"/>
      <c r="BF89" s="662"/>
      <c r="BG89" s="662"/>
      <c r="BH89" s="662"/>
      <c r="BI89" s="662"/>
      <c r="BJ89" s="662"/>
      <c r="BK89" s="662"/>
      <c r="BL89" s="662"/>
    </row>
    <row r="90" spans="7:64" x14ac:dyDescent="0.25">
      <c r="G90" s="742"/>
      <c r="H90" s="742"/>
      <c r="I90" s="742"/>
      <c r="J90" s="742"/>
      <c r="K90" s="742"/>
      <c r="L90" s="742"/>
      <c r="M90" s="742"/>
      <c r="N90" s="742"/>
      <c r="O90" s="742"/>
      <c r="P90" s="742"/>
      <c r="Q90" s="742"/>
      <c r="R90" s="742"/>
      <c r="S90" s="742"/>
      <c r="T90" s="742"/>
      <c r="U90" s="742"/>
      <c r="V90" s="742"/>
      <c r="W90" s="742"/>
      <c r="X90" s="742"/>
      <c r="Y90" s="742"/>
      <c r="Z90" s="742"/>
      <c r="AA90" s="742"/>
      <c r="AB90" s="742"/>
      <c r="AC90" s="742"/>
      <c r="AD90" s="742"/>
      <c r="AE90" s="742"/>
      <c r="AF90" s="742"/>
      <c r="AG90" s="742"/>
      <c r="AH90" s="662"/>
      <c r="AI90" s="662"/>
      <c r="AJ90" s="662"/>
      <c r="AK90" s="662"/>
      <c r="AL90" s="662"/>
      <c r="AM90" s="662"/>
      <c r="AN90" s="662"/>
      <c r="AO90" s="662"/>
      <c r="AP90" s="662"/>
      <c r="AQ90" s="662"/>
      <c r="AR90" s="662"/>
      <c r="AS90" s="662"/>
      <c r="AT90" s="662"/>
      <c r="AU90" s="662"/>
      <c r="AV90" s="662"/>
      <c r="AW90" s="662"/>
      <c r="AX90" s="662"/>
      <c r="AY90" s="662"/>
      <c r="AZ90" s="662"/>
      <c r="BA90" s="662"/>
      <c r="BB90" s="662"/>
      <c r="BC90" s="662"/>
      <c r="BD90" s="662"/>
      <c r="BE90" s="662"/>
      <c r="BF90" s="662"/>
      <c r="BG90" s="662"/>
      <c r="BH90" s="662"/>
      <c r="BI90" s="662"/>
      <c r="BJ90" s="662"/>
      <c r="BK90" s="662"/>
      <c r="BL90" s="662"/>
    </row>
    <row r="91" spans="7:64" x14ac:dyDescent="0.25">
      <c r="G91" s="742"/>
      <c r="H91" s="742"/>
      <c r="I91" s="742"/>
      <c r="J91" s="742"/>
      <c r="K91" s="742"/>
      <c r="L91" s="742"/>
      <c r="M91" s="742"/>
      <c r="N91" s="742"/>
      <c r="O91" s="742"/>
      <c r="P91" s="742"/>
      <c r="Q91" s="742"/>
      <c r="R91" s="742"/>
      <c r="S91" s="742"/>
      <c r="T91" s="742"/>
      <c r="U91" s="742"/>
      <c r="V91" s="742"/>
      <c r="W91" s="742"/>
      <c r="X91" s="742"/>
      <c r="Y91" s="742"/>
      <c r="Z91" s="742"/>
      <c r="AA91" s="742"/>
      <c r="AB91" s="742"/>
      <c r="AC91" s="742"/>
      <c r="AD91" s="742"/>
      <c r="AE91" s="742"/>
      <c r="AF91" s="742"/>
      <c r="AG91" s="742"/>
      <c r="AH91" s="662"/>
      <c r="AI91" s="662"/>
      <c r="AJ91" s="662"/>
      <c r="AK91" s="662"/>
      <c r="AL91" s="662"/>
      <c r="AM91" s="662"/>
      <c r="AN91" s="662"/>
      <c r="AO91" s="662"/>
      <c r="AP91" s="662"/>
      <c r="AQ91" s="662"/>
      <c r="AR91" s="662"/>
      <c r="AS91" s="662"/>
      <c r="AT91" s="662"/>
      <c r="AU91" s="662"/>
      <c r="AV91" s="662"/>
      <c r="AW91" s="662"/>
      <c r="AX91" s="662"/>
      <c r="AY91" s="662"/>
      <c r="AZ91" s="662"/>
      <c r="BA91" s="662"/>
      <c r="BB91" s="662"/>
      <c r="BC91" s="662"/>
      <c r="BD91" s="662"/>
      <c r="BE91" s="662"/>
      <c r="BF91" s="662"/>
      <c r="BG91" s="662"/>
      <c r="BH91" s="662"/>
      <c r="BI91" s="662"/>
      <c r="BJ91" s="662"/>
      <c r="BK91" s="662"/>
      <c r="BL91" s="662"/>
    </row>
    <row r="92" spans="7:64" x14ac:dyDescent="0.25">
      <c r="G92" s="742"/>
      <c r="H92" s="742"/>
      <c r="I92" s="742"/>
      <c r="J92" s="742"/>
      <c r="K92" s="742"/>
      <c r="L92" s="742"/>
      <c r="M92" s="742"/>
      <c r="N92" s="742"/>
      <c r="O92" s="742"/>
      <c r="P92" s="742"/>
      <c r="Q92" s="742"/>
      <c r="R92" s="742"/>
      <c r="S92" s="742"/>
      <c r="T92" s="742"/>
      <c r="U92" s="742"/>
      <c r="V92" s="742"/>
      <c r="W92" s="742"/>
      <c r="X92" s="742"/>
      <c r="Y92" s="742"/>
      <c r="Z92" s="742"/>
      <c r="AA92" s="742"/>
      <c r="AB92" s="742"/>
      <c r="AC92" s="742"/>
      <c r="AD92" s="742"/>
      <c r="AE92" s="742"/>
      <c r="AF92" s="742"/>
      <c r="AG92" s="742"/>
      <c r="AH92" s="662"/>
      <c r="AI92" s="662"/>
      <c r="AJ92" s="662"/>
      <c r="AK92" s="662"/>
      <c r="AL92" s="662"/>
      <c r="AM92" s="662"/>
      <c r="AN92" s="662"/>
      <c r="AO92" s="662"/>
      <c r="AP92" s="662"/>
      <c r="AQ92" s="662"/>
      <c r="AR92" s="662"/>
      <c r="AS92" s="662"/>
      <c r="AT92" s="662"/>
      <c r="AU92" s="662"/>
      <c r="AV92" s="662"/>
      <c r="AW92" s="662"/>
      <c r="AX92" s="662"/>
      <c r="AY92" s="662"/>
      <c r="AZ92" s="662"/>
      <c r="BA92" s="662"/>
      <c r="BB92" s="662"/>
      <c r="BC92" s="662"/>
      <c r="BD92" s="662"/>
      <c r="BE92" s="662"/>
      <c r="BF92" s="662"/>
      <c r="BG92" s="662"/>
      <c r="BH92" s="662"/>
      <c r="BI92" s="662"/>
      <c r="BJ92" s="662"/>
      <c r="BK92" s="662"/>
      <c r="BL92" s="662"/>
    </row>
    <row r="93" spans="7:64" x14ac:dyDescent="0.25">
      <c r="G93" s="742"/>
      <c r="H93" s="742"/>
      <c r="I93" s="742"/>
      <c r="J93" s="742"/>
      <c r="K93" s="742"/>
      <c r="L93" s="742"/>
      <c r="M93" s="742"/>
      <c r="N93" s="742"/>
      <c r="O93" s="742"/>
      <c r="P93" s="742"/>
      <c r="Q93" s="742"/>
      <c r="R93" s="742"/>
      <c r="S93" s="742"/>
      <c r="T93" s="742"/>
      <c r="U93" s="742"/>
      <c r="V93" s="742"/>
      <c r="W93" s="742"/>
      <c r="X93" s="742"/>
      <c r="Y93" s="742"/>
      <c r="Z93" s="742"/>
      <c r="AA93" s="742"/>
      <c r="AB93" s="742"/>
      <c r="AC93" s="742"/>
      <c r="AD93" s="742"/>
      <c r="AE93" s="742"/>
      <c r="AF93" s="742"/>
      <c r="AG93" s="742"/>
      <c r="AH93" s="662"/>
      <c r="AI93" s="662"/>
      <c r="AJ93" s="662"/>
      <c r="AK93" s="662"/>
      <c r="AL93" s="662"/>
      <c r="AM93" s="662"/>
      <c r="AN93" s="662"/>
      <c r="AO93" s="662"/>
      <c r="AP93" s="662"/>
      <c r="AQ93" s="662"/>
      <c r="AR93" s="662"/>
      <c r="AS93" s="662"/>
      <c r="AT93" s="662"/>
      <c r="AU93" s="662"/>
      <c r="AV93" s="662"/>
      <c r="AW93" s="662"/>
      <c r="AX93" s="662"/>
      <c r="AY93" s="662"/>
      <c r="AZ93" s="662"/>
      <c r="BA93" s="662"/>
      <c r="BB93" s="662"/>
      <c r="BC93" s="662"/>
      <c r="BD93" s="662"/>
      <c r="BE93" s="662"/>
      <c r="BF93" s="662"/>
      <c r="BG93" s="662"/>
      <c r="BH93" s="662"/>
      <c r="BI93" s="662"/>
      <c r="BJ93" s="662"/>
      <c r="BK93" s="662"/>
      <c r="BL93" s="662"/>
    </row>
    <row r="94" spans="7:64" x14ac:dyDescent="0.25">
      <c r="G94" s="742"/>
      <c r="H94" s="742"/>
      <c r="I94" s="742"/>
      <c r="J94" s="742"/>
      <c r="K94" s="742"/>
      <c r="L94" s="742"/>
      <c r="M94" s="742"/>
      <c r="N94" s="742"/>
      <c r="O94" s="742"/>
      <c r="P94" s="742"/>
      <c r="Q94" s="742"/>
      <c r="R94" s="742"/>
      <c r="S94" s="742"/>
      <c r="T94" s="742"/>
      <c r="U94" s="742"/>
      <c r="V94" s="742"/>
      <c r="W94" s="742"/>
      <c r="X94" s="742"/>
      <c r="Y94" s="742"/>
      <c r="Z94" s="742"/>
      <c r="AA94" s="742"/>
      <c r="AB94" s="742"/>
      <c r="AC94" s="742"/>
      <c r="AD94" s="742"/>
      <c r="AE94" s="742"/>
      <c r="AF94" s="742"/>
      <c r="AG94" s="742"/>
      <c r="AH94" s="662"/>
      <c r="AI94" s="662"/>
      <c r="AJ94" s="662"/>
      <c r="AK94" s="662"/>
      <c r="AL94" s="662"/>
      <c r="AM94" s="662"/>
      <c r="AN94" s="662"/>
      <c r="AO94" s="662"/>
      <c r="AP94" s="662"/>
      <c r="AQ94" s="662"/>
      <c r="AR94" s="662"/>
      <c r="AS94" s="662"/>
      <c r="AT94" s="662"/>
      <c r="AU94" s="662"/>
      <c r="AV94" s="662"/>
      <c r="AW94" s="662"/>
      <c r="AX94" s="662"/>
      <c r="AY94" s="662"/>
      <c r="AZ94" s="662"/>
      <c r="BA94" s="662"/>
      <c r="BB94" s="662"/>
      <c r="BC94" s="662"/>
      <c r="BD94" s="662"/>
      <c r="BE94" s="662"/>
      <c r="BF94" s="662"/>
      <c r="BG94" s="662"/>
      <c r="BH94" s="662"/>
      <c r="BI94" s="662"/>
      <c r="BJ94" s="662"/>
      <c r="BK94" s="662"/>
      <c r="BL94" s="662"/>
    </row>
    <row r="95" spans="7:64" x14ac:dyDescent="0.25">
      <c r="G95" s="742"/>
      <c r="H95" s="742"/>
      <c r="I95" s="742"/>
      <c r="J95" s="742"/>
      <c r="K95" s="742"/>
      <c r="L95" s="742"/>
      <c r="M95" s="742"/>
      <c r="N95" s="742"/>
      <c r="O95" s="742"/>
      <c r="P95" s="742"/>
      <c r="Q95" s="742"/>
      <c r="R95" s="742"/>
      <c r="S95" s="742"/>
      <c r="T95" s="742"/>
      <c r="U95" s="742"/>
      <c r="V95" s="742"/>
      <c r="W95" s="742"/>
      <c r="X95" s="742"/>
      <c r="Y95" s="742"/>
      <c r="Z95" s="742"/>
      <c r="AA95" s="742"/>
      <c r="AB95" s="742"/>
      <c r="AC95" s="742"/>
      <c r="AD95" s="742"/>
      <c r="AE95" s="742"/>
      <c r="AF95" s="742"/>
      <c r="AG95" s="742"/>
      <c r="AH95" s="662"/>
      <c r="AI95" s="662"/>
      <c r="AJ95" s="662"/>
      <c r="AK95" s="662"/>
      <c r="AL95" s="662"/>
      <c r="AM95" s="662"/>
      <c r="AN95" s="662"/>
      <c r="AO95" s="662"/>
      <c r="AP95" s="662"/>
      <c r="AQ95" s="662"/>
      <c r="AR95" s="662"/>
      <c r="AS95" s="662"/>
      <c r="AT95" s="662"/>
      <c r="AU95" s="662"/>
      <c r="AV95" s="662"/>
      <c r="AW95" s="662"/>
      <c r="AX95" s="662"/>
      <c r="AY95" s="662"/>
      <c r="AZ95" s="662"/>
      <c r="BA95" s="662"/>
      <c r="BB95" s="662"/>
      <c r="BC95" s="662"/>
      <c r="BD95" s="662"/>
      <c r="BE95" s="662"/>
      <c r="BF95" s="662"/>
      <c r="BG95" s="662"/>
      <c r="BH95" s="662"/>
      <c r="BI95" s="662"/>
      <c r="BJ95" s="662"/>
      <c r="BK95" s="662"/>
      <c r="BL95" s="662"/>
    </row>
    <row r="96" spans="7:64" x14ac:dyDescent="0.25">
      <c r="G96" s="742"/>
      <c r="H96" s="742"/>
      <c r="I96" s="742"/>
      <c r="J96" s="742"/>
      <c r="K96" s="742"/>
      <c r="L96" s="742"/>
      <c r="M96" s="742"/>
      <c r="N96" s="742"/>
      <c r="O96" s="742"/>
      <c r="P96" s="742"/>
      <c r="Q96" s="742"/>
      <c r="R96" s="742"/>
      <c r="S96" s="742"/>
      <c r="T96" s="742"/>
      <c r="U96" s="742"/>
      <c r="V96" s="742"/>
      <c r="W96" s="742"/>
      <c r="X96" s="742"/>
      <c r="Y96" s="742"/>
      <c r="Z96" s="742"/>
      <c r="AA96" s="742"/>
      <c r="AB96" s="742"/>
      <c r="AC96" s="742"/>
      <c r="AD96" s="742"/>
      <c r="AE96" s="742"/>
      <c r="AF96" s="742"/>
      <c r="AG96" s="742"/>
      <c r="AH96" s="662"/>
      <c r="AI96" s="662"/>
      <c r="AJ96" s="662"/>
      <c r="AK96" s="662"/>
      <c r="AL96" s="662"/>
      <c r="AM96" s="662"/>
      <c r="AN96" s="662"/>
      <c r="AO96" s="662"/>
      <c r="AP96" s="662"/>
      <c r="AQ96" s="662"/>
      <c r="AR96" s="662"/>
      <c r="AS96" s="662"/>
      <c r="AT96" s="662"/>
      <c r="AU96" s="662"/>
      <c r="AV96" s="662"/>
      <c r="AW96" s="662"/>
      <c r="AX96" s="662"/>
      <c r="AY96" s="662"/>
      <c r="AZ96" s="662"/>
      <c r="BA96" s="662"/>
      <c r="BB96" s="662"/>
      <c r="BC96" s="662"/>
      <c r="BD96" s="662"/>
      <c r="BE96" s="662"/>
      <c r="BF96" s="662"/>
      <c r="BG96" s="662"/>
      <c r="BH96" s="662"/>
      <c r="BI96" s="662"/>
      <c r="BJ96" s="662"/>
      <c r="BK96" s="662"/>
      <c r="BL96" s="662"/>
    </row>
    <row r="97" spans="7:64" x14ac:dyDescent="0.25">
      <c r="G97" s="742"/>
      <c r="H97" s="742"/>
      <c r="I97" s="742"/>
      <c r="J97" s="742"/>
      <c r="K97" s="742"/>
      <c r="L97" s="742"/>
      <c r="M97" s="742"/>
      <c r="N97" s="742"/>
      <c r="O97" s="742"/>
      <c r="P97" s="742"/>
      <c r="Q97" s="742"/>
      <c r="R97" s="742"/>
      <c r="S97" s="742"/>
      <c r="T97" s="742"/>
      <c r="U97" s="742"/>
      <c r="V97" s="742"/>
      <c r="W97" s="742"/>
      <c r="X97" s="742"/>
      <c r="Y97" s="742"/>
      <c r="Z97" s="742"/>
      <c r="AA97" s="742"/>
      <c r="AB97" s="742"/>
      <c r="AC97" s="742"/>
      <c r="AD97" s="742"/>
      <c r="AE97" s="742"/>
      <c r="AF97" s="742"/>
      <c r="AG97" s="742"/>
      <c r="AH97" s="662"/>
      <c r="AI97" s="662"/>
      <c r="AJ97" s="662"/>
      <c r="AK97" s="662"/>
      <c r="AL97" s="662"/>
      <c r="AM97" s="662"/>
      <c r="AN97" s="662"/>
      <c r="AO97" s="662"/>
      <c r="AP97" s="662"/>
      <c r="AQ97" s="662"/>
      <c r="AR97" s="662"/>
      <c r="AS97" s="662"/>
      <c r="AT97" s="662"/>
      <c r="AU97" s="662"/>
      <c r="AV97" s="662"/>
      <c r="AW97" s="662"/>
      <c r="AX97" s="662"/>
      <c r="AY97" s="662"/>
      <c r="AZ97" s="662"/>
      <c r="BA97" s="662"/>
      <c r="BB97" s="662"/>
      <c r="BC97" s="662"/>
      <c r="BD97" s="662"/>
      <c r="BE97" s="662"/>
      <c r="BF97" s="662"/>
      <c r="BG97" s="662"/>
      <c r="BH97" s="662"/>
      <c r="BI97" s="662"/>
      <c r="BJ97" s="662"/>
      <c r="BK97" s="662"/>
      <c r="BL97" s="662"/>
    </row>
    <row r="98" spans="7:64" x14ac:dyDescent="0.25">
      <c r="G98" s="742"/>
      <c r="H98" s="742"/>
      <c r="I98" s="742"/>
      <c r="J98" s="742"/>
      <c r="K98" s="742"/>
      <c r="L98" s="742"/>
      <c r="M98" s="742"/>
      <c r="N98" s="742"/>
      <c r="O98" s="742"/>
      <c r="P98" s="742"/>
      <c r="Q98" s="742"/>
      <c r="R98" s="742"/>
      <c r="S98" s="742"/>
      <c r="T98" s="742"/>
      <c r="U98" s="742"/>
      <c r="V98" s="742"/>
      <c r="W98" s="742"/>
      <c r="X98" s="742"/>
      <c r="Y98" s="742"/>
      <c r="Z98" s="742"/>
      <c r="AA98" s="742"/>
      <c r="AB98" s="742"/>
      <c r="AC98" s="742"/>
      <c r="AD98" s="742"/>
      <c r="AE98" s="742"/>
      <c r="AF98" s="742"/>
      <c r="AG98" s="742"/>
      <c r="AH98" s="662"/>
      <c r="AI98" s="662"/>
      <c r="AJ98" s="662"/>
      <c r="AK98" s="662"/>
      <c r="AL98" s="662"/>
      <c r="AM98" s="662"/>
      <c r="AN98" s="662"/>
      <c r="AO98" s="662"/>
      <c r="AP98" s="662"/>
      <c r="AQ98" s="662"/>
      <c r="AR98" s="662"/>
      <c r="AS98" s="662"/>
      <c r="AT98" s="662"/>
      <c r="AU98" s="662"/>
      <c r="AV98" s="662"/>
      <c r="AW98" s="662"/>
      <c r="AX98" s="662"/>
      <c r="AY98" s="662"/>
      <c r="AZ98" s="662"/>
      <c r="BA98" s="662"/>
      <c r="BB98" s="662"/>
      <c r="BC98" s="662"/>
      <c r="BD98" s="662"/>
      <c r="BE98" s="662"/>
      <c r="BF98" s="662"/>
      <c r="BG98" s="662"/>
      <c r="BH98" s="662"/>
      <c r="BI98" s="662"/>
      <c r="BJ98" s="662"/>
      <c r="BK98" s="662"/>
      <c r="BL98" s="662"/>
    </row>
    <row r="99" spans="7:64" x14ac:dyDescent="0.25">
      <c r="G99" s="742"/>
      <c r="H99" s="742"/>
      <c r="I99" s="742"/>
      <c r="J99" s="742"/>
      <c r="K99" s="742"/>
      <c r="L99" s="742"/>
      <c r="M99" s="742"/>
      <c r="N99" s="742"/>
      <c r="O99" s="742"/>
      <c r="P99" s="742"/>
      <c r="Q99" s="742"/>
      <c r="R99" s="742"/>
      <c r="S99" s="742"/>
      <c r="T99" s="742"/>
      <c r="U99" s="742"/>
      <c r="V99" s="742"/>
      <c r="W99" s="742"/>
      <c r="X99" s="742"/>
      <c r="Y99" s="742"/>
      <c r="Z99" s="742"/>
      <c r="AA99" s="742"/>
      <c r="AB99" s="742"/>
      <c r="AC99" s="742"/>
      <c r="AD99" s="742"/>
      <c r="AE99" s="742"/>
      <c r="AF99" s="742"/>
      <c r="AG99" s="742"/>
      <c r="AH99" s="662"/>
      <c r="AI99" s="662"/>
      <c r="AJ99" s="662"/>
      <c r="AK99" s="662"/>
      <c r="AL99" s="662"/>
      <c r="AM99" s="662"/>
      <c r="AN99" s="662"/>
      <c r="AO99" s="662"/>
      <c r="AP99" s="662"/>
      <c r="AQ99" s="662"/>
      <c r="AR99" s="662"/>
      <c r="AS99" s="662"/>
      <c r="AT99" s="662"/>
      <c r="AU99" s="662"/>
      <c r="AV99" s="662"/>
      <c r="AW99" s="662"/>
      <c r="AX99" s="662"/>
      <c r="AY99" s="662"/>
      <c r="AZ99" s="662"/>
      <c r="BA99" s="662"/>
      <c r="BB99" s="662"/>
      <c r="BC99" s="662"/>
      <c r="BD99" s="662"/>
      <c r="BE99" s="662"/>
      <c r="BF99" s="662"/>
      <c r="BG99" s="662"/>
      <c r="BH99" s="662"/>
      <c r="BI99" s="662"/>
      <c r="BJ99" s="662"/>
      <c r="BK99" s="662"/>
      <c r="BL99" s="662"/>
    </row>
    <row r="100" spans="7:64" x14ac:dyDescent="0.25">
      <c r="G100" s="742"/>
      <c r="H100" s="742"/>
      <c r="I100" s="742"/>
      <c r="J100" s="742"/>
      <c r="K100" s="742"/>
      <c r="L100" s="742"/>
      <c r="M100" s="742"/>
      <c r="N100" s="742"/>
      <c r="O100" s="742"/>
      <c r="P100" s="742"/>
      <c r="Q100" s="742"/>
      <c r="R100" s="742"/>
      <c r="S100" s="742"/>
      <c r="T100" s="742"/>
      <c r="U100" s="742"/>
      <c r="V100" s="742"/>
      <c r="W100" s="742"/>
      <c r="X100" s="742"/>
      <c r="Y100" s="742"/>
      <c r="Z100" s="742"/>
      <c r="AA100" s="742"/>
      <c r="AB100" s="742"/>
      <c r="AC100" s="742"/>
      <c r="AD100" s="742"/>
      <c r="AE100" s="742"/>
      <c r="AF100" s="742"/>
      <c r="AG100" s="742"/>
      <c r="AH100" s="662"/>
      <c r="AI100" s="662"/>
      <c r="AJ100" s="662"/>
      <c r="AK100" s="662"/>
      <c r="AL100" s="662"/>
      <c r="AM100" s="662"/>
      <c r="AN100" s="662"/>
      <c r="AO100" s="662"/>
      <c r="AP100" s="662"/>
      <c r="AQ100" s="662"/>
      <c r="AR100" s="662"/>
      <c r="AS100" s="662"/>
      <c r="AT100" s="662"/>
      <c r="AU100" s="662"/>
      <c r="AV100" s="662"/>
      <c r="AW100" s="662"/>
      <c r="AX100" s="662"/>
      <c r="AY100" s="662"/>
      <c r="AZ100" s="662"/>
      <c r="BA100" s="662"/>
      <c r="BB100" s="662"/>
      <c r="BC100" s="662"/>
      <c r="BD100" s="662"/>
      <c r="BE100" s="662"/>
      <c r="BF100" s="662"/>
      <c r="BG100" s="662"/>
      <c r="BH100" s="662"/>
      <c r="BI100" s="662"/>
      <c r="BJ100" s="662"/>
      <c r="BK100" s="662"/>
      <c r="BL100" s="662"/>
    </row>
    <row r="101" spans="7:64" x14ac:dyDescent="0.25">
      <c r="G101" s="742"/>
      <c r="H101" s="742"/>
      <c r="I101" s="742"/>
      <c r="J101" s="742"/>
      <c r="K101" s="742"/>
      <c r="L101" s="742"/>
      <c r="M101" s="742"/>
      <c r="N101" s="742"/>
      <c r="O101" s="742"/>
      <c r="P101" s="742"/>
      <c r="Q101" s="742"/>
      <c r="R101" s="742"/>
      <c r="S101" s="742"/>
      <c r="T101" s="742"/>
      <c r="U101" s="742"/>
      <c r="V101" s="742"/>
      <c r="W101" s="742"/>
      <c r="X101" s="742"/>
      <c r="Y101" s="742"/>
      <c r="Z101" s="742"/>
      <c r="AA101" s="742"/>
      <c r="AB101" s="742"/>
      <c r="AC101" s="742"/>
      <c r="AD101" s="742"/>
      <c r="AE101" s="742"/>
      <c r="AF101" s="742"/>
      <c r="AG101" s="742"/>
      <c r="AH101" s="662"/>
      <c r="AI101" s="662"/>
      <c r="AJ101" s="662"/>
      <c r="AK101" s="662"/>
      <c r="AL101" s="662"/>
      <c r="AM101" s="662"/>
      <c r="AN101" s="662"/>
      <c r="AO101" s="662"/>
      <c r="AP101" s="662"/>
      <c r="AQ101" s="662"/>
      <c r="AR101" s="662"/>
      <c r="AS101" s="662"/>
      <c r="AT101" s="662"/>
      <c r="AU101" s="662"/>
      <c r="AV101" s="662"/>
      <c r="AW101" s="662"/>
      <c r="AX101" s="662"/>
      <c r="AY101" s="662"/>
      <c r="AZ101" s="662"/>
      <c r="BA101" s="662"/>
      <c r="BB101" s="662"/>
      <c r="BC101" s="662"/>
      <c r="BD101" s="662"/>
      <c r="BE101" s="662"/>
      <c r="BF101" s="662"/>
      <c r="BG101" s="662"/>
      <c r="BH101" s="662"/>
      <c r="BI101" s="662"/>
      <c r="BJ101" s="662"/>
      <c r="BK101" s="662"/>
      <c r="BL101" s="662"/>
    </row>
    <row r="102" spans="7:64" x14ac:dyDescent="0.25">
      <c r="G102" s="742"/>
      <c r="H102" s="742"/>
      <c r="I102" s="742"/>
      <c r="J102" s="742"/>
      <c r="K102" s="742"/>
      <c r="L102" s="742"/>
      <c r="M102" s="742"/>
      <c r="N102" s="742"/>
      <c r="O102" s="742"/>
      <c r="P102" s="742"/>
      <c r="Q102" s="742"/>
      <c r="R102" s="742"/>
      <c r="S102" s="742"/>
      <c r="T102" s="742"/>
      <c r="U102" s="742"/>
      <c r="V102" s="742"/>
      <c r="W102" s="742"/>
      <c r="X102" s="742"/>
      <c r="Y102" s="742"/>
      <c r="Z102" s="742"/>
      <c r="AA102" s="742"/>
      <c r="AB102" s="742"/>
      <c r="AC102" s="742"/>
      <c r="AD102" s="742"/>
      <c r="AE102" s="742"/>
      <c r="AF102" s="742"/>
      <c r="AG102" s="742"/>
      <c r="AH102" s="662"/>
      <c r="AI102" s="662"/>
      <c r="AJ102" s="662"/>
      <c r="AK102" s="662"/>
      <c r="AL102" s="662"/>
      <c r="AM102" s="662"/>
      <c r="AN102" s="662"/>
      <c r="AO102" s="662"/>
      <c r="AP102" s="662"/>
      <c r="AQ102" s="662"/>
      <c r="AR102" s="662"/>
      <c r="AS102" s="662"/>
      <c r="AT102" s="662"/>
      <c r="AU102" s="662"/>
      <c r="AV102" s="662"/>
      <c r="AW102" s="662"/>
      <c r="AX102" s="662"/>
      <c r="AY102" s="662"/>
      <c r="AZ102" s="662"/>
      <c r="BA102" s="662"/>
      <c r="BB102" s="662"/>
      <c r="BC102" s="662"/>
      <c r="BD102" s="662"/>
      <c r="BE102" s="662"/>
      <c r="BF102" s="662"/>
      <c r="BG102" s="662"/>
      <c r="BH102" s="662"/>
      <c r="BI102" s="662"/>
      <c r="BJ102" s="662"/>
      <c r="BK102" s="662"/>
      <c r="BL102" s="662"/>
    </row>
    <row r="103" spans="7:64" x14ac:dyDescent="0.25">
      <c r="G103" s="742"/>
      <c r="H103" s="742"/>
      <c r="I103" s="742"/>
      <c r="J103" s="742"/>
      <c r="K103" s="742"/>
      <c r="L103" s="742"/>
      <c r="M103" s="742"/>
      <c r="N103" s="742"/>
      <c r="O103" s="742"/>
      <c r="P103" s="742"/>
      <c r="Q103" s="742"/>
      <c r="R103" s="742"/>
      <c r="S103" s="742"/>
      <c r="T103" s="742"/>
      <c r="U103" s="742"/>
      <c r="V103" s="742"/>
      <c r="W103" s="742"/>
      <c r="X103" s="742"/>
      <c r="Y103" s="742"/>
      <c r="Z103" s="742"/>
      <c r="AA103" s="742"/>
      <c r="AB103" s="742"/>
      <c r="AC103" s="742"/>
      <c r="AD103" s="742"/>
      <c r="AE103" s="742"/>
      <c r="AF103" s="742"/>
      <c r="AG103" s="742"/>
      <c r="AH103" s="662"/>
      <c r="AI103" s="662"/>
      <c r="AJ103" s="662"/>
      <c r="AK103" s="662"/>
      <c r="AL103" s="662"/>
      <c r="AM103" s="662"/>
      <c r="AN103" s="662"/>
      <c r="AO103" s="662"/>
      <c r="AP103" s="662"/>
      <c r="AQ103" s="662"/>
      <c r="AR103" s="662"/>
      <c r="AS103" s="662"/>
      <c r="AT103" s="662"/>
      <c r="AU103" s="662"/>
      <c r="AV103" s="662"/>
      <c r="AW103" s="662"/>
      <c r="AX103" s="662"/>
      <c r="AY103" s="662"/>
      <c r="AZ103" s="662"/>
      <c r="BA103" s="662"/>
      <c r="BB103" s="662"/>
      <c r="BC103" s="662"/>
      <c r="BD103" s="662"/>
      <c r="BE103" s="662"/>
      <c r="BF103" s="662"/>
      <c r="BG103" s="662"/>
      <c r="BH103" s="662"/>
      <c r="BI103" s="662"/>
      <c r="BJ103" s="662"/>
      <c r="BK103" s="662"/>
      <c r="BL103" s="662"/>
    </row>
    <row r="104" spans="7:64" x14ac:dyDescent="0.25">
      <c r="G104" s="742"/>
      <c r="H104" s="742"/>
      <c r="I104" s="742"/>
      <c r="J104" s="742"/>
      <c r="K104" s="742"/>
      <c r="L104" s="742"/>
      <c r="M104" s="742"/>
      <c r="N104" s="742"/>
      <c r="O104" s="742"/>
      <c r="P104" s="742"/>
      <c r="Q104" s="742"/>
      <c r="R104" s="742"/>
      <c r="S104" s="742"/>
      <c r="T104" s="742"/>
      <c r="U104" s="742"/>
      <c r="V104" s="742"/>
      <c r="W104" s="742"/>
      <c r="X104" s="742"/>
      <c r="Y104" s="742"/>
      <c r="Z104" s="742"/>
      <c r="AA104" s="742"/>
      <c r="AB104" s="742"/>
      <c r="AC104" s="742"/>
      <c r="AD104" s="742"/>
      <c r="AE104" s="742"/>
      <c r="AF104" s="742"/>
      <c r="AG104" s="742"/>
      <c r="AH104" s="662"/>
      <c r="AI104" s="662"/>
      <c r="AJ104" s="662"/>
      <c r="AK104" s="662"/>
      <c r="AL104" s="662"/>
      <c r="AM104" s="662"/>
      <c r="AN104" s="662"/>
      <c r="AO104" s="662"/>
      <c r="AP104" s="662"/>
      <c r="AQ104" s="662"/>
      <c r="AR104" s="662"/>
      <c r="AS104" s="662"/>
      <c r="AT104" s="662"/>
      <c r="AU104" s="662"/>
      <c r="AV104" s="662"/>
      <c r="AW104" s="662"/>
      <c r="AX104" s="662"/>
      <c r="AY104" s="662"/>
      <c r="AZ104" s="662"/>
      <c r="BA104" s="662"/>
      <c r="BB104" s="662"/>
      <c r="BC104" s="662"/>
      <c r="BD104" s="662"/>
      <c r="BE104" s="662"/>
      <c r="BF104" s="662"/>
      <c r="BG104" s="662"/>
      <c r="BH104" s="662"/>
      <c r="BI104" s="662"/>
      <c r="BJ104" s="662"/>
      <c r="BK104" s="662"/>
      <c r="BL104" s="662"/>
    </row>
    <row r="105" spans="7:64" x14ac:dyDescent="0.25">
      <c r="G105" s="742"/>
      <c r="H105" s="742"/>
      <c r="I105" s="742"/>
      <c r="J105" s="742"/>
      <c r="K105" s="742"/>
      <c r="L105" s="742"/>
      <c r="M105" s="742"/>
      <c r="N105" s="742"/>
      <c r="O105" s="742"/>
      <c r="P105" s="742"/>
      <c r="Q105" s="742"/>
      <c r="R105" s="742"/>
      <c r="S105" s="742"/>
      <c r="T105" s="742"/>
      <c r="U105" s="742"/>
      <c r="V105" s="742"/>
      <c r="W105" s="742"/>
      <c r="X105" s="742"/>
      <c r="Y105" s="742"/>
      <c r="Z105" s="742"/>
      <c r="AA105" s="742"/>
      <c r="AB105" s="742"/>
      <c r="AC105" s="742"/>
      <c r="AD105" s="742"/>
      <c r="AE105" s="742"/>
      <c r="AF105" s="742"/>
      <c r="AG105" s="742"/>
      <c r="AH105" s="662"/>
      <c r="AI105" s="662"/>
      <c r="AJ105" s="662"/>
      <c r="AK105" s="662"/>
      <c r="AL105" s="662"/>
      <c r="AM105" s="662"/>
      <c r="AN105" s="662"/>
      <c r="AO105" s="662"/>
      <c r="AP105" s="662"/>
      <c r="AQ105" s="662"/>
      <c r="AR105" s="662"/>
      <c r="AS105" s="662"/>
      <c r="AT105" s="662"/>
      <c r="AU105" s="662"/>
      <c r="AV105" s="662"/>
      <c r="AW105" s="662"/>
      <c r="AX105" s="662"/>
      <c r="AY105" s="662"/>
      <c r="AZ105" s="662"/>
      <c r="BA105" s="662"/>
      <c r="BB105" s="662"/>
      <c r="BC105" s="662"/>
      <c r="BD105" s="662"/>
      <c r="BE105" s="662"/>
      <c r="BF105" s="662"/>
      <c r="BG105" s="662"/>
      <c r="BH105" s="662"/>
      <c r="BI105" s="662"/>
      <c r="BJ105" s="662"/>
      <c r="BK105" s="662"/>
      <c r="BL105" s="662"/>
    </row>
    <row r="106" spans="7:64" x14ac:dyDescent="0.25">
      <c r="G106" s="742"/>
      <c r="H106" s="742"/>
      <c r="I106" s="742"/>
      <c r="J106" s="742"/>
      <c r="K106" s="742"/>
      <c r="L106" s="742"/>
      <c r="M106" s="742"/>
      <c r="N106" s="742"/>
      <c r="O106" s="742"/>
      <c r="P106" s="742"/>
      <c r="Q106" s="742"/>
      <c r="R106" s="742"/>
      <c r="S106" s="742"/>
      <c r="T106" s="742"/>
      <c r="U106" s="742"/>
      <c r="V106" s="742"/>
      <c r="W106" s="742"/>
      <c r="X106" s="742"/>
      <c r="Y106" s="742"/>
      <c r="Z106" s="742"/>
      <c r="AA106" s="742"/>
      <c r="AB106" s="742"/>
      <c r="AC106" s="742"/>
      <c r="AD106" s="742"/>
      <c r="AE106" s="742"/>
      <c r="AF106" s="742"/>
      <c r="AG106" s="742"/>
      <c r="AH106" s="662"/>
      <c r="AI106" s="662"/>
      <c r="AJ106" s="662"/>
      <c r="AK106" s="662"/>
      <c r="AL106" s="662"/>
      <c r="AM106" s="662"/>
      <c r="AN106" s="662"/>
      <c r="AO106" s="662"/>
      <c r="AP106" s="662"/>
      <c r="AQ106" s="662"/>
      <c r="AR106" s="662"/>
      <c r="AS106" s="662"/>
      <c r="AT106" s="662"/>
      <c r="AU106" s="662"/>
      <c r="AV106" s="662"/>
      <c r="AW106" s="662"/>
      <c r="AX106" s="662"/>
      <c r="AY106" s="662"/>
      <c r="AZ106" s="662"/>
      <c r="BA106" s="662"/>
      <c r="BB106" s="662"/>
      <c r="BC106" s="662"/>
      <c r="BD106" s="662"/>
      <c r="BE106" s="662"/>
      <c r="BF106" s="662"/>
      <c r="BG106" s="662"/>
      <c r="BH106" s="662"/>
      <c r="BI106" s="662"/>
      <c r="BJ106" s="662"/>
      <c r="BK106" s="662"/>
      <c r="BL106" s="662"/>
    </row>
    <row r="107" spans="7:64" x14ac:dyDescent="0.25">
      <c r="G107" s="742"/>
      <c r="H107" s="742"/>
      <c r="I107" s="742"/>
      <c r="J107" s="742"/>
      <c r="K107" s="742"/>
      <c r="L107" s="742"/>
      <c r="M107" s="742"/>
      <c r="N107" s="742"/>
      <c r="O107" s="742"/>
      <c r="P107" s="742"/>
      <c r="Q107" s="742"/>
      <c r="R107" s="742"/>
      <c r="S107" s="742"/>
      <c r="T107" s="742"/>
      <c r="U107" s="742"/>
      <c r="V107" s="742"/>
      <c r="W107" s="742"/>
      <c r="X107" s="742"/>
      <c r="Y107" s="742"/>
      <c r="Z107" s="742"/>
      <c r="AA107" s="742"/>
      <c r="AB107" s="742"/>
      <c r="AC107" s="742"/>
      <c r="AD107" s="742"/>
      <c r="AE107" s="742"/>
      <c r="AF107" s="742"/>
      <c r="AG107" s="742"/>
      <c r="AH107" s="662"/>
      <c r="AI107" s="662"/>
      <c r="AJ107" s="662"/>
      <c r="AK107" s="662"/>
      <c r="AL107" s="662"/>
      <c r="AM107" s="662"/>
      <c r="AN107" s="662"/>
      <c r="AO107" s="662"/>
      <c r="AP107" s="662"/>
      <c r="AQ107" s="662"/>
      <c r="AR107" s="662"/>
      <c r="AS107" s="662"/>
      <c r="AT107" s="662"/>
      <c r="AU107" s="662"/>
      <c r="AV107" s="662"/>
      <c r="AW107" s="662"/>
      <c r="AX107" s="662"/>
      <c r="AY107" s="662"/>
      <c r="AZ107" s="662"/>
      <c r="BA107" s="662"/>
      <c r="BB107" s="662"/>
      <c r="BC107" s="662"/>
      <c r="BD107" s="662"/>
      <c r="BE107" s="662"/>
      <c r="BF107" s="662"/>
      <c r="BG107" s="662"/>
      <c r="BH107" s="662"/>
      <c r="BI107" s="662"/>
      <c r="BJ107" s="662"/>
      <c r="BK107" s="662"/>
      <c r="BL107" s="662"/>
    </row>
    <row r="108" spans="7:64" x14ac:dyDescent="0.25">
      <c r="G108" s="742"/>
      <c r="H108" s="742"/>
      <c r="I108" s="742"/>
      <c r="J108" s="742"/>
      <c r="K108" s="742"/>
      <c r="L108" s="742"/>
      <c r="M108" s="742"/>
      <c r="N108" s="742"/>
      <c r="O108" s="742"/>
      <c r="P108" s="742"/>
      <c r="Q108" s="742"/>
      <c r="R108" s="742"/>
      <c r="S108" s="742"/>
      <c r="T108" s="742"/>
      <c r="U108" s="742"/>
      <c r="V108" s="742"/>
      <c r="W108" s="742"/>
      <c r="X108" s="742"/>
      <c r="Y108" s="742"/>
      <c r="Z108" s="742"/>
      <c r="AA108" s="742"/>
      <c r="AB108" s="742"/>
      <c r="AC108" s="742"/>
      <c r="AD108" s="742"/>
      <c r="AE108" s="742"/>
      <c r="AF108" s="742"/>
      <c r="AG108" s="742"/>
      <c r="AH108" s="662"/>
      <c r="AI108" s="662"/>
      <c r="AJ108" s="662"/>
      <c r="AK108" s="662"/>
      <c r="AL108" s="662"/>
      <c r="AM108" s="662"/>
      <c r="AN108" s="662"/>
      <c r="AO108" s="662"/>
      <c r="AP108" s="662"/>
      <c r="AQ108" s="662"/>
      <c r="AR108" s="662"/>
      <c r="AS108" s="662"/>
      <c r="AT108" s="662"/>
      <c r="AU108" s="662"/>
      <c r="AV108" s="662"/>
      <c r="AW108" s="662"/>
      <c r="AX108" s="662"/>
      <c r="AY108" s="662"/>
      <c r="AZ108" s="662"/>
      <c r="BA108" s="662"/>
      <c r="BB108" s="662"/>
      <c r="BC108" s="662"/>
      <c r="BD108" s="662"/>
      <c r="BE108" s="662"/>
      <c r="BF108" s="662"/>
      <c r="BG108" s="662"/>
      <c r="BH108" s="662"/>
      <c r="BI108" s="662"/>
      <c r="BJ108" s="662"/>
      <c r="BK108" s="662"/>
      <c r="BL108" s="662"/>
    </row>
    <row r="109" spans="7:64" x14ac:dyDescent="0.25">
      <c r="G109" s="742"/>
      <c r="H109" s="742"/>
      <c r="I109" s="742"/>
      <c r="J109" s="742"/>
      <c r="K109" s="742"/>
      <c r="L109" s="742"/>
      <c r="M109" s="742"/>
      <c r="N109" s="742"/>
      <c r="O109" s="742"/>
      <c r="P109" s="742"/>
      <c r="Q109" s="742"/>
      <c r="R109" s="742"/>
      <c r="S109" s="742"/>
      <c r="T109" s="742"/>
      <c r="U109" s="742"/>
      <c r="V109" s="742"/>
      <c r="W109" s="742"/>
      <c r="X109" s="742"/>
      <c r="Y109" s="742"/>
      <c r="Z109" s="742"/>
      <c r="AA109" s="742"/>
      <c r="AB109" s="742"/>
      <c r="AC109" s="742"/>
      <c r="AD109" s="742"/>
      <c r="AE109" s="742"/>
      <c r="AF109" s="742"/>
      <c r="AG109" s="742"/>
      <c r="AH109" s="662"/>
      <c r="AI109" s="662"/>
      <c r="AJ109" s="662"/>
      <c r="AK109" s="662"/>
      <c r="AL109" s="662"/>
      <c r="AM109" s="662"/>
      <c r="AN109" s="662"/>
      <c r="AO109" s="662"/>
      <c r="AP109" s="662"/>
      <c r="AQ109" s="662"/>
      <c r="AR109" s="662"/>
      <c r="AS109" s="662"/>
      <c r="AT109" s="662"/>
      <c r="AU109" s="662"/>
      <c r="AV109" s="662"/>
      <c r="AW109" s="662"/>
      <c r="AX109" s="662"/>
      <c r="AY109" s="662"/>
      <c r="AZ109" s="662"/>
      <c r="BA109" s="662"/>
      <c r="BB109" s="662"/>
      <c r="BC109" s="662"/>
      <c r="BD109" s="662"/>
      <c r="BE109" s="662"/>
      <c r="BF109" s="662"/>
      <c r="BG109" s="662"/>
      <c r="BH109" s="662"/>
      <c r="BI109" s="662"/>
      <c r="BJ109" s="662"/>
      <c r="BK109" s="662"/>
      <c r="BL109" s="662"/>
    </row>
    <row r="110" spans="7:64" x14ac:dyDescent="0.25">
      <c r="G110" s="742"/>
      <c r="H110" s="742"/>
      <c r="I110" s="742"/>
      <c r="J110" s="742"/>
      <c r="K110" s="742"/>
      <c r="L110" s="742"/>
      <c r="M110" s="742"/>
      <c r="N110" s="742"/>
      <c r="O110" s="742"/>
      <c r="P110" s="742"/>
      <c r="Q110" s="742"/>
      <c r="R110" s="742"/>
      <c r="S110" s="742"/>
      <c r="T110" s="742"/>
      <c r="U110" s="742"/>
      <c r="V110" s="742"/>
      <c r="W110" s="742"/>
      <c r="X110" s="742"/>
      <c r="Y110" s="742"/>
      <c r="Z110" s="742"/>
      <c r="AA110" s="742"/>
      <c r="AB110" s="742"/>
      <c r="AC110" s="742"/>
      <c r="AD110" s="742"/>
      <c r="AE110" s="742"/>
      <c r="AF110" s="742"/>
      <c r="AG110" s="742"/>
      <c r="AH110" s="662"/>
      <c r="AI110" s="662"/>
      <c r="AJ110" s="662"/>
      <c r="AK110" s="662"/>
      <c r="AL110" s="662"/>
      <c r="AM110" s="662"/>
      <c r="AN110" s="662"/>
      <c r="AO110" s="662"/>
      <c r="AP110" s="662"/>
      <c r="AQ110" s="662"/>
      <c r="AR110" s="662"/>
      <c r="AS110" s="662"/>
      <c r="AT110" s="662"/>
      <c r="AU110" s="662"/>
      <c r="AV110" s="662"/>
      <c r="AW110" s="662"/>
      <c r="AX110" s="662"/>
      <c r="AY110" s="662"/>
      <c r="AZ110" s="662"/>
      <c r="BA110" s="662"/>
      <c r="BB110" s="662"/>
      <c r="BC110" s="662"/>
      <c r="BD110" s="662"/>
      <c r="BE110" s="662"/>
      <c r="BF110" s="662"/>
      <c r="BG110" s="662"/>
      <c r="BH110" s="662"/>
      <c r="BI110" s="662"/>
      <c r="BJ110" s="662"/>
      <c r="BK110" s="662"/>
      <c r="BL110" s="662"/>
    </row>
    <row r="111" spans="7:64" x14ac:dyDescent="0.25">
      <c r="G111" s="742"/>
      <c r="H111" s="742"/>
      <c r="I111" s="742"/>
      <c r="J111" s="742"/>
      <c r="K111" s="742"/>
      <c r="L111" s="742"/>
      <c r="M111" s="742"/>
      <c r="N111" s="742"/>
      <c r="O111" s="742"/>
      <c r="P111" s="742"/>
      <c r="Q111" s="742"/>
      <c r="R111" s="742"/>
      <c r="S111" s="742"/>
      <c r="T111" s="742"/>
      <c r="U111" s="742"/>
      <c r="V111" s="742"/>
      <c r="W111" s="742"/>
      <c r="X111" s="742"/>
      <c r="Y111" s="742"/>
      <c r="Z111" s="742"/>
      <c r="AA111" s="742"/>
      <c r="AB111" s="742"/>
      <c r="AC111" s="742"/>
      <c r="AD111" s="742"/>
      <c r="AE111" s="742"/>
      <c r="AF111" s="742"/>
      <c r="AG111" s="742"/>
      <c r="AH111" s="662"/>
      <c r="AI111" s="662"/>
      <c r="AJ111" s="662"/>
      <c r="AK111" s="662"/>
      <c r="AL111" s="662"/>
      <c r="AM111" s="662"/>
      <c r="AN111" s="662"/>
      <c r="AO111" s="662"/>
      <c r="AP111" s="662"/>
      <c r="AQ111" s="662"/>
      <c r="AR111" s="662"/>
      <c r="AS111" s="662"/>
      <c r="AT111" s="662"/>
      <c r="AU111" s="662"/>
      <c r="AV111" s="662"/>
      <c r="AW111" s="662"/>
      <c r="AX111" s="662"/>
      <c r="AY111" s="662"/>
      <c r="AZ111" s="662"/>
      <c r="BA111" s="662"/>
      <c r="BB111" s="662"/>
      <c r="BC111" s="662"/>
      <c r="BD111" s="662"/>
      <c r="BE111" s="662"/>
      <c r="BF111" s="662"/>
      <c r="BG111" s="662"/>
      <c r="BH111" s="662"/>
      <c r="BI111" s="662"/>
      <c r="BJ111" s="662"/>
      <c r="BK111" s="662"/>
      <c r="BL111" s="662"/>
    </row>
    <row r="112" spans="7:64" x14ac:dyDescent="0.25">
      <c r="G112" s="742"/>
      <c r="H112" s="742"/>
      <c r="I112" s="742"/>
      <c r="J112" s="742"/>
      <c r="K112" s="742"/>
      <c r="L112" s="742"/>
      <c r="M112" s="742"/>
      <c r="N112" s="742"/>
      <c r="O112" s="742"/>
      <c r="P112" s="742"/>
      <c r="Q112" s="742"/>
      <c r="R112" s="742"/>
      <c r="S112" s="742"/>
      <c r="T112" s="742"/>
      <c r="U112" s="742"/>
      <c r="V112" s="742"/>
      <c r="W112" s="742"/>
      <c r="X112" s="742"/>
      <c r="Y112" s="742"/>
      <c r="Z112" s="742"/>
      <c r="AA112" s="742"/>
      <c r="AB112" s="742"/>
      <c r="AC112" s="742"/>
      <c r="AD112" s="742"/>
      <c r="AE112" s="742"/>
      <c r="AF112" s="742"/>
      <c r="AG112" s="742"/>
      <c r="AH112" s="662"/>
      <c r="AI112" s="662"/>
      <c r="AJ112" s="662"/>
      <c r="AK112" s="662"/>
      <c r="AL112" s="662"/>
      <c r="AM112" s="662"/>
      <c r="AN112" s="662"/>
      <c r="AO112" s="662"/>
      <c r="AP112" s="662"/>
      <c r="AQ112" s="662"/>
      <c r="AR112" s="662"/>
      <c r="AS112" s="662"/>
      <c r="AT112" s="662"/>
      <c r="AU112" s="662"/>
      <c r="AV112" s="662"/>
      <c r="AW112" s="662"/>
      <c r="AX112" s="662"/>
      <c r="AY112" s="662"/>
      <c r="AZ112" s="662"/>
      <c r="BA112" s="662"/>
      <c r="BB112" s="662"/>
      <c r="BC112" s="662"/>
      <c r="BD112" s="662"/>
      <c r="BE112" s="662"/>
      <c r="BF112" s="662"/>
      <c r="BG112" s="662"/>
      <c r="BH112" s="662"/>
      <c r="BI112" s="662"/>
      <c r="BJ112" s="662"/>
      <c r="BK112" s="662"/>
      <c r="BL112" s="662"/>
    </row>
    <row r="113" spans="7:64" x14ac:dyDescent="0.25">
      <c r="G113" s="742"/>
      <c r="H113" s="742"/>
      <c r="I113" s="742"/>
      <c r="J113" s="742"/>
      <c r="K113" s="742"/>
      <c r="L113" s="742"/>
      <c r="M113" s="742"/>
      <c r="N113" s="742"/>
      <c r="O113" s="742"/>
      <c r="P113" s="742"/>
      <c r="Q113" s="742"/>
      <c r="R113" s="742"/>
      <c r="S113" s="742"/>
      <c r="T113" s="742"/>
      <c r="U113" s="742"/>
      <c r="V113" s="742"/>
      <c r="W113" s="742"/>
      <c r="X113" s="742"/>
      <c r="Y113" s="742"/>
      <c r="Z113" s="742"/>
      <c r="AA113" s="742"/>
      <c r="AB113" s="742"/>
      <c r="AC113" s="742"/>
      <c r="AD113" s="742"/>
      <c r="AE113" s="742"/>
      <c r="AF113" s="742"/>
      <c r="AG113" s="742"/>
      <c r="AH113" s="662"/>
      <c r="AI113" s="662"/>
      <c r="AJ113" s="662"/>
      <c r="AK113" s="662"/>
      <c r="AL113" s="662"/>
      <c r="AM113" s="662"/>
      <c r="AN113" s="662"/>
      <c r="AO113" s="662"/>
      <c r="AP113" s="662"/>
      <c r="AQ113" s="662"/>
      <c r="AR113" s="662"/>
      <c r="AS113" s="662"/>
      <c r="AT113" s="662"/>
      <c r="AU113" s="662"/>
      <c r="AV113" s="662"/>
      <c r="AW113" s="662"/>
      <c r="AX113" s="662"/>
      <c r="AY113" s="662"/>
      <c r="AZ113" s="662"/>
      <c r="BA113" s="662"/>
      <c r="BB113" s="662"/>
      <c r="BC113" s="662"/>
      <c r="BD113" s="662"/>
      <c r="BE113" s="662"/>
      <c r="BF113" s="662"/>
      <c r="BG113" s="662"/>
      <c r="BH113" s="662"/>
      <c r="BI113" s="662"/>
      <c r="BJ113" s="662"/>
      <c r="BK113" s="662"/>
      <c r="BL113" s="662"/>
    </row>
    <row r="114" spans="7:64" x14ac:dyDescent="0.25">
      <c r="G114" s="662"/>
      <c r="H114" s="662"/>
      <c r="I114" s="662"/>
      <c r="J114" s="662"/>
      <c r="K114" s="662"/>
      <c r="L114" s="662"/>
      <c r="M114" s="662"/>
      <c r="N114" s="662"/>
      <c r="O114" s="662"/>
      <c r="P114" s="662"/>
      <c r="Q114" s="662"/>
      <c r="R114" s="662"/>
      <c r="S114" s="662"/>
      <c r="T114" s="662"/>
      <c r="U114" s="662"/>
      <c r="V114" s="662"/>
      <c r="W114" s="662"/>
      <c r="X114" s="662"/>
      <c r="Y114" s="662"/>
      <c r="Z114" s="662"/>
      <c r="AA114" s="662"/>
      <c r="AB114" s="662"/>
      <c r="AC114" s="662"/>
      <c r="AD114" s="662"/>
      <c r="AE114" s="662"/>
      <c r="AF114" s="662"/>
      <c r="AG114" s="662"/>
      <c r="AH114" s="662"/>
      <c r="AI114" s="662"/>
      <c r="AJ114" s="662"/>
      <c r="AK114" s="662"/>
      <c r="AL114" s="662"/>
      <c r="AM114" s="662"/>
      <c r="AN114" s="662"/>
      <c r="AO114" s="662"/>
      <c r="AP114" s="662"/>
      <c r="AQ114" s="662"/>
      <c r="AR114" s="662"/>
      <c r="AS114" s="662"/>
      <c r="AT114" s="662"/>
      <c r="AU114" s="662"/>
      <c r="AV114" s="662"/>
      <c r="AW114" s="662"/>
      <c r="AX114" s="662"/>
      <c r="AY114" s="662"/>
      <c r="AZ114" s="662"/>
      <c r="BA114" s="662"/>
      <c r="BB114" s="662"/>
      <c r="BC114" s="662"/>
      <c r="BD114" s="662"/>
      <c r="BE114" s="662"/>
      <c r="BF114" s="662"/>
      <c r="BG114" s="662"/>
      <c r="BH114" s="662"/>
      <c r="BI114" s="662"/>
      <c r="BJ114" s="662"/>
      <c r="BK114" s="662"/>
      <c r="BL114" s="662"/>
    </row>
    <row r="115" spans="7:64" x14ac:dyDescent="0.25">
      <c r="G115" s="662"/>
      <c r="H115" s="662"/>
      <c r="I115" s="662"/>
      <c r="J115" s="662"/>
      <c r="K115" s="662"/>
      <c r="L115" s="662"/>
      <c r="M115" s="662"/>
      <c r="N115" s="662"/>
      <c r="O115" s="662"/>
      <c r="P115" s="662"/>
      <c r="Q115" s="662"/>
      <c r="R115" s="662"/>
      <c r="S115" s="662"/>
      <c r="T115" s="662"/>
      <c r="U115" s="662"/>
      <c r="V115" s="662"/>
      <c r="W115" s="662"/>
      <c r="X115" s="662"/>
      <c r="Y115" s="662"/>
      <c r="Z115" s="662"/>
      <c r="AA115" s="662"/>
      <c r="AB115" s="662"/>
      <c r="AC115" s="662"/>
      <c r="AD115" s="662"/>
      <c r="AE115" s="662"/>
      <c r="AF115" s="662"/>
      <c r="AG115" s="662"/>
      <c r="AH115" s="662"/>
      <c r="AI115" s="662"/>
      <c r="AJ115" s="662"/>
      <c r="AK115" s="662"/>
      <c r="AL115" s="662"/>
      <c r="AM115" s="662"/>
      <c r="AN115" s="662"/>
      <c r="AO115" s="662"/>
      <c r="AP115" s="662"/>
      <c r="AQ115" s="662"/>
      <c r="AR115" s="662"/>
      <c r="AS115" s="662"/>
      <c r="AT115" s="662"/>
      <c r="AU115" s="662"/>
      <c r="AV115" s="662"/>
      <c r="AW115" s="662"/>
      <c r="AX115" s="662"/>
      <c r="AY115" s="662"/>
      <c r="AZ115" s="662"/>
      <c r="BA115" s="662"/>
      <c r="BB115" s="662"/>
      <c r="BC115" s="662"/>
      <c r="BD115" s="662"/>
      <c r="BE115" s="662"/>
      <c r="BF115" s="662"/>
      <c r="BG115" s="662"/>
      <c r="BH115" s="662"/>
      <c r="BI115" s="662"/>
      <c r="BJ115" s="662"/>
      <c r="BK115" s="662"/>
      <c r="BL115" s="662"/>
    </row>
    <row r="116" spans="7:64" x14ac:dyDescent="0.25">
      <c r="G116" s="662"/>
      <c r="H116" s="662"/>
      <c r="I116" s="662"/>
      <c r="J116" s="662"/>
      <c r="K116" s="662"/>
      <c r="L116" s="662"/>
      <c r="M116" s="662"/>
      <c r="N116" s="662"/>
      <c r="O116" s="662"/>
      <c r="P116" s="662"/>
      <c r="Q116" s="662"/>
      <c r="R116" s="662"/>
      <c r="S116" s="662"/>
      <c r="T116" s="662"/>
      <c r="U116" s="662"/>
      <c r="V116" s="662"/>
      <c r="W116" s="662"/>
      <c r="X116" s="662"/>
      <c r="Y116" s="662"/>
      <c r="Z116" s="662"/>
      <c r="AA116" s="662"/>
      <c r="AB116" s="662"/>
      <c r="AC116" s="662"/>
      <c r="AD116" s="662"/>
      <c r="AE116" s="662"/>
      <c r="AF116" s="662"/>
      <c r="AG116" s="662"/>
      <c r="AH116" s="662"/>
      <c r="AI116" s="662"/>
      <c r="AJ116" s="662"/>
      <c r="AK116" s="662"/>
      <c r="AL116" s="662"/>
      <c r="AM116" s="662"/>
      <c r="AN116" s="662"/>
      <c r="AO116" s="662"/>
      <c r="AP116" s="662"/>
      <c r="AQ116" s="662"/>
      <c r="AR116" s="662"/>
      <c r="AS116" s="662"/>
      <c r="AT116" s="662"/>
      <c r="AU116" s="662"/>
      <c r="AV116" s="662"/>
      <c r="AW116" s="662"/>
      <c r="AX116" s="662"/>
      <c r="AY116" s="662"/>
      <c r="AZ116" s="662"/>
      <c r="BA116" s="662"/>
      <c r="BB116" s="662"/>
      <c r="BC116" s="662"/>
      <c r="BD116" s="662"/>
      <c r="BE116" s="662"/>
      <c r="BF116" s="662"/>
      <c r="BG116" s="662"/>
      <c r="BH116" s="662"/>
      <c r="BI116" s="662"/>
      <c r="BJ116" s="662"/>
      <c r="BK116" s="662"/>
      <c r="BL116" s="662"/>
    </row>
    <row r="117" spans="7:64" x14ac:dyDescent="0.25">
      <c r="G117" s="662"/>
      <c r="H117" s="662"/>
      <c r="I117" s="662"/>
      <c r="J117" s="662"/>
      <c r="K117" s="662"/>
      <c r="L117" s="662"/>
      <c r="M117" s="662"/>
      <c r="N117" s="662"/>
      <c r="O117" s="662"/>
      <c r="P117" s="662"/>
      <c r="Q117" s="662"/>
      <c r="R117" s="662"/>
      <c r="S117" s="662"/>
      <c r="T117" s="662"/>
      <c r="U117" s="662"/>
      <c r="V117" s="662"/>
      <c r="W117" s="662"/>
      <c r="X117" s="662"/>
      <c r="Y117" s="662"/>
      <c r="Z117" s="662"/>
      <c r="AA117" s="662"/>
      <c r="AB117" s="662"/>
      <c r="AC117" s="662"/>
      <c r="AD117" s="662"/>
      <c r="AE117" s="662"/>
      <c r="AF117" s="662"/>
      <c r="AG117" s="662"/>
      <c r="AH117" s="662"/>
      <c r="AI117" s="662"/>
      <c r="AJ117" s="662"/>
      <c r="AK117" s="662"/>
      <c r="AL117" s="662"/>
      <c r="AM117" s="662"/>
      <c r="AN117" s="662"/>
      <c r="AO117" s="662"/>
      <c r="AP117" s="662"/>
      <c r="AQ117" s="662"/>
      <c r="AR117" s="662"/>
      <c r="AS117" s="662"/>
      <c r="AT117" s="662"/>
      <c r="AU117" s="662"/>
      <c r="AV117" s="662"/>
      <c r="AW117" s="662"/>
      <c r="AX117" s="662"/>
      <c r="AY117" s="662"/>
      <c r="AZ117" s="662"/>
      <c r="BA117" s="662"/>
      <c r="BB117" s="662"/>
      <c r="BC117" s="662"/>
      <c r="BD117" s="662"/>
      <c r="BE117" s="662"/>
      <c r="BF117" s="662"/>
      <c r="BG117" s="662"/>
      <c r="BH117" s="662"/>
      <c r="BI117" s="662"/>
      <c r="BJ117" s="662"/>
      <c r="BK117" s="662"/>
      <c r="BL117" s="662"/>
    </row>
    <row r="118" spans="7:64" x14ac:dyDescent="0.25">
      <c r="G118" s="662"/>
      <c r="H118" s="662"/>
      <c r="I118" s="662"/>
      <c r="J118" s="662"/>
      <c r="K118" s="662"/>
      <c r="L118" s="662"/>
      <c r="M118" s="662"/>
      <c r="N118" s="662"/>
      <c r="O118" s="662"/>
      <c r="P118" s="662"/>
      <c r="Q118" s="662"/>
      <c r="R118" s="662"/>
      <c r="S118" s="662"/>
      <c r="T118" s="662"/>
      <c r="U118" s="662"/>
      <c r="V118" s="662"/>
      <c r="W118" s="662"/>
      <c r="X118" s="662"/>
      <c r="Y118" s="662"/>
      <c r="Z118" s="662"/>
      <c r="AA118" s="662"/>
      <c r="AB118" s="662"/>
      <c r="AC118" s="662"/>
      <c r="AD118" s="662"/>
      <c r="AE118" s="662"/>
      <c r="AF118" s="662"/>
      <c r="AG118" s="662"/>
      <c r="AH118" s="662"/>
      <c r="AI118" s="662"/>
      <c r="AJ118" s="662"/>
      <c r="AK118" s="662"/>
      <c r="AL118" s="662"/>
      <c r="AM118" s="662"/>
      <c r="AN118" s="662"/>
      <c r="AO118" s="662"/>
      <c r="AP118" s="662"/>
      <c r="AQ118" s="662"/>
      <c r="AR118" s="662"/>
      <c r="AS118" s="662"/>
      <c r="AT118" s="662"/>
      <c r="AU118" s="662"/>
      <c r="AV118" s="662"/>
      <c r="AW118" s="662"/>
      <c r="AX118" s="662"/>
      <c r="AY118" s="662"/>
      <c r="AZ118" s="662"/>
      <c r="BA118" s="662"/>
      <c r="BB118" s="662"/>
      <c r="BC118" s="662"/>
      <c r="BD118" s="662"/>
      <c r="BE118" s="662"/>
      <c r="BF118" s="662"/>
      <c r="BG118" s="662"/>
      <c r="BH118" s="662"/>
      <c r="BI118" s="662"/>
      <c r="BJ118" s="662"/>
      <c r="BK118" s="662"/>
      <c r="BL118" s="662"/>
    </row>
    <row r="119" spans="7:64" x14ac:dyDescent="0.25">
      <c r="G119" s="662"/>
      <c r="H119" s="662"/>
      <c r="I119" s="662"/>
      <c r="J119" s="662"/>
      <c r="K119" s="662"/>
      <c r="L119" s="662"/>
      <c r="M119" s="662"/>
      <c r="N119" s="662"/>
      <c r="O119" s="662"/>
      <c r="P119" s="662"/>
      <c r="Q119" s="662"/>
      <c r="R119" s="662"/>
      <c r="S119" s="662"/>
      <c r="T119" s="662"/>
      <c r="U119" s="662"/>
      <c r="V119" s="662"/>
      <c r="W119" s="662"/>
      <c r="X119" s="662"/>
      <c r="Y119" s="662"/>
      <c r="Z119" s="662"/>
      <c r="AA119" s="662"/>
      <c r="AB119" s="662"/>
      <c r="AC119" s="662"/>
      <c r="AD119" s="662"/>
      <c r="AE119" s="662"/>
      <c r="AF119" s="662"/>
      <c r="AG119" s="662"/>
      <c r="AH119" s="662"/>
      <c r="AI119" s="662"/>
      <c r="AJ119" s="662"/>
      <c r="AK119" s="662"/>
      <c r="AL119" s="662"/>
      <c r="AM119" s="662"/>
      <c r="AN119" s="662"/>
      <c r="AO119" s="662"/>
      <c r="AP119" s="662"/>
      <c r="AQ119" s="662"/>
      <c r="AR119" s="662"/>
      <c r="AS119" s="662"/>
      <c r="AT119" s="662"/>
      <c r="AU119" s="662"/>
      <c r="AV119" s="662"/>
      <c r="AW119" s="662"/>
      <c r="AX119" s="662"/>
      <c r="AY119" s="662"/>
      <c r="AZ119" s="662"/>
      <c r="BA119" s="662"/>
      <c r="BB119" s="662"/>
      <c r="BC119" s="662"/>
      <c r="BD119" s="662"/>
      <c r="BE119" s="662"/>
      <c r="BF119" s="662"/>
      <c r="BG119" s="662"/>
      <c r="BH119" s="662"/>
      <c r="BI119" s="662"/>
      <c r="BJ119" s="662"/>
      <c r="BK119" s="662"/>
      <c r="BL119" s="662"/>
    </row>
    <row r="120" spans="7:64" x14ac:dyDescent="0.25">
      <c r="G120" s="662"/>
      <c r="H120" s="662"/>
      <c r="I120" s="662"/>
      <c r="J120" s="662"/>
      <c r="K120" s="662"/>
      <c r="L120" s="662"/>
      <c r="M120" s="662"/>
      <c r="N120" s="662"/>
      <c r="O120" s="662"/>
      <c r="P120" s="662"/>
      <c r="Q120" s="662"/>
      <c r="R120" s="662"/>
      <c r="S120" s="662"/>
      <c r="T120" s="662"/>
      <c r="U120" s="662"/>
      <c r="V120" s="662"/>
      <c r="W120" s="662"/>
      <c r="X120" s="662"/>
      <c r="Y120" s="662"/>
      <c r="Z120" s="662"/>
      <c r="AA120" s="662"/>
      <c r="AB120" s="662"/>
      <c r="AC120" s="662"/>
      <c r="AD120" s="662"/>
      <c r="AE120" s="662"/>
      <c r="AF120" s="662"/>
      <c r="AG120" s="662"/>
      <c r="AH120" s="662"/>
      <c r="AI120" s="662"/>
      <c r="AJ120" s="662"/>
      <c r="AK120" s="662"/>
      <c r="AL120" s="662"/>
      <c r="AM120" s="662"/>
      <c r="AN120" s="662"/>
      <c r="AO120" s="662"/>
      <c r="AP120" s="662"/>
      <c r="AQ120" s="662"/>
      <c r="AR120" s="662"/>
      <c r="AS120" s="662"/>
      <c r="AT120" s="662"/>
      <c r="AU120" s="662"/>
      <c r="AV120" s="662"/>
      <c r="AW120" s="662"/>
      <c r="AX120" s="662"/>
      <c r="AY120" s="662"/>
      <c r="AZ120" s="662"/>
      <c r="BA120" s="662"/>
      <c r="BB120" s="662"/>
      <c r="BC120" s="662"/>
      <c r="BD120" s="662"/>
      <c r="BE120" s="662"/>
      <c r="BF120" s="662"/>
      <c r="BG120" s="662"/>
      <c r="BH120" s="662"/>
      <c r="BI120" s="662"/>
      <c r="BJ120" s="662"/>
      <c r="BK120" s="662"/>
      <c r="BL120" s="662"/>
    </row>
    <row r="121" spans="7:64" x14ac:dyDescent="0.25">
      <c r="G121" s="662"/>
      <c r="H121" s="662"/>
      <c r="I121" s="662"/>
      <c r="J121" s="662"/>
      <c r="K121" s="662"/>
      <c r="L121" s="662"/>
      <c r="M121" s="662"/>
      <c r="N121" s="662"/>
      <c r="O121" s="662"/>
      <c r="P121" s="662"/>
      <c r="Q121" s="662"/>
      <c r="R121" s="662"/>
      <c r="S121" s="662"/>
      <c r="T121" s="662"/>
      <c r="U121" s="662"/>
      <c r="V121" s="662"/>
      <c r="W121" s="662"/>
      <c r="X121" s="662"/>
      <c r="Y121" s="662"/>
      <c r="Z121" s="662"/>
      <c r="AA121" s="662"/>
      <c r="AB121" s="662"/>
      <c r="AC121" s="662"/>
      <c r="AD121" s="662"/>
      <c r="AE121" s="662"/>
      <c r="AF121" s="662"/>
      <c r="AG121" s="662"/>
      <c r="AH121" s="662"/>
      <c r="AI121" s="662"/>
      <c r="AJ121" s="662"/>
      <c r="AK121" s="662"/>
      <c r="AL121" s="662"/>
      <c r="AM121" s="662"/>
      <c r="AN121" s="662"/>
      <c r="AO121" s="662"/>
      <c r="AP121" s="662"/>
      <c r="AQ121" s="662"/>
      <c r="AR121" s="662"/>
      <c r="AS121" s="662"/>
      <c r="AT121" s="662"/>
      <c r="AU121" s="662"/>
      <c r="AV121" s="662"/>
      <c r="AW121" s="662"/>
      <c r="AX121" s="662"/>
      <c r="AY121" s="662"/>
      <c r="AZ121" s="662"/>
      <c r="BA121" s="662"/>
      <c r="BB121" s="662"/>
      <c r="BC121" s="662"/>
      <c r="BD121" s="662"/>
      <c r="BE121" s="662"/>
      <c r="BF121" s="662"/>
      <c r="BG121" s="662"/>
      <c r="BH121" s="662"/>
      <c r="BI121" s="662"/>
      <c r="BJ121" s="662"/>
      <c r="BK121" s="662"/>
      <c r="BL121" s="662"/>
    </row>
    <row r="122" spans="7:64" x14ac:dyDescent="0.25">
      <c r="G122" s="662"/>
      <c r="H122" s="662"/>
      <c r="I122" s="662"/>
      <c r="J122" s="662"/>
      <c r="K122" s="662"/>
      <c r="L122" s="662"/>
      <c r="M122" s="662"/>
      <c r="N122" s="662"/>
      <c r="O122" s="662"/>
      <c r="P122" s="662"/>
      <c r="Q122" s="662"/>
      <c r="R122" s="662"/>
      <c r="S122" s="662"/>
      <c r="T122" s="662"/>
      <c r="U122" s="662"/>
      <c r="V122" s="662"/>
      <c r="W122" s="662"/>
      <c r="X122" s="662"/>
      <c r="Y122" s="662"/>
      <c r="Z122" s="662"/>
      <c r="AA122" s="662"/>
      <c r="AB122" s="662"/>
      <c r="AC122" s="662"/>
      <c r="AD122" s="662"/>
      <c r="AE122" s="662"/>
      <c r="AF122" s="662"/>
      <c r="AG122" s="662"/>
      <c r="AH122" s="662"/>
      <c r="AI122" s="662"/>
      <c r="AJ122" s="662"/>
      <c r="AK122" s="662"/>
      <c r="AL122" s="662"/>
      <c r="AM122" s="662"/>
      <c r="AN122" s="662"/>
      <c r="AO122" s="662"/>
      <c r="AP122" s="662"/>
      <c r="AQ122" s="662"/>
      <c r="AR122" s="662"/>
      <c r="AS122" s="662"/>
      <c r="AT122" s="662"/>
      <c r="AU122" s="662"/>
      <c r="AV122" s="662"/>
      <c r="AW122" s="662"/>
      <c r="AX122" s="662"/>
      <c r="AY122" s="662"/>
      <c r="AZ122" s="662"/>
      <c r="BA122" s="662"/>
      <c r="BB122" s="662"/>
      <c r="BC122" s="662"/>
      <c r="BD122" s="662"/>
      <c r="BE122" s="662"/>
      <c r="BF122" s="662"/>
      <c r="BG122" s="662"/>
      <c r="BH122" s="662"/>
      <c r="BI122" s="662"/>
      <c r="BJ122" s="662"/>
      <c r="BK122" s="662"/>
      <c r="BL122" s="662"/>
    </row>
    <row r="123" spans="7:64" x14ac:dyDescent="0.25">
      <c r="G123" s="662"/>
      <c r="H123" s="662"/>
      <c r="I123" s="662"/>
      <c r="J123" s="662"/>
      <c r="K123" s="662"/>
      <c r="L123" s="662"/>
      <c r="M123" s="662"/>
      <c r="N123" s="662"/>
      <c r="O123" s="662"/>
      <c r="P123" s="662"/>
      <c r="Q123" s="662"/>
      <c r="R123" s="662"/>
      <c r="S123" s="662"/>
      <c r="T123" s="662"/>
      <c r="U123" s="662"/>
      <c r="V123" s="662"/>
      <c r="W123" s="662"/>
      <c r="X123" s="662"/>
      <c r="Y123" s="662"/>
      <c r="Z123" s="662"/>
      <c r="AA123" s="662"/>
      <c r="AB123" s="662"/>
      <c r="AC123" s="662"/>
      <c r="AD123" s="662"/>
      <c r="AE123" s="662"/>
      <c r="AF123" s="662"/>
      <c r="AG123" s="662"/>
      <c r="AH123" s="662"/>
      <c r="AI123" s="662"/>
      <c r="AJ123" s="662"/>
      <c r="AK123" s="662"/>
      <c r="AL123" s="662"/>
      <c r="AM123" s="662"/>
      <c r="AN123" s="662"/>
      <c r="AO123" s="662"/>
      <c r="AP123" s="662"/>
      <c r="AQ123" s="662"/>
      <c r="AR123" s="662"/>
      <c r="AS123" s="662"/>
      <c r="AT123" s="662"/>
      <c r="AU123" s="662"/>
      <c r="AV123" s="662"/>
      <c r="AW123" s="662"/>
      <c r="AX123" s="662"/>
      <c r="AY123" s="662"/>
      <c r="AZ123" s="662"/>
      <c r="BA123" s="662"/>
      <c r="BB123" s="662"/>
      <c r="BC123" s="662"/>
      <c r="BD123" s="662"/>
      <c r="BE123" s="662"/>
      <c r="BF123" s="662"/>
      <c r="BG123" s="662"/>
      <c r="BH123" s="662"/>
      <c r="BI123" s="662"/>
      <c r="BJ123" s="662"/>
      <c r="BK123" s="662"/>
      <c r="BL123" s="662"/>
    </row>
    <row r="124" spans="7:64" x14ac:dyDescent="0.25">
      <c r="G124" s="662"/>
      <c r="H124" s="662"/>
      <c r="I124" s="662"/>
      <c r="J124" s="662"/>
      <c r="K124" s="662"/>
      <c r="L124" s="662"/>
      <c r="M124" s="662"/>
      <c r="N124" s="662"/>
      <c r="O124" s="662"/>
      <c r="P124" s="662"/>
      <c r="Q124" s="662"/>
      <c r="R124" s="662"/>
      <c r="S124" s="662"/>
      <c r="T124" s="662"/>
      <c r="U124" s="662"/>
      <c r="V124" s="662"/>
      <c r="W124" s="662"/>
      <c r="X124" s="662"/>
      <c r="Y124" s="662"/>
      <c r="Z124" s="662"/>
      <c r="AA124" s="662"/>
      <c r="AB124" s="662"/>
      <c r="AC124" s="662"/>
      <c r="AD124" s="662"/>
      <c r="AE124" s="662"/>
      <c r="AF124" s="662"/>
      <c r="AG124" s="662"/>
      <c r="AH124" s="662"/>
      <c r="AI124" s="662"/>
      <c r="AJ124" s="662"/>
      <c r="AK124" s="662"/>
      <c r="AL124" s="662"/>
      <c r="AM124" s="662"/>
      <c r="AN124" s="662"/>
      <c r="AO124" s="662"/>
      <c r="AP124" s="662"/>
      <c r="AQ124" s="662"/>
      <c r="AR124" s="662"/>
      <c r="AS124" s="662"/>
      <c r="AT124" s="662"/>
      <c r="AU124" s="662"/>
      <c r="AV124" s="662"/>
      <c r="AW124" s="662"/>
      <c r="AX124" s="662"/>
      <c r="AY124" s="662"/>
      <c r="AZ124" s="662"/>
      <c r="BA124" s="662"/>
      <c r="BB124" s="662"/>
      <c r="BC124" s="662"/>
      <c r="BD124" s="662"/>
      <c r="BE124" s="662"/>
      <c r="BF124" s="662"/>
      <c r="BG124" s="662"/>
      <c r="BH124" s="662"/>
      <c r="BI124" s="662"/>
      <c r="BJ124" s="662"/>
      <c r="BK124" s="662"/>
      <c r="BL124" s="662"/>
    </row>
    <row r="125" spans="7:64" x14ac:dyDescent="0.25">
      <c r="G125" s="662"/>
      <c r="H125" s="662"/>
      <c r="I125" s="662"/>
      <c r="J125" s="662"/>
      <c r="K125" s="662"/>
      <c r="L125" s="662"/>
      <c r="M125" s="662"/>
      <c r="N125" s="662"/>
      <c r="O125" s="662"/>
      <c r="P125" s="662"/>
      <c r="Q125" s="662"/>
      <c r="R125" s="662"/>
      <c r="S125" s="662"/>
      <c r="T125" s="662"/>
      <c r="U125" s="662"/>
      <c r="V125" s="662"/>
      <c r="W125" s="662"/>
      <c r="X125" s="662"/>
      <c r="Y125" s="662"/>
      <c r="Z125" s="662"/>
      <c r="AA125" s="662"/>
      <c r="AB125" s="662"/>
      <c r="AC125" s="662"/>
      <c r="AD125" s="662"/>
      <c r="AE125" s="662"/>
      <c r="AF125" s="662"/>
      <c r="AG125" s="662"/>
      <c r="AH125" s="662"/>
      <c r="AI125" s="662"/>
      <c r="AJ125" s="662"/>
      <c r="AK125" s="662"/>
      <c r="AL125" s="662"/>
      <c r="AM125" s="662"/>
      <c r="AN125" s="662"/>
      <c r="AO125" s="662"/>
      <c r="AP125" s="662"/>
      <c r="AQ125" s="662"/>
      <c r="AR125" s="662"/>
      <c r="AS125" s="662"/>
      <c r="AT125" s="662"/>
      <c r="AU125" s="662"/>
      <c r="AV125" s="662"/>
      <c r="AW125" s="662"/>
      <c r="AX125" s="662"/>
      <c r="AY125" s="662"/>
      <c r="AZ125" s="662"/>
      <c r="BA125" s="662"/>
      <c r="BB125" s="662"/>
      <c r="BC125" s="662"/>
      <c r="BD125" s="662"/>
      <c r="BE125" s="662"/>
      <c r="BF125" s="662"/>
      <c r="BG125" s="662"/>
      <c r="BH125" s="662"/>
      <c r="BI125" s="662"/>
      <c r="BJ125" s="662"/>
      <c r="BK125" s="662"/>
      <c r="BL125" s="662"/>
    </row>
    <row r="126" spans="7:64" x14ac:dyDescent="0.25">
      <c r="G126" s="662"/>
      <c r="H126" s="662"/>
      <c r="I126" s="662"/>
      <c r="J126" s="662"/>
      <c r="K126" s="662"/>
      <c r="L126" s="662"/>
      <c r="M126" s="662"/>
      <c r="N126" s="662"/>
      <c r="O126" s="662"/>
      <c r="P126" s="662"/>
      <c r="Q126" s="662"/>
      <c r="R126" s="662"/>
      <c r="S126" s="662"/>
      <c r="T126" s="662"/>
      <c r="U126" s="662"/>
      <c r="V126" s="662"/>
      <c r="W126" s="662"/>
      <c r="X126" s="662"/>
      <c r="Y126" s="662"/>
      <c r="Z126" s="662"/>
      <c r="AA126" s="662"/>
      <c r="AB126" s="662"/>
      <c r="AC126" s="662"/>
      <c r="AD126" s="662"/>
      <c r="AE126" s="662"/>
      <c r="AF126" s="662"/>
      <c r="AG126" s="662"/>
      <c r="AH126" s="662"/>
      <c r="AI126" s="662"/>
      <c r="AJ126" s="662"/>
      <c r="AK126" s="662"/>
      <c r="AL126" s="662"/>
      <c r="AM126" s="662"/>
      <c r="AN126" s="662"/>
      <c r="AO126" s="662"/>
      <c r="AP126" s="662"/>
      <c r="AQ126" s="662"/>
      <c r="AR126" s="662"/>
      <c r="AS126" s="662"/>
      <c r="AT126" s="662"/>
      <c r="AU126" s="662"/>
      <c r="AV126" s="662"/>
      <c r="AW126" s="662"/>
      <c r="AX126" s="662"/>
      <c r="AY126" s="662"/>
      <c r="AZ126" s="662"/>
      <c r="BA126" s="662"/>
      <c r="BB126" s="662"/>
      <c r="BC126" s="662"/>
      <c r="BD126" s="662"/>
      <c r="BE126" s="662"/>
      <c r="BF126" s="662"/>
      <c r="BG126" s="662"/>
      <c r="BH126" s="662"/>
      <c r="BI126" s="662"/>
      <c r="BJ126" s="662"/>
      <c r="BK126" s="662"/>
      <c r="BL126" s="662"/>
    </row>
    <row r="127" spans="7:64" x14ac:dyDescent="0.25">
      <c r="G127" s="662"/>
      <c r="H127" s="662"/>
      <c r="I127" s="662"/>
      <c r="J127" s="662"/>
      <c r="K127" s="662"/>
      <c r="L127" s="662"/>
      <c r="M127" s="662"/>
      <c r="N127" s="662"/>
      <c r="O127" s="662"/>
      <c r="P127" s="662"/>
      <c r="Q127" s="662"/>
      <c r="R127" s="662"/>
      <c r="S127" s="662"/>
      <c r="T127" s="662"/>
      <c r="U127" s="662"/>
      <c r="V127" s="662"/>
      <c r="W127" s="662"/>
      <c r="X127" s="662"/>
      <c r="Y127" s="662"/>
      <c r="Z127" s="662"/>
      <c r="AA127" s="662"/>
      <c r="AB127" s="662"/>
      <c r="AC127" s="662"/>
      <c r="AD127" s="662"/>
      <c r="AE127" s="662"/>
      <c r="AF127" s="662"/>
      <c r="AG127" s="662"/>
      <c r="AH127" s="662"/>
      <c r="AI127" s="662"/>
      <c r="AJ127" s="662"/>
      <c r="AK127" s="662"/>
      <c r="AL127" s="662"/>
      <c r="AM127" s="662"/>
      <c r="AN127" s="662"/>
      <c r="AO127" s="662"/>
      <c r="AP127" s="662"/>
      <c r="AQ127" s="662"/>
      <c r="AR127" s="662"/>
      <c r="AS127" s="662"/>
      <c r="AT127" s="662"/>
      <c r="AU127" s="662"/>
      <c r="AV127" s="662"/>
      <c r="AW127" s="662"/>
      <c r="AX127" s="662"/>
      <c r="AY127" s="662"/>
      <c r="AZ127" s="662"/>
      <c r="BA127" s="662"/>
      <c r="BB127" s="662"/>
      <c r="BC127" s="662"/>
      <c r="BD127" s="662"/>
      <c r="BE127" s="662"/>
      <c r="BF127" s="662"/>
      <c r="BG127" s="662"/>
      <c r="BH127" s="662"/>
      <c r="BI127" s="662"/>
      <c r="BJ127" s="662"/>
      <c r="BK127" s="662"/>
      <c r="BL127" s="662"/>
    </row>
    <row r="128" spans="7:64" x14ac:dyDescent="0.25">
      <c r="G128" s="662"/>
      <c r="H128" s="662"/>
      <c r="I128" s="662"/>
      <c r="J128" s="662"/>
      <c r="K128" s="662"/>
      <c r="L128" s="662"/>
      <c r="M128" s="662"/>
      <c r="N128" s="662"/>
      <c r="O128" s="662"/>
      <c r="P128" s="662"/>
      <c r="Q128" s="662"/>
      <c r="R128" s="662"/>
      <c r="S128" s="662"/>
      <c r="T128" s="662"/>
      <c r="U128" s="662"/>
      <c r="V128" s="662"/>
      <c r="W128" s="662"/>
      <c r="X128" s="662"/>
      <c r="Y128" s="662"/>
      <c r="Z128" s="662"/>
      <c r="AA128" s="662"/>
      <c r="AB128" s="662"/>
      <c r="AC128" s="662"/>
      <c r="AD128" s="662"/>
      <c r="AE128" s="662"/>
      <c r="AF128" s="662"/>
      <c r="AG128" s="662"/>
      <c r="AH128" s="662"/>
      <c r="AI128" s="662"/>
      <c r="AJ128" s="662"/>
      <c r="AK128" s="662"/>
      <c r="AL128" s="662"/>
      <c r="AM128" s="662"/>
      <c r="AN128" s="662"/>
      <c r="AO128" s="662"/>
      <c r="AP128" s="662"/>
      <c r="AQ128" s="662"/>
      <c r="AR128" s="662"/>
      <c r="AS128" s="662"/>
      <c r="AT128" s="662"/>
      <c r="AU128" s="662"/>
      <c r="AV128" s="662"/>
      <c r="AW128" s="662"/>
      <c r="AX128" s="662"/>
      <c r="AY128" s="662"/>
      <c r="AZ128" s="662"/>
      <c r="BA128" s="662"/>
      <c r="BB128" s="662"/>
      <c r="BC128" s="662"/>
      <c r="BD128" s="662"/>
      <c r="BE128" s="662"/>
      <c r="BF128" s="662"/>
      <c r="BG128" s="662"/>
      <c r="BH128" s="662"/>
      <c r="BI128" s="662"/>
      <c r="BJ128" s="662"/>
      <c r="BK128" s="662"/>
      <c r="BL128" s="662"/>
    </row>
    <row r="129" spans="7:64" x14ac:dyDescent="0.25">
      <c r="G129" s="662"/>
      <c r="H129" s="662"/>
      <c r="I129" s="662"/>
      <c r="J129" s="662"/>
      <c r="K129" s="662"/>
      <c r="L129" s="662"/>
      <c r="M129" s="662"/>
      <c r="N129" s="662"/>
      <c r="O129" s="662"/>
      <c r="P129" s="662"/>
      <c r="Q129" s="662"/>
      <c r="R129" s="662"/>
      <c r="S129" s="662"/>
      <c r="T129" s="662"/>
      <c r="U129" s="662"/>
      <c r="V129" s="662"/>
      <c r="W129" s="662"/>
      <c r="X129" s="662"/>
      <c r="Y129" s="662"/>
      <c r="Z129" s="662"/>
      <c r="AA129" s="662"/>
      <c r="AB129" s="662"/>
      <c r="AC129" s="662"/>
      <c r="AD129" s="662"/>
      <c r="AE129" s="662"/>
      <c r="AF129" s="662"/>
      <c r="AG129" s="662"/>
      <c r="AH129" s="662"/>
      <c r="AI129" s="662"/>
      <c r="AJ129" s="662"/>
      <c r="AK129" s="662"/>
      <c r="AL129" s="662"/>
      <c r="AM129" s="662"/>
      <c r="AN129" s="662"/>
      <c r="AO129" s="662"/>
      <c r="AP129" s="662"/>
      <c r="AQ129" s="662"/>
      <c r="AR129" s="662"/>
      <c r="AS129" s="662"/>
      <c r="AT129" s="662"/>
      <c r="AU129" s="662"/>
      <c r="AV129" s="662"/>
      <c r="AW129" s="662"/>
      <c r="AX129" s="662"/>
      <c r="AY129" s="662"/>
      <c r="AZ129" s="662"/>
      <c r="BA129" s="662"/>
      <c r="BB129" s="662"/>
      <c r="BC129" s="662"/>
      <c r="BD129" s="662"/>
      <c r="BE129" s="662"/>
      <c r="BF129" s="662"/>
      <c r="BG129" s="662"/>
      <c r="BH129" s="662"/>
      <c r="BI129" s="662"/>
      <c r="BJ129" s="662"/>
      <c r="BK129" s="662"/>
      <c r="BL129" s="662"/>
    </row>
    <row r="130" spans="7:64" x14ac:dyDescent="0.25">
      <c r="G130" s="662"/>
      <c r="H130" s="662"/>
      <c r="I130" s="662"/>
      <c r="J130" s="662"/>
      <c r="K130" s="662"/>
      <c r="L130" s="662"/>
      <c r="M130" s="662"/>
      <c r="N130" s="662"/>
      <c r="O130" s="662"/>
      <c r="P130" s="662"/>
      <c r="Q130" s="662"/>
      <c r="R130" s="662"/>
      <c r="S130" s="662"/>
      <c r="T130" s="662"/>
      <c r="U130" s="662"/>
      <c r="V130" s="662"/>
      <c r="W130" s="662"/>
      <c r="X130" s="662"/>
      <c r="Y130" s="662"/>
      <c r="Z130" s="662"/>
      <c r="AA130" s="662"/>
      <c r="AB130" s="662"/>
      <c r="AC130" s="662"/>
      <c r="AD130" s="662"/>
      <c r="AE130" s="662"/>
      <c r="AF130" s="662"/>
      <c r="AG130" s="662"/>
      <c r="AH130" s="662"/>
      <c r="AI130" s="662"/>
      <c r="AJ130" s="662"/>
      <c r="AK130" s="662"/>
      <c r="AL130" s="662"/>
      <c r="AM130" s="662"/>
      <c r="AN130" s="662"/>
      <c r="AO130" s="662"/>
      <c r="AP130" s="662"/>
      <c r="AQ130" s="662"/>
      <c r="AR130" s="662"/>
      <c r="AS130" s="662"/>
      <c r="AT130" s="662"/>
      <c r="AU130" s="662"/>
      <c r="AV130" s="662"/>
      <c r="AW130" s="662"/>
      <c r="AX130" s="662"/>
      <c r="AY130" s="662"/>
      <c r="AZ130" s="662"/>
      <c r="BA130" s="662"/>
      <c r="BB130" s="662"/>
      <c r="BC130" s="662"/>
      <c r="BD130" s="662"/>
      <c r="BE130" s="662"/>
      <c r="BF130" s="662"/>
      <c r="BG130" s="662"/>
      <c r="BH130" s="662"/>
      <c r="BI130" s="662"/>
      <c r="BJ130" s="662"/>
      <c r="BK130" s="662"/>
      <c r="BL130" s="662"/>
    </row>
    <row r="131" spans="7:64" x14ac:dyDescent="0.25">
      <c r="G131" s="662"/>
      <c r="H131" s="662"/>
      <c r="I131" s="662"/>
      <c r="J131" s="662"/>
      <c r="K131" s="662"/>
      <c r="L131" s="662"/>
      <c r="M131" s="662"/>
      <c r="N131" s="662"/>
      <c r="O131" s="662"/>
      <c r="P131" s="662"/>
      <c r="Q131" s="662"/>
      <c r="R131" s="662"/>
      <c r="S131" s="662"/>
      <c r="T131" s="662"/>
      <c r="U131" s="662"/>
      <c r="V131" s="662"/>
      <c r="W131" s="662"/>
      <c r="X131" s="662"/>
      <c r="Y131" s="662"/>
      <c r="Z131" s="662"/>
      <c r="AA131" s="662"/>
      <c r="AB131" s="662"/>
      <c r="AC131" s="662"/>
      <c r="AD131" s="662"/>
      <c r="AE131" s="662"/>
      <c r="AF131" s="662"/>
      <c r="AG131" s="662"/>
      <c r="AH131" s="662"/>
      <c r="AI131" s="662"/>
      <c r="AJ131" s="662"/>
      <c r="AK131" s="662"/>
      <c r="AL131" s="662"/>
      <c r="AM131" s="662"/>
      <c r="AN131" s="662"/>
      <c r="AO131" s="662"/>
      <c r="AP131" s="662"/>
      <c r="AQ131" s="662"/>
      <c r="AR131" s="662"/>
      <c r="AS131" s="662"/>
      <c r="AT131" s="662"/>
      <c r="AU131" s="662"/>
      <c r="AV131" s="662"/>
      <c r="AW131" s="662"/>
      <c r="AX131" s="662"/>
      <c r="AY131" s="662"/>
      <c r="AZ131" s="662"/>
      <c r="BA131" s="662"/>
      <c r="BB131" s="662"/>
      <c r="BC131" s="662"/>
      <c r="BD131" s="662"/>
      <c r="BE131" s="662"/>
      <c r="BF131" s="662"/>
      <c r="BG131" s="662"/>
      <c r="BH131" s="662"/>
      <c r="BI131" s="662"/>
      <c r="BJ131" s="662"/>
      <c r="BK131" s="662"/>
      <c r="BL131" s="662"/>
    </row>
    <row r="132" spans="7:64" x14ac:dyDescent="0.25">
      <c r="G132" s="662"/>
      <c r="H132" s="662"/>
      <c r="I132" s="662"/>
      <c r="J132" s="662"/>
      <c r="K132" s="662"/>
      <c r="L132" s="662"/>
      <c r="M132" s="662"/>
      <c r="N132" s="662"/>
      <c r="O132" s="662"/>
      <c r="P132" s="662"/>
      <c r="Q132" s="662"/>
      <c r="R132" s="662"/>
      <c r="S132" s="662"/>
      <c r="T132" s="662"/>
      <c r="U132" s="662"/>
      <c r="V132" s="662"/>
      <c r="W132" s="662"/>
      <c r="X132" s="662"/>
      <c r="Y132" s="662"/>
      <c r="Z132" s="662"/>
      <c r="AA132" s="662"/>
      <c r="AB132" s="662"/>
      <c r="AC132" s="662"/>
      <c r="AD132" s="662"/>
      <c r="AE132" s="662"/>
      <c r="AF132" s="662"/>
      <c r="AG132" s="662"/>
      <c r="AH132" s="662"/>
      <c r="AI132" s="662"/>
      <c r="AJ132" s="662"/>
      <c r="AK132" s="662"/>
      <c r="AL132" s="662"/>
      <c r="AM132" s="662"/>
      <c r="AN132" s="662"/>
      <c r="AO132" s="662"/>
      <c r="AP132" s="662"/>
      <c r="AQ132" s="662"/>
      <c r="AR132" s="662"/>
      <c r="AS132" s="662"/>
      <c r="AT132" s="662"/>
      <c r="AU132" s="662"/>
      <c r="AV132" s="662"/>
      <c r="AW132" s="662"/>
      <c r="AX132" s="662"/>
      <c r="AY132" s="662"/>
      <c r="AZ132" s="662"/>
      <c r="BA132" s="662"/>
      <c r="BB132" s="662"/>
      <c r="BC132" s="662"/>
      <c r="BD132" s="662"/>
      <c r="BE132" s="662"/>
      <c r="BF132" s="662"/>
      <c r="BG132" s="662"/>
      <c r="BH132" s="662"/>
      <c r="BI132" s="662"/>
      <c r="BJ132" s="662"/>
      <c r="BK132" s="662"/>
      <c r="BL132" s="662"/>
    </row>
    <row r="133" spans="7:64" x14ac:dyDescent="0.25">
      <c r="G133" s="662"/>
      <c r="H133" s="662"/>
      <c r="I133" s="662"/>
      <c r="J133" s="662"/>
      <c r="K133" s="662"/>
      <c r="L133" s="662"/>
      <c r="M133" s="662"/>
      <c r="N133" s="662"/>
      <c r="O133" s="662"/>
      <c r="P133" s="662"/>
      <c r="Q133" s="662"/>
      <c r="R133" s="662"/>
      <c r="S133" s="662"/>
      <c r="T133" s="662"/>
      <c r="U133" s="662"/>
      <c r="V133" s="662"/>
      <c r="W133" s="662"/>
      <c r="X133" s="662"/>
      <c r="Y133" s="662"/>
      <c r="Z133" s="662"/>
      <c r="AA133" s="662"/>
      <c r="AB133" s="662"/>
      <c r="AC133" s="662"/>
      <c r="AD133" s="662"/>
      <c r="AE133" s="662"/>
      <c r="AF133" s="662"/>
      <c r="AG133" s="662"/>
      <c r="AH133" s="662"/>
      <c r="AI133" s="662"/>
      <c r="AJ133" s="662"/>
      <c r="AK133" s="662"/>
      <c r="AL133" s="662"/>
      <c r="AM133" s="662"/>
      <c r="AN133" s="662"/>
      <c r="AO133" s="662"/>
      <c r="AP133" s="662"/>
      <c r="AQ133" s="662"/>
      <c r="AR133" s="662"/>
      <c r="AS133" s="662"/>
      <c r="AT133" s="662"/>
      <c r="AU133" s="662"/>
      <c r="AV133" s="662"/>
      <c r="AW133" s="662"/>
      <c r="AX133" s="662"/>
      <c r="AY133" s="662"/>
      <c r="AZ133" s="662"/>
      <c r="BA133" s="662"/>
      <c r="BB133" s="662"/>
      <c r="BC133" s="662"/>
      <c r="BD133" s="662"/>
      <c r="BE133" s="662"/>
      <c r="BF133" s="662"/>
      <c r="BG133" s="662"/>
      <c r="BH133" s="662"/>
      <c r="BI133" s="662"/>
      <c r="BJ133" s="662"/>
      <c r="BK133" s="662"/>
      <c r="BL133" s="662"/>
    </row>
    <row r="134" spans="7:64" x14ac:dyDescent="0.25">
      <c r="G134" s="662"/>
      <c r="H134" s="662"/>
      <c r="I134" s="662"/>
      <c r="J134" s="662"/>
      <c r="K134" s="662"/>
      <c r="L134" s="662"/>
      <c r="M134" s="662"/>
      <c r="N134" s="662"/>
      <c r="O134" s="662"/>
      <c r="P134" s="662"/>
      <c r="Q134" s="662"/>
      <c r="R134" s="662"/>
      <c r="S134" s="662"/>
      <c r="T134" s="662"/>
      <c r="U134" s="662"/>
      <c r="V134" s="662"/>
      <c r="W134" s="662"/>
      <c r="X134" s="662"/>
      <c r="Y134" s="662"/>
      <c r="Z134" s="662"/>
      <c r="AA134" s="662"/>
      <c r="AB134" s="662"/>
      <c r="AC134" s="662"/>
      <c r="AD134" s="662"/>
      <c r="AE134" s="662"/>
      <c r="AF134" s="662"/>
      <c r="AG134" s="662"/>
      <c r="AH134" s="662"/>
      <c r="AI134" s="662"/>
      <c r="AJ134" s="662"/>
      <c r="AK134" s="662"/>
      <c r="AL134" s="662"/>
      <c r="AM134" s="662"/>
      <c r="AN134" s="662"/>
      <c r="AO134" s="662"/>
      <c r="AP134" s="662"/>
      <c r="AQ134" s="662"/>
      <c r="AR134" s="662"/>
      <c r="AS134" s="662"/>
      <c r="AT134" s="662"/>
      <c r="AU134" s="662"/>
      <c r="AV134" s="662"/>
      <c r="AW134" s="662"/>
      <c r="AX134" s="662"/>
      <c r="AY134" s="662"/>
      <c r="AZ134" s="662"/>
      <c r="BA134" s="662"/>
      <c r="BB134" s="662"/>
      <c r="BC134" s="662"/>
      <c r="BD134" s="662"/>
      <c r="BE134" s="662"/>
      <c r="BF134" s="662"/>
      <c r="BG134" s="662"/>
      <c r="BH134" s="662"/>
      <c r="BI134" s="662"/>
      <c r="BJ134" s="662"/>
      <c r="BK134" s="662"/>
      <c r="BL134" s="662"/>
    </row>
    <row r="135" spans="7:64" x14ac:dyDescent="0.25">
      <c r="G135" s="662"/>
      <c r="H135" s="662"/>
      <c r="I135" s="662"/>
      <c r="J135" s="662"/>
      <c r="K135" s="662"/>
      <c r="L135" s="662"/>
      <c r="M135" s="662"/>
      <c r="N135" s="662"/>
      <c r="O135" s="662"/>
      <c r="P135" s="662"/>
      <c r="Q135" s="662"/>
      <c r="R135" s="662"/>
      <c r="S135" s="662"/>
      <c r="T135" s="662"/>
      <c r="U135" s="662"/>
      <c r="V135" s="662"/>
      <c r="W135" s="662"/>
      <c r="X135" s="662"/>
      <c r="Y135" s="662"/>
      <c r="Z135" s="662"/>
      <c r="AA135" s="662"/>
      <c r="AB135" s="662"/>
      <c r="AC135" s="662"/>
      <c r="AD135" s="662"/>
      <c r="AE135" s="662"/>
      <c r="AF135" s="662"/>
      <c r="AG135" s="662"/>
      <c r="AH135" s="662"/>
      <c r="AI135" s="662"/>
      <c r="AJ135" s="662"/>
      <c r="AK135" s="662"/>
      <c r="AL135" s="662"/>
      <c r="AM135" s="662"/>
      <c r="AN135" s="662"/>
      <c r="AO135" s="662"/>
      <c r="AP135" s="662"/>
      <c r="AQ135" s="662"/>
      <c r="AR135" s="662"/>
      <c r="AS135" s="662"/>
      <c r="AT135" s="662"/>
      <c r="AU135" s="662"/>
      <c r="AV135" s="662"/>
      <c r="AW135" s="662"/>
      <c r="AX135" s="662"/>
      <c r="AY135" s="662"/>
      <c r="AZ135" s="662"/>
      <c r="BA135" s="662"/>
      <c r="BB135" s="662"/>
      <c r="BC135" s="662"/>
      <c r="BD135" s="662"/>
      <c r="BE135" s="662"/>
      <c r="BF135" s="662"/>
      <c r="BG135" s="662"/>
      <c r="BH135" s="662"/>
      <c r="BI135" s="662"/>
      <c r="BJ135" s="662"/>
      <c r="BK135" s="662"/>
      <c r="BL135" s="662"/>
    </row>
    <row r="136" spans="7:64" x14ac:dyDescent="0.25">
      <c r="G136" s="662"/>
      <c r="H136" s="662"/>
      <c r="I136" s="662"/>
      <c r="J136" s="662"/>
      <c r="K136" s="662"/>
      <c r="L136" s="662"/>
      <c r="M136" s="662"/>
      <c r="N136" s="662"/>
      <c r="O136" s="662"/>
      <c r="P136" s="662"/>
      <c r="Q136" s="662"/>
      <c r="R136" s="662"/>
      <c r="S136" s="662"/>
      <c r="T136" s="662"/>
      <c r="U136" s="662"/>
      <c r="V136" s="662"/>
      <c r="W136" s="662"/>
      <c r="X136" s="662"/>
      <c r="Y136" s="662"/>
      <c r="Z136" s="662"/>
      <c r="AA136" s="662"/>
      <c r="AB136" s="662"/>
      <c r="AC136" s="662"/>
      <c r="AD136" s="662"/>
      <c r="AE136" s="662"/>
      <c r="AF136" s="662"/>
      <c r="AG136" s="662"/>
      <c r="AH136" s="662"/>
      <c r="AI136" s="662"/>
      <c r="AJ136" s="662"/>
      <c r="AK136" s="662"/>
      <c r="AL136" s="662"/>
      <c r="AM136" s="662"/>
      <c r="AN136" s="662"/>
      <c r="AO136" s="662"/>
      <c r="AP136" s="662"/>
      <c r="AQ136" s="662"/>
      <c r="AR136" s="662"/>
      <c r="AS136" s="662"/>
      <c r="AT136" s="662"/>
      <c r="AU136" s="662"/>
      <c r="AV136" s="662"/>
      <c r="AW136" s="662"/>
      <c r="AX136" s="662"/>
      <c r="AY136" s="662"/>
      <c r="AZ136" s="662"/>
      <c r="BA136" s="662"/>
      <c r="BB136" s="662"/>
      <c r="BC136" s="662"/>
      <c r="BD136" s="662"/>
      <c r="BE136" s="662"/>
      <c r="BF136" s="662"/>
      <c r="BG136" s="662"/>
      <c r="BH136" s="662"/>
      <c r="BI136" s="662"/>
      <c r="BJ136" s="662"/>
      <c r="BK136" s="662"/>
      <c r="BL136" s="662"/>
    </row>
    <row r="137" spans="7:64" x14ac:dyDescent="0.25">
      <c r="G137" s="662"/>
      <c r="H137" s="662"/>
      <c r="I137" s="662"/>
      <c r="J137" s="662"/>
      <c r="K137" s="662"/>
      <c r="L137" s="662"/>
      <c r="M137" s="662"/>
      <c r="N137" s="662"/>
      <c r="O137" s="662"/>
      <c r="P137" s="662"/>
      <c r="Q137" s="662"/>
      <c r="R137" s="662"/>
      <c r="S137" s="662"/>
      <c r="T137" s="662"/>
      <c r="U137" s="662"/>
      <c r="V137" s="662"/>
      <c r="W137" s="662"/>
      <c r="X137" s="662"/>
      <c r="Y137" s="662"/>
      <c r="Z137" s="662"/>
      <c r="AA137" s="662"/>
      <c r="AB137" s="662"/>
      <c r="AC137" s="662"/>
      <c r="AD137" s="662"/>
      <c r="AE137" s="662"/>
      <c r="AF137" s="662"/>
      <c r="AG137" s="662"/>
      <c r="AH137" s="662"/>
      <c r="AI137" s="662"/>
      <c r="AJ137" s="662"/>
      <c r="AK137" s="662"/>
      <c r="AL137" s="662"/>
      <c r="AM137" s="662"/>
      <c r="AN137" s="662"/>
      <c r="AO137" s="662"/>
      <c r="AP137" s="662"/>
      <c r="AQ137" s="662"/>
      <c r="AR137" s="662"/>
      <c r="AS137" s="662"/>
      <c r="AT137" s="662"/>
      <c r="AU137" s="662"/>
      <c r="AV137" s="662"/>
      <c r="AW137" s="662"/>
      <c r="AX137" s="662"/>
      <c r="AY137" s="662"/>
      <c r="AZ137" s="662"/>
      <c r="BA137" s="662"/>
      <c r="BB137" s="662"/>
      <c r="BC137" s="662"/>
      <c r="BD137" s="662"/>
      <c r="BE137" s="662"/>
      <c r="BF137" s="662"/>
      <c r="BG137" s="662"/>
      <c r="BH137" s="662"/>
      <c r="BI137" s="662"/>
      <c r="BJ137" s="662"/>
      <c r="BK137" s="662"/>
      <c r="BL137" s="662"/>
    </row>
    <row r="138" spans="7:64" x14ac:dyDescent="0.25">
      <c r="G138" s="662"/>
      <c r="H138" s="662"/>
      <c r="I138" s="662"/>
      <c r="J138" s="662"/>
      <c r="K138" s="662"/>
      <c r="L138" s="662"/>
      <c r="M138" s="662"/>
      <c r="N138" s="662"/>
      <c r="O138" s="662"/>
      <c r="P138" s="662"/>
      <c r="Q138" s="662"/>
      <c r="R138" s="662"/>
      <c r="S138" s="662"/>
      <c r="T138" s="662"/>
      <c r="U138" s="662"/>
      <c r="V138" s="662"/>
      <c r="W138" s="662"/>
      <c r="X138" s="662"/>
      <c r="Y138" s="662"/>
      <c r="Z138" s="662"/>
      <c r="AA138" s="662"/>
      <c r="AB138" s="662"/>
      <c r="AC138" s="662"/>
      <c r="AD138" s="662"/>
      <c r="AE138" s="662"/>
      <c r="AF138" s="662"/>
      <c r="AG138" s="662"/>
      <c r="AH138" s="662"/>
      <c r="AI138" s="662"/>
      <c r="AJ138" s="662"/>
      <c r="AK138" s="662"/>
      <c r="AL138" s="662"/>
      <c r="AM138" s="662"/>
      <c r="AN138" s="662"/>
      <c r="AO138" s="662"/>
      <c r="AP138" s="662"/>
      <c r="AQ138" s="662"/>
      <c r="AR138" s="662"/>
      <c r="AS138" s="662"/>
      <c r="AT138" s="662"/>
      <c r="AU138" s="662"/>
      <c r="AV138" s="662"/>
      <c r="AW138" s="662"/>
      <c r="AX138" s="662"/>
      <c r="AY138" s="662"/>
      <c r="AZ138" s="662"/>
      <c r="BA138" s="662"/>
      <c r="BB138" s="662"/>
      <c r="BC138" s="662"/>
      <c r="BD138" s="662"/>
      <c r="BE138" s="662"/>
      <c r="BF138" s="662"/>
      <c r="BG138" s="662"/>
      <c r="BH138" s="662"/>
      <c r="BI138" s="662"/>
      <c r="BJ138" s="662"/>
      <c r="BK138" s="662"/>
      <c r="BL138" s="662"/>
    </row>
    <row r="139" spans="7:64" x14ac:dyDescent="0.25">
      <c r="G139" s="662"/>
      <c r="H139" s="662"/>
      <c r="I139" s="662"/>
      <c r="J139" s="662"/>
      <c r="K139" s="662"/>
      <c r="L139" s="662"/>
      <c r="M139" s="662"/>
      <c r="N139" s="662"/>
      <c r="O139" s="662"/>
      <c r="P139" s="662"/>
      <c r="Q139" s="662"/>
      <c r="R139" s="662"/>
      <c r="S139" s="662"/>
      <c r="T139" s="662"/>
      <c r="U139" s="662"/>
      <c r="V139" s="662"/>
      <c r="W139" s="662"/>
      <c r="X139" s="662"/>
      <c r="Y139" s="662"/>
      <c r="Z139" s="662"/>
      <c r="AA139" s="662"/>
      <c r="AB139" s="662"/>
      <c r="AC139" s="662"/>
      <c r="AD139" s="662"/>
      <c r="AE139" s="662"/>
      <c r="AF139" s="662"/>
      <c r="AG139" s="662"/>
      <c r="AH139" s="662"/>
      <c r="AI139" s="662"/>
      <c r="AJ139" s="662"/>
      <c r="AK139" s="662"/>
      <c r="AL139" s="662"/>
      <c r="AM139" s="662"/>
      <c r="AN139" s="662"/>
      <c r="AO139" s="662"/>
      <c r="AP139" s="662"/>
      <c r="AQ139" s="662"/>
      <c r="AR139" s="662"/>
      <c r="AS139" s="662"/>
      <c r="AT139" s="662"/>
      <c r="AU139" s="662"/>
      <c r="AV139" s="662"/>
      <c r="AW139" s="662"/>
      <c r="AX139" s="662"/>
      <c r="AY139" s="662"/>
      <c r="AZ139" s="662"/>
      <c r="BA139" s="662"/>
      <c r="BB139" s="662"/>
      <c r="BC139" s="662"/>
      <c r="BD139" s="662"/>
      <c r="BE139" s="662"/>
      <c r="BF139" s="662"/>
      <c r="BG139" s="662"/>
      <c r="BH139" s="662"/>
      <c r="BI139" s="662"/>
      <c r="BJ139" s="662"/>
      <c r="BK139" s="662"/>
      <c r="BL139" s="662"/>
    </row>
    <row r="140" spans="7:64" x14ac:dyDescent="0.25">
      <c r="G140" s="662"/>
      <c r="H140" s="662"/>
      <c r="I140" s="662"/>
      <c r="J140" s="662"/>
      <c r="K140" s="662"/>
      <c r="L140" s="662"/>
      <c r="M140" s="662"/>
      <c r="N140" s="662"/>
      <c r="O140" s="662"/>
      <c r="P140" s="662"/>
      <c r="Q140" s="662"/>
      <c r="R140" s="662"/>
      <c r="S140" s="662"/>
      <c r="T140" s="662"/>
      <c r="U140" s="662"/>
      <c r="V140" s="662"/>
      <c r="W140" s="662"/>
      <c r="X140" s="662"/>
      <c r="Y140" s="662"/>
      <c r="Z140" s="662"/>
      <c r="AA140" s="662"/>
      <c r="AB140" s="662"/>
      <c r="AC140" s="662"/>
      <c r="AD140" s="662"/>
      <c r="AE140" s="662"/>
      <c r="AF140" s="662"/>
      <c r="AG140" s="662"/>
      <c r="AH140" s="662"/>
      <c r="AI140" s="662"/>
      <c r="AJ140" s="662"/>
      <c r="AK140" s="662"/>
      <c r="AL140" s="662"/>
      <c r="AM140" s="662"/>
      <c r="AN140" s="662"/>
      <c r="AO140" s="662"/>
      <c r="AP140" s="662"/>
      <c r="AQ140" s="662"/>
      <c r="AR140" s="662"/>
      <c r="AS140" s="662"/>
      <c r="AT140" s="662"/>
      <c r="AU140" s="662"/>
      <c r="AV140" s="662"/>
      <c r="AW140" s="662"/>
      <c r="AX140" s="662"/>
      <c r="AY140" s="662"/>
      <c r="AZ140" s="662"/>
      <c r="BA140" s="662"/>
      <c r="BB140" s="662"/>
      <c r="BC140" s="662"/>
      <c r="BD140" s="662"/>
      <c r="BE140" s="662"/>
      <c r="BF140" s="662"/>
      <c r="BG140" s="662"/>
      <c r="BH140" s="662"/>
      <c r="BI140" s="662"/>
      <c r="BJ140" s="662"/>
      <c r="BK140" s="662"/>
      <c r="BL140" s="662"/>
    </row>
    <row r="141" spans="7:64" x14ac:dyDescent="0.25">
      <c r="G141" s="662"/>
      <c r="H141" s="662"/>
      <c r="I141" s="662"/>
      <c r="J141" s="662"/>
      <c r="K141" s="662"/>
      <c r="L141" s="662"/>
      <c r="M141" s="662"/>
      <c r="N141" s="662"/>
      <c r="O141" s="662"/>
      <c r="P141" s="662"/>
      <c r="Q141" s="662"/>
      <c r="R141" s="662"/>
      <c r="S141" s="662"/>
      <c r="T141" s="662"/>
      <c r="U141" s="662"/>
      <c r="V141" s="662"/>
      <c r="W141" s="662"/>
      <c r="X141" s="662"/>
      <c r="Y141" s="662"/>
      <c r="Z141" s="662"/>
      <c r="AA141" s="662"/>
      <c r="AB141" s="662"/>
      <c r="AC141" s="662"/>
      <c r="AD141" s="662"/>
      <c r="AE141" s="662"/>
      <c r="AF141" s="662"/>
      <c r="AG141" s="662"/>
      <c r="AH141" s="662"/>
      <c r="AI141" s="662"/>
      <c r="AJ141" s="662"/>
      <c r="AK141" s="662"/>
      <c r="AL141" s="662"/>
      <c r="AM141" s="662"/>
      <c r="AN141" s="662"/>
      <c r="AO141" s="662"/>
      <c r="AP141" s="662"/>
      <c r="AQ141" s="662"/>
      <c r="AR141" s="662"/>
      <c r="AS141" s="662"/>
      <c r="AT141" s="662"/>
      <c r="AU141" s="662"/>
      <c r="AV141" s="662"/>
      <c r="AW141" s="662"/>
      <c r="AX141" s="662"/>
      <c r="AY141" s="662"/>
      <c r="AZ141" s="662"/>
      <c r="BA141" s="662"/>
      <c r="BB141" s="662"/>
      <c r="BC141" s="662"/>
      <c r="BD141" s="662"/>
      <c r="BE141" s="662"/>
      <c r="BF141" s="662"/>
      <c r="BG141" s="662"/>
      <c r="BH141" s="662"/>
      <c r="BI141" s="662"/>
      <c r="BJ141" s="662"/>
      <c r="BK141" s="662"/>
      <c r="BL141" s="662"/>
    </row>
    <row r="142" spans="7:64" x14ac:dyDescent="0.25">
      <c r="G142" s="662"/>
      <c r="H142" s="662"/>
      <c r="I142" s="662"/>
      <c r="J142" s="662"/>
      <c r="K142" s="662"/>
      <c r="L142" s="662"/>
      <c r="M142" s="662"/>
      <c r="N142" s="662"/>
      <c r="O142" s="662"/>
      <c r="P142" s="662"/>
      <c r="Q142" s="662"/>
      <c r="R142" s="662"/>
      <c r="S142" s="662"/>
      <c r="T142" s="662"/>
      <c r="U142" s="662"/>
      <c r="V142" s="662"/>
      <c r="W142" s="662"/>
      <c r="X142" s="662"/>
      <c r="Y142" s="662"/>
      <c r="Z142" s="662"/>
      <c r="AA142" s="662"/>
      <c r="AB142" s="662"/>
      <c r="AC142" s="662"/>
      <c r="AD142" s="662"/>
      <c r="AE142" s="662"/>
      <c r="AF142" s="662"/>
      <c r="AG142" s="662"/>
      <c r="AH142" s="662"/>
      <c r="AI142" s="662"/>
      <c r="AJ142" s="662"/>
      <c r="AK142" s="662"/>
      <c r="AL142" s="662"/>
      <c r="AM142" s="662"/>
      <c r="AN142" s="662"/>
      <c r="AO142" s="662"/>
      <c r="AP142" s="662"/>
      <c r="AQ142" s="662"/>
      <c r="AR142" s="662"/>
      <c r="AS142" s="662"/>
      <c r="AT142" s="662"/>
      <c r="AU142" s="662"/>
      <c r="AV142" s="662"/>
      <c r="AW142" s="662"/>
      <c r="AX142" s="662"/>
      <c r="AY142" s="662"/>
      <c r="AZ142" s="662"/>
      <c r="BA142" s="662"/>
      <c r="BB142" s="662"/>
      <c r="BC142" s="662"/>
      <c r="BD142" s="662"/>
      <c r="BE142" s="662"/>
      <c r="BF142" s="662"/>
      <c r="BG142" s="662"/>
      <c r="BH142" s="662"/>
      <c r="BI142" s="662"/>
      <c r="BJ142" s="662"/>
      <c r="BK142" s="662"/>
      <c r="BL142" s="662"/>
    </row>
    <row r="143" spans="7:64" x14ac:dyDescent="0.25">
      <c r="G143" s="662"/>
      <c r="H143" s="662"/>
      <c r="I143" s="662"/>
      <c r="J143" s="662"/>
      <c r="K143" s="662"/>
      <c r="L143" s="662"/>
      <c r="M143" s="662"/>
      <c r="N143" s="662"/>
      <c r="O143" s="662"/>
      <c r="P143" s="662"/>
      <c r="Q143" s="662"/>
      <c r="R143" s="662"/>
      <c r="S143" s="662"/>
      <c r="T143" s="662"/>
      <c r="U143" s="662"/>
      <c r="V143" s="662"/>
      <c r="W143" s="662"/>
      <c r="X143" s="662"/>
      <c r="Y143" s="662"/>
      <c r="Z143" s="662"/>
      <c r="AA143" s="662"/>
      <c r="AB143" s="662"/>
      <c r="AC143" s="662"/>
      <c r="AD143" s="662"/>
      <c r="AE143" s="662"/>
      <c r="AF143" s="662"/>
      <c r="AG143" s="662"/>
      <c r="AH143" s="662"/>
      <c r="AI143" s="662"/>
      <c r="AJ143" s="662"/>
      <c r="AK143" s="662"/>
      <c r="AL143" s="662"/>
      <c r="AM143" s="662"/>
      <c r="AN143" s="662"/>
      <c r="AO143" s="662"/>
      <c r="AP143" s="662"/>
      <c r="AQ143" s="662"/>
      <c r="AR143" s="662"/>
      <c r="AS143" s="662"/>
      <c r="AT143" s="662"/>
      <c r="AU143" s="662"/>
      <c r="AV143" s="662"/>
      <c r="AW143" s="662"/>
      <c r="AX143" s="662"/>
      <c r="AY143" s="662"/>
      <c r="AZ143" s="662"/>
      <c r="BA143" s="662"/>
      <c r="BB143" s="662"/>
      <c r="BC143" s="662"/>
      <c r="BD143" s="662"/>
      <c r="BE143" s="662"/>
      <c r="BF143" s="662"/>
      <c r="BG143" s="662"/>
      <c r="BH143" s="662"/>
      <c r="BI143" s="662"/>
      <c r="BJ143" s="662"/>
      <c r="BK143" s="662"/>
      <c r="BL143" s="662"/>
    </row>
    <row r="144" spans="7:64" x14ac:dyDescent="0.25">
      <c r="G144" s="662"/>
      <c r="H144" s="662"/>
      <c r="I144" s="662"/>
      <c r="J144" s="662"/>
      <c r="K144" s="662"/>
      <c r="L144" s="662"/>
      <c r="M144" s="662"/>
      <c r="N144" s="662"/>
      <c r="O144" s="662"/>
      <c r="P144" s="662"/>
      <c r="Q144" s="662"/>
      <c r="R144" s="662"/>
      <c r="S144" s="662"/>
      <c r="T144" s="662"/>
      <c r="U144" s="662"/>
      <c r="V144" s="662"/>
      <c r="W144" s="662"/>
      <c r="X144" s="662"/>
      <c r="Y144" s="662"/>
      <c r="Z144" s="662"/>
      <c r="AA144" s="662"/>
      <c r="AB144" s="662"/>
      <c r="AC144" s="662"/>
      <c r="AD144" s="662"/>
      <c r="AE144" s="662"/>
      <c r="AF144" s="662"/>
      <c r="AG144" s="662"/>
      <c r="AH144" s="662"/>
      <c r="AI144" s="662"/>
      <c r="AJ144" s="662"/>
      <c r="AK144" s="662"/>
      <c r="AL144" s="662"/>
      <c r="AM144" s="662"/>
      <c r="AN144" s="662"/>
      <c r="AO144" s="662"/>
      <c r="AP144" s="662"/>
      <c r="AQ144" s="662"/>
      <c r="AR144" s="662"/>
      <c r="AS144" s="662"/>
      <c r="AT144" s="662"/>
      <c r="AU144" s="662"/>
      <c r="AV144" s="662"/>
      <c r="AW144" s="662"/>
      <c r="AX144" s="662"/>
      <c r="AY144" s="662"/>
      <c r="AZ144" s="662"/>
      <c r="BA144" s="662"/>
      <c r="BB144" s="662"/>
      <c r="BC144" s="662"/>
      <c r="BD144" s="662"/>
      <c r="BE144" s="662"/>
      <c r="BF144" s="662"/>
      <c r="BG144" s="662"/>
      <c r="BH144" s="662"/>
      <c r="BI144" s="662"/>
      <c r="BJ144" s="662"/>
      <c r="BK144" s="662"/>
      <c r="BL144" s="662"/>
    </row>
    <row r="145" spans="7:64" x14ac:dyDescent="0.25">
      <c r="G145" s="662"/>
      <c r="H145" s="662"/>
      <c r="I145" s="662"/>
      <c r="J145" s="662"/>
      <c r="K145" s="662"/>
      <c r="L145" s="662"/>
      <c r="M145" s="662"/>
      <c r="N145" s="662"/>
      <c r="O145" s="662"/>
      <c r="P145" s="662"/>
      <c r="Q145" s="662"/>
      <c r="R145" s="662"/>
      <c r="S145" s="662"/>
      <c r="T145" s="662"/>
      <c r="U145" s="662"/>
      <c r="V145" s="662"/>
      <c r="W145" s="662"/>
      <c r="X145" s="662"/>
      <c r="Y145" s="662"/>
      <c r="Z145" s="662"/>
      <c r="AA145" s="662"/>
      <c r="AB145" s="662"/>
      <c r="AC145" s="662"/>
      <c r="AD145" s="662"/>
      <c r="AE145" s="662"/>
      <c r="AF145" s="662"/>
      <c r="AG145" s="662"/>
      <c r="AH145" s="662"/>
      <c r="AI145" s="662"/>
      <c r="AJ145" s="662"/>
      <c r="AK145" s="662"/>
      <c r="AL145" s="662"/>
      <c r="AM145" s="662"/>
      <c r="AN145" s="662"/>
      <c r="AO145" s="662"/>
      <c r="AP145" s="662"/>
      <c r="AQ145" s="662"/>
      <c r="AR145" s="662"/>
      <c r="AS145" s="662"/>
      <c r="AT145" s="662"/>
      <c r="AU145" s="662"/>
      <c r="AV145" s="662"/>
      <c r="AW145" s="662"/>
      <c r="AX145" s="662"/>
      <c r="AY145" s="662"/>
      <c r="AZ145" s="662"/>
      <c r="BA145" s="662"/>
      <c r="BB145" s="662"/>
      <c r="BC145" s="662"/>
      <c r="BD145" s="662"/>
      <c r="BE145" s="662"/>
      <c r="BF145" s="662"/>
      <c r="BG145" s="662"/>
      <c r="BH145" s="662"/>
      <c r="BI145" s="662"/>
      <c r="BJ145" s="662"/>
      <c r="BK145" s="662"/>
      <c r="BL145" s="662"/>
    </row>
    <row r="146" spans="7:64" x14ac:dyDescent="0.25">
      <c r="G146" s="662"/>
      <c r="H146" s="662"/>
      <c r="I146" s="662"/>
      <c r="J146" s="662"/>
      <c r="K146" s="662"/>
      <c r="L146" s="662"/>
      <c r="M146" s="662"/>
      <c r="N146" s="662"/>
      <c r="O146" s="662"/>
      <c r="P146" s="662"/>
      <c r="Q146" s="662"/>
      <c r="R146" s="662"/>
      <c r="S146" s="662"/>
      <c r="T146" s="662"/>
      <c r="U146" s="662"/>
      <c r="V146" s="662"/>
      <c r="W146" s="662"/>
      <c r="X146" s="662"/>
      <c r="Y146" s="662"/>
      <c r="Z146" s="662"/>
      <c r="AA146" s="662"/>
      <c r="AB146" s="662"/>
      <c r="AC146" s="662"/>
      <c r="AD146" s="662"/>
      <c r="AE146" s="662"/>
      <c r="AF146" s="662"/>
      <c r="AG146" s="662"/>
      <c r="AH146" s="662"/>
      <c r="AI146" s="662"/>
      <c r="AJ146" s="662"/>
      <c r="AK146" s="662"/>
      <c r="AL146" s="662"/>
      <c r="AM146" s="662"/>
      <c r="AN146" s="662"/>
      <c r="AO146" s="662"/>
      <c r="AP146" s="662"/>
      <c r="AQ146" s="662"/>
      <c r="AR146" s="662"/>
      <c r="AS146" s="662"/>
      <c r="AT146" s="662"/>
      <c r="AU146" s="662"/>
      <c r="AV146" s="662"/>
      <c r="AW146" s="662"/>
      <c r="AX146" s="662"/>
      <c r="AY146" s="662"/>
      <c r="AZ146" s="662"/>
      <c r="BA146" s="662"/>
      <c r="BB146" s="662"/>
      <c r="BC146" s="662"/>
      <c r="BD146" s="662"/>
      <c r="BE146" s="662"/>
      <c r="BF146" s="662"/>
      <c r="BG146" s="662"/>
      <c r="BH146" s="662"/>
      <c r="BI146" s="662"/>
      <c r="BJ146" s="662"/>
      <c r="BK146" s="662"/>
      <c r="BL146" s="662"/>
    </row>
    <row r="147" spans="7:64" x14ac:dyDescent="0.25">
      <c r="G147" s="662"/>
      <c r="H147" s="662"/>
      <c r="I147" s="662"/>
      <c r="J147" s="662"/>
      <c r="K147" s="662"/>
      <c r="L147" s="662"/>
      <c r="M147" s="662"/>
      <c r="N147" s="662"/>
      <c r="O147" s="662"/>
      <c r="P147" s="662"/>
      <c r="Q147" s="662"/>
      <c r="R147" s="662"/>
      <c r="S147" s="662"/>
      <c r="T147" s="662"/>
      <c r="U147" s="662"/>
      <c r="V147" s="662"/>
      <c r="W147" s="662"/>
      <c r="X147" s="662"/>
      <c r="Y147" s="662"/>
      <c r="Z147" s="662"/>
      <c r="AA147" s="662"/>
      <c r="AB147" s="662"/>
      <c r="AC147" s="662"/>
      <c r="AD147" s="662"/>
      <c r="AE147" s="662"/>
      <c r="AF147" s="662"/>
      <c r="AG147" s="662"/>
      <c r="AH147" s="662"/>
      <c r="AI147" s="662"/>
      <c r="AJ147" s="662"/>
      <c r="AK147" s="662"/>
      <c r="AL147" s="662"/>
      <c r="AM147" s="662"/>
      <c r="AN147" s="662"/>
      <c r="AO147" s="662"/>
      <c r="AP147" s="662"/>
      <c r="AQ147" s="662"/>
      <c r="AR147" s="662"/>
      <c r="AS147" s="662"/>
      <c r="AT147" s="662"/>
      <c r="AU147" s="662"/>
      <c r="AV147" s="662"/>
      <c r="AW147" s="662"/>
      <c r="AX147" s="662"/>
      <c r="AY147" s="662"/>
      <c r="AZ147" s="662"/>
      <c r="BA147" s="662"/>
      <c r="BB147" s="662"/>
      <c r="BC147" s="662"/>
      <c r="BD147" s="662"/>
      <c r="BE147" s="662"/>
      <c r="BF147" s="662"/>
      <c r="BG147" s="662"/>
      <c r="BH147" s="662"/>
      <c r="BI147" s="662"/>
      <c r="BJ147" s="662"/>
      <c r="BK147" s="662"/>
      <c r="BL147" s="662"/>
    </row>
    <row r="148" spans="7:64" x14ac:dyDescent="0.25">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c r="AN148" s="662"/>
      <c r="AO148" s="662"/>
      <c r="AP148" s="662"/>
      <c r="AQ148" s="662"/>
      <c r="AR148" s="662"/>
      <c r="AS148" s="662"/>
      <c r="AT148" s="662"/>
      <c r="AU148" s="662"/>
      <c r="AV148" s="662"/>
      <c r="AW148" s="662"/>
      <c r="AX148" s="662"/>
      <c r="AY148" s="662"/>
      <c r="AZ148" s="662"/>
      <c r="BA148" s="662"/>
      <c r="BB148" s="662"/>
      <c r="BC148" s="662"/>
      <c r="BD148" s="662"/>
      <c r="BE148" s="662"/>
      <c r="BF148" s="662"/>
      <c r="BG148" s="662"/>
      <c r="BH148" s="662"/>
      <c r="BI148" s="662"/>
      <c r="BJ148" s="662"/>
      <c r="BK148" s="662"/>
      <c r="BL148" s="662"/>
    </row>
    <row r="149" spans="7:64" x14ac:dyDescent="0.25">
      <c r="G149" s="662"/>
      <c r="H149" s="662"/>
      <c r="I149" s="662"/>
      <c r="J149" s="662"/>
      <c r="K149" s="662"/>
      <c r="L149" s="662"/>
      <c r="M149" s="662"/>
      <c r="N149" s="662"/>
      <c r="O149" s="662"/>
      <c r="P149" s="662"/>
      <c r="Q149" s="662"/>
      <c r="R149" s="662"/>
      <c r="S149" s="662"/>
      <c r="T149" s="662"/>
      <c r="U149" s="662"/>
      <c r="V149" s="662"/>
      <c r="W149" s="662"/>
      <c r="X149" s="662"/>
      <c r="Y149" s="662"/>
      <c r="Z149" s="662"/>
      <c r="AA149" s="662"/>
      <c r="AB149" s="662"/>
      <c r="AC149" s="662"/>
      <c r="AD149" s="662"/>
      <c r="AE149" s="662"/>
      <c r="AF149" s="662"/>
      <c r="AG149" s="662"/>
      <c r="AH149" s="662"/>
      <c r="AI149" s="662"/>
      <c r="AJ149" s="662"/>
      <c r="AK149" s="662"/>
      <c r="AL149" s="662"/>
      <c r="AM149" s="662"/>
      <c r="AN149" s="662"/>
      <c r="AO149" s="662"/>
      <c r="AP149" s="662"/>
      <c r="AQ149" s="662"/>
      <c r="AR149" s="662"/>
      <c r="AS149" s="662"/>
      <c r="AT149" s="662"/>
      <c r="AU149" s="662"/>
      <c r="AV149" s="662"/>
      <c r="AW149" s="662"/>
      <c r="AX149" s="662"/>
      <c r="AY149" s="662"/>
      <c r="AZ149" s="662"/>
      <c r="BA149" s="662"/>
      <c r="BB149" s="662"/>
      <c r="BC149" s="662"/>
      <c r="BD149" s="662"/>
      <c r="BE149" s="662"/>
      <c r="BF149" s="662"/>
      <c r="BG149" s="662"/>
      <c r="BH149" s="662"/>
      <c r="BI149" s="662"/>
      <c r="BJ149" s="662"/>
      <c r="BK149" s="662"/>
      <c r="BL149" s="662"/>
    </row>
    <row r="150" spans="7:64" x14ac:dyDescent="0.25">
      <c r="G150" s="662"/>
      <c r="H150" s="662"/>
      <c r="I150" s="662"/>
      <c r="J150" s="662"/>
      <c r="K150" s="662"/>
      <c r="L150" s="662"/>
      <c r="M150" s="662"/>
      <c r="N150" s="662"/>
      <c r="O150" s="662"/>
      <c r="P150" s="662"/>
      <c r="Q150" s="662"/>
      <c r="R150" s="662"/>
      <c r="S150" s="662"/>
      <c r="T150" s="662"/>
      <c r="U150" s="662"/>
      <c r="V150" s="662"/>
      <c r="W150" s="662"/>
      <c r="X150" s="662"/>
      <c r="Y150" s="662"/>
      <c r="Z150" s="662"/>
      <c r="AA150" s="662"/>
      <c r="AB150" s="662"/>
      <c r="AC150" s="662"/>
      <c r="AD150" s="662"/>
      <c r="AE150" s="662"/>
      <c r="AF150" s="662"/>
      <c r="AG150" s="662"/>
      <c r="AH150" s="662"/>
      <c r="AI150" s="662"/>
      <c r="AJ150" s="662"/>
      <c r="AK150" s="662"/>
      <c r="AL150" s="662"/>
      <c r="AM150" s="662"/>
      <c r="AN150" s="662"/>
      <c r="AO150" s="662"/>
      <c r="AP150" s="662"/>
      <c r="AQ150" s="662"/>
      <c r="AR150" s="662"/>
      <c r="AS150" s="662"/>
      <c r="AT150" s="662"/>
      <c r="AU150" s="662"/>
      <c r="AV150" s="662"/>
      <c r="AW150" s="662"/>
      <c r="AX150" s="662"/>
      <c r="AY150" s="662"/>
      <c r="AZ150" s="662"/>
      <c r="BA150" s="662"/>
      <c r="BB150" s="662"/>
      <c r="BC150" s="662"/>
      <c r="BD150" s="662"/>
      <c r="BE150" s="662"/>
      <c r="BF150" s="662"/>
      <c r="BG150" s="662"/>
      <c r="BH150" s="662"/>
      <c r="BI150" s="662"/>
      <c r="BJ150" s="662"/>
      <c r="BK150" s="662"/>
      <c r="BL150" s="662"/>
    </row>
    <row r="151" spans="7:64" x14ac:dyDescent="0.25">
      <c r="G151" s="662"/>
      <c r="H151" s="662"/>
      <c r="I151" s="662"/>
      <c r="J151" s="662"/>
      <c r="K151" s="662"/>
      <c r="L151" s="662"/>
      <c r="M151" s="662"/>
      <c r="N151" s="662"/>
      <c r="O151" s="662"/>
      <c r="P151" s="662"/>
      <c r="Q151" s="662"/>
      <c r="R151" s="662"/>
      <c r="S151" s="662"/>
      <c r="T151" s="662"/>
      <c r="U151" s="662"/>
      <c r="V151" s="662"/>
      <c r="W151" s="662"/>
      <c r="X151" s="662"/>
      <c r="Y151" s="662"/>
      <c r="Z151" s="662"/>
      <c r="AA151" s="662"/>
      <c r="AB151" s="662"/>
      <c r="AC151" s="662"/>
      <c r="AD151" s="662"/>
      <c r="AE151" s="662"/>
      <c r="AF151" s="662"/>
      <c r="AG151" s="662"/>
      <c r="AH151" s="662"/>
      <c r="AI151" s="662"/>
      <c r="AJ151" s="662"/>
      <c r="AK151" s="662"/>
      <c r="AL151" s="662"/>
      <c r="AM151" s="662"/>
      <c r="AN151" s="662"/>
      <c r="AO151" s="662"/>
      <c r="AP151" s="662"/>
      <c r="AQ151" s="662"/>
      <c r="AR151" s="662"/>
      <c r="AS151" s="662"/>
      <c r="AT151" s="662"/>
      <c r="AU151" s="662"/>
      <c r="AV151" s="662"/>
      <c r="AW151" s="662"/>
      <c r="AX151" s="662"/>
      <c r="AY151" s="662"/>
      <c r="AZ151" s="662"/>
      <c r="BA151" s="662"/>
      <c r="BB151" s="662"/>
      <c r="BC151" s="662"/>
      <c r="BD151" s="662"/>
      <c r="BE151" s="662"/>
      <c r="BF151" s="662"/>
      <c r="BG151" s="662"/>
      <c r="BH151" s="662"/>
      <c r="BI151" s="662"/>
      <c r="BJ151" s="662"/>
      <c r="BK151" s="662"/>
      <c r="BL151" s="662"/>
    </row>
    <row r="152" spans="7:64" x14ac:dyDescent="0.25">
      <c r="G152" s="662"/>
      <c r="H152" s="662"/>
      <c r="I152" s="662"/>
      <c r="J152" s="662"/>
      <c r="K152" s="662"/>
      <c r="L152" s="662"/>
      <c r="M152" s="662"/>
      <c r="N152" s="662"/>
      <c r="O152" s="662"/>
      <c r="P152" s="662"/>
      <c r="Q152" s="662"/>
      <c r="R152" s="662"/>
      <c r="S152" s="662"/>
      <c r="T152" s="662"/>
      <c r="U152" s="662"/>
      <c r="V152" s="662"/>
      <c r="W152" s="662"/>
      <c r="X152" s="662"/>
      <c r="Y152" s="662"/>
      <c r="Z152" s="662"/>
      <c r="AA152" s="662"/>
      <c r="AB152" s="662"/>
      <c r="AC152" s="662"/>
      <c r="AD152" s="662"/>
      <c r="AE152" s="662"/>
      <c r="AF152" s="662"/>
      <c r="AG152" s="662"/>
      <c r="AH152" s="662"/>
      <c r="AI152" s="662"/>
      <c r="AJ152" s="662"/>
      <c r="AK152" s="662"/>
      <c r="AL152" s="662"/>
      <c r="AM152" s="662"/>
      <c r="AN152" s="662"/>
      <c r="AO152" s="662"/>
      <c r="AP152" s="662"/>
      <c r="AQ152" s="662"/>
      <c r="AR152" s="662"/>
      <c r="AS152" s="662"/>
      <c r="AT152" s="662"/>
      <c r="AU152" s="662"/>
      <c r="AV152" s="662"/>
      <c r="AW152" s="662"/>
      <c r="AX152" s="662"/>
      <c r="AY152" s="662"/>
      <c r="AZ152" s="662"/>
      <c r="BA152" s="662"/>
      <c r="BB152" s="662"/>
      <c r="BC152" s="662"/>
      <c r="BD152" s="662"/>
      <c r="BE152" s="662"/>
      <c r="BF152" s="662"/>
      <c r="BG152" s="662"/>
      <c r="BH152" s="662"/>
      <c r="BI152" s="662"/>
      <c r="BJ152" s="662"/>
      <c r="BK152" s="662"/>
      <c r="BL152" s="662"/>
    </row>
    <row r="153" spans="7:64" x14ac:dyDescent="0.25">
      <c r="G153" s="662"/>
      <c r="H153" s="662"/>
      <c r="I153" s="662"/>
      <c r="J153" s="662"/>
      <c r="K153" s="662"/>
      <c r="L153" s="662"/>
      <c r="M153" s="662"/>
      <c r="N153" s="662"/>
      <c r="O153" s="662"/>
      <c r="P153" s="662"/>
      <c r="Q153" s="662"/>
      <c r="R153" s="662"/>
      <c r="S153" s="662"/>
      <c r="T153" s="662"/>
      <c r="U153" s="662"/>
      <c r="V153" s="662"/>
      <c r="W153" s="662"/>
      <c r="X153" s="662"/>
      <c r="Y153" s="662"/>
      <c r="Z153" s="662"/>
      <c r="AA153" s="662"/>
      <c r="AB153" s="662"/>
      <c r="AC153" s="662"/>
      <c r="AD153" s="662"/>
      <c r="AE153" s="662"/>
      <c r="AF153" s="662"/>
      <c r="AG153" s="662"/>
      <c r="AH153" s="662"/>
      <c r="AI153" s="662"/>
      <c r="AJ153" s="662"/>
      <c r="AK153" s="662"/>
      <c r="AL153" s="662"/>
      <c r="AM153" s="662"/>
      <c r="AN153" s="662"/>
      <c r="AO153" s="662"/>
      <c r="AP153" s="662"/>
      <c r="AQ153" s="662"/>
      <c r="AR153" s="662"/>
      <c r="AS153" s="662"/>
      <c r="AT153" s="662"/>
      <c r="AU153" s="662"/>
      <c r="AV153" s="662"/>
      <c r="AW153" s="662"/>
      <c r="AX153" s="662"/>
      <c r="AY153" s="662"/>
      <c r="AZ153" s="662"/>
      <c r="BA153" s="662"/>
      <c r="BB153" s="662"/>
      <c r="BC153" s="662"/>
      <c r="BD153" s="662"/>
      <c r="BE153" s="662"/>
      <c r="BF153" s="662"/>
      <c r="BG153" s="662"/>
      <c r="BH153" s="662"/>
      <c r="BI153" s="662"/>
      <c r="BJ153" s="662"/>
      <c r="BK153" s="662"/>
      <c r="BL153" s="662"/>
    </row>
    <row r="154" spans="7:64" x14ac:dyDescent="0.25">
      <c r="G154" s="662"/>
      <c r="H154" s="662"/>
      <c r="I154" s="662"/>
      <c r="J154" s="662"/>
      <c r="K154" s="662"/>
      <c r="L154" s="662"/>
      <c r="M154" s="662"/>
      <c r="N154" s="662"/>
      <c r="O154" s="662"/>
      <c r="P154" s="662"/>
      <c r="Q154" s="662"/>
      <c r="R154" s="662"/>
      <c r="S154" s="662"/>
      <c r="T154" s="662"/>
      <c r="U154" s="662"/>
      <c r="V154" s="662"/>
      <c r="W154" s="662"/>
      <c r="X154" s="662"/>
      <c r="Y154" s="662"/>
      <c r="Z154" s="662"/>
      <c r="AA154" s="662"/>
      <c r="AB154" s="662"/>
      <c r="AC154" s="662"/>
      <c r="AD154" s="662"/>
      <c r="AE154" s="662"/>
      <c r="AF154" s="662"/>
      <c r="AG154" s="662"/>
      <c r="AH154" s="662"/>
      <c r="AI154" s="662"/>
      <c r="AJ154" s="662"/>
      <c r="AK154" s="662"/>
      <c r="AL154" s="662"/>
      <c r="AM154" s="662"/>
      <c r="AN154" s="662"/>
      <c r="AO154" s="662"/>
      <c r="AP154" s="662"/>
      <c r="AQ154" s="662"/>
      <c r="AR154" s="662"/>
      <c r="AS154" s="662"/>
      <c r="AT154" s="662"/>
      <c r="AU154" s="662"/>
      <c r="AV154" s="662"/>
      <c r="AW154" s="662"/>
      <c r="AX154" s="662"/>
      <c r="AY154" s="662"/>
      <c r="AZ154" s="662"/>
      <c r="BA154" s="662"/>
      <c r="BB154" s="662"/>
      <c r="BC154" s="662"/>
      <c r="BD154" s="662"/>
      <c r="BE154" s="662"/>
      <c r="BF154" s="662"/>
      <c r="BG154" s="662"/>
      <c r="BH154" s="662"/>
      <c r="BI154" s="662"/>
      <c r="BJ154" s="662"/>
      <c r="BK154" s="662"/>
      <c r="BL154" s="662"/>
    </row>
    <row r="155" spans="7:64" x14ac:dyDescent="0.25">
      <c r="G155" s="662"/>
      <c r="H155" s="662"/>
      <c r="I155" s="662"/>
      <c r="J155" s="662"/>
      <c r="K155" s="662"/>
      <c r="L155" s="662"/>
      <c r="M155" s="662"/>
      <c r="N155" s="662"/>
      <c r="O155" s="662"/>
      <c r="P155" s="662"/>
      <c r="Q155" s="662"/>
      <c r="R155" s="662"/>
      <c r="S155" s="662"/>
      <c r="T155" s="662"/>
      <c r="U155" s="662"/>
      <c r="V155" s="662"/>
      <c r="W155" s="662"/>
      <c r="X155" s="662"/>
      <c r="Y155" s="662"/>
      <c r="Z155" s="662"/>
      <c r="AA155" s="662"/>
      <c r="AB155" s="662"/>
      <c r="AC155" s="662"/>
      <c r="AD155" s="662"/>
      <c r="AE155" s="662"/>
      <c r="AF155" s="662"/>
      <c r="AG155" s="662"/>
      <c r="AH155" s="662"/>
      <c r="AI155" s="662"/>
      <c r="AJ155" s="662"/>
      <c r="AK155" s="662"/>
      <c r="AL155" s="662"/>
      <c r="AM155" s="662"/>
      <c r="AN155" s="662"/>
      <c r="AO155" s="662"/>
      <c r="AP155" s="662"/>
      <c r="AQ155" s="662"/>
      <c r="AR155" s="662"/>
      <c r="AS155" s="662"/>
      <c r="AT155" s="662"/>
      <c r="AU155" s="662"/>
      <c r="AV155" s="662"/>
      <c r="AW155" s="662"/>
      <c r="AX155" s="662"/>
      <c r="AY155" s="662"/>
      <c r="AZ155" s="662"/>
      <c r="BA155" s="662"/>
      <c r="BB155" s="662"/>
      <c r="BC155" s="662"/>
      <c r="BD155" s="662"/>
      <c r="BE155" s="662"/>
      <c r="BF155" s="662"/>
      <c r="BG155" s="662"/>
      <c r="BH155" s="662"/>
      <c r="BI155" s="662"/>
      <c r="BJ155" s="662"/>
      <c r="BK155" s="662"/>
      <c r="BL155" s="662"/>
    </row>
    <row r="156" spans="7:64" x14ac:dyDescent="0.25">
      <c r="G156" s="662"/>
      <c r="H156" s="662"/>
      <c r="I156" s="662"/>
      <c r="J156" s="662"/>
      <c r="K156" s="662"/>
      <c r="L156" s="662"/>
      <c r="M156" s="662"/>
      <c r="N156" s="662"/>
      <c r="O156" s="662"/>
      <c r="P156" s="662"/>
      <c r="Q156" s="662"/>
      <c r="R156" s="662"/>
      <c r="S156" s="662"/>
      <c r="T156" s="662"/>
      <c r="U156" s="662"/>
      <c r="V156" s="662"/>
      <c r="W156" s="662"/>
      <c r="X156" s="662"/>
      <c r="Y156" s="662"/>
      <c r="Z156" s="662"/>
      <c r="AA156" s="662"/>
      <c r="AB156" s="662"/>
      <c r="AC156" s="662"/>
      <c r="AD156" s="662"/>
      <c r="AE156" s="662"/>
      <c r="AF156" s="662"/>
      <c r="AG156" s="662"/>
      <c r="AH156" s="662"/>
      <c r="AI156" s="662"/>
      <c r="AJ156" s="662"/>
      <c r="AK156" s="662"/>
      <c r="AL156" s="662"/>
      <c r="AM156" s="662"/>
      <c r="AN156" s="662"/>
      <c r="AO156" s="662"/>
      <c r="AP156" s="662"/>
      <c r="AQ156" s="662"/>
      <c r="AR156" s="662"/>
      <c r="AS156" s="662"/>
      <c r="AT156" s="662"/>
      <c r="AU156" s="662"/>
      <c r="AV156" s="662"/>
      <c r="AW156" s="662"/>
      <c r="AX156" s="662"/>
      <c r="AY156" s="662"/>
      <c r="AZ156" s="662"/>
      <c r="BA156" s="662"/>
      <c r="BB156" s="662"/>
      <c r="BC156" s="662"/>
      <c r="BD156" s="662"/>
      <c r="BE156" s="662"/>
      <c r="BF156" s="662"/>
      <c r="BG156" s="662"/>
      <c r="BH156" s="662"/>
      <c r="BI156" s="662"/>
      <c r="BJ156" s="662"/>
      <c r="BK156" s="662"/>
      <c r="BL156" s="662"/>
    </row>
    <row r="157" spans="7:64" x14ac:dyDescent="0.25">
      <c r="G157" s="662"/>
      <c r="H157" s="662"/>
      <c r="I157" s="662"/>
      <c r="J157" s="662"/>
      <c r="K157" s="662"/>
      <c r="L157" s="662"/>
      <c r="M157" s="662"/>
      <c r="N157" s="662"/>
      <c r="O157" s="662"/>
      <c r="P157" s="662"/>
      <c r="Q157" s="662"/>
      <c r="R157" s="662"/>
      <c r="S157" s="662"/>
      <c r="T157" s="662"/>
      <c r="U157" s="662"/>
      <c r="V157" s="662"/>
      <c r="W157" s="662"/>
      <c r="X157" s="662"/>
      <c r="Y157" s="662"/>
      <c r="Z157" s="662"/>
      <c r="AA157" s="662"/>
      <c r="AB157" s="662"/>
      <c r="AC157" s="662"/>
      <c r="AD157" s="662"/>
      <c r="AE157" s="662"/>
      <c r="AF157" s="662"/>
      <c r="AG157" s="662"/>
      <c r="AH157" s="662"/>
      <c r="AI157" s="662"/>
      <c r="AJ157" s="662"/>
      <c r="AK157" s="662"/>
      <c r="AL157" s="662"/>
      <c r="AM157" s="662"/>
      <c r="AN157" s="662"/>
      <c r="AO157" s="662"/>
      <c r="AP157" s="662"/>
      <c r="AQ157" s="662"/>
      <c r="AR157" s="662"/>
      <c r="AS157" s="662"/>
      <c r="AT157" s="662"/>
      <c r="AU157" s="662"/>
      <c r="AV157" s="662"/>
      <c r="AW157" s="662"/>
      <c r="AX157" s="662"/>
      <c r="AY157" s="662"/>
      <c r="AZ157" s="662"/>
      <c r="BA157" s="662"/>
      <c r="BB157" s="662"/>
      <c r="BC157" s="662"/>
      <c r="BD157" s="662"/>
      <c r="BE157" s="662"/>
      <c r="BF157" s="662"/>
      <c r="BG157" s="662"/>
      <c r="BH157" s="662"/>
      <c r="BI157" s="662"/>
      <c r="BJ157" s="662"/>
      <c r="BK157" s="662"/>
      <c r="BL157" s="662"/>
    </row>
    <row r="158" spans="7:64" x14ac:dyDescent="0.25">
      <c r="G158" s="662"/>
      <c r="H158" s="662"/>
      <c r="I158" s="662"/>
      <c r="J158" s="662"/>
      <c r="K158" s="662"/>
      <c r="L158" s="662"/>
      <c r="M158" s="662"/>
      <c r="N158" s="662"/>
      <c r="O158" s="662"/>
      <c r="P158" s="662"/>
      <c r="Q158" s="662"/>
      <c r="R158" s="662"/>
      <c r="S158" s="662"/>
      <c r="T158" s="662"/>
      <c r="U158" s="662"/>
      <c r="V158" s="662"/>
      <c r="W158" s="662"/>
      <c r="X158" s="662"/>
      <c r="Y158" s="662"/>
      <c r="Z158" s="662"/>
      <c r="AA158" s="662"/>
      <c r="AB158" s="662"/>
      <c r="AC158" s="662"/>
      <c r="AD158" s="662"/>
      <c r="AE158" s="662"/>
      <c r="AF158" s="662"/>
      <c r="AG158" s="662"/>
      <c r="AH158" s="662"/>
      <c r="AI158" s="662"/>
      <c r="AJ158" s="662"/>
      <c r="AK158" s="662"/>
      <c r="AL158" s="662"/>
      <c r="AM158" s="662"/>
      <c r="AN158" s="662"/>
      <c r="AO158" s="662"/>
      <c r="AP158" s="662"/>
      <c r="AQ158" s="662"/>
      <c r="AR158" s="662"/>
      <c r="AS158" s="662"/>
      <c r="AT158" s="662"/>
      <c r="AU158" s="662"/>
      <c r="AV158" s="662"/>
      <c r="AW158" s="662"/>
      <c r="AX158" s="662"/>
      <c r="AY158" s="662"/>
      <c r="AZ158" s="662"/>
      <c r="BA158" s="662"/>
      <c r="BB158" s="662"/>
      <c r="BC158" s="662"/>
      <c r="BD158" s="662"/>
      <c r="BE158" s="662"/>
      <c r="BF158" s="662"/>
      <c r="BG158" s="662"/>
      <c r="BH158" s="662"/>
      <c r="BI158" s="662"/>
      <c r="BJ158" s="662"/>
      <c r="BK158" s="662"/>
      <c r="BL158" s="662"/>
    </row>
    <row r="159" spans="7:64" x14ac:dyDescent="0.25">
      <c r="G159" s="662"/>
      <c r="H159" s="662"/>
      <c r="I159" s="662"/>
      <c r="J159" s="662"/>
      <c r="K159" s="662"/>
      <c r="L159" s="662"/>
      <c r="M159" s="662"/>
      <c r="N159" s="662"/>
      <c r="O159" s="662"/>
      <c r="P159" s="662"/>
      <c r="Q159" s="662"/>
      <c r="R159" s="662"/>
      <c r="S159" s="662"/>
      <c r="T159" s="662"/>
      <c r="U159" s="662"/>
      <c r="V159" s="662"/>
      <c r="W159" s="662"/>
      <c r="X159" s="662"/>
      <c r="Y159" s="662"/>
      <c r="Z159" s="662"/>
      <c r="AA159" s="662"/>
      <c r="AB159" s="662"/>
      <c r="AC159" s="662"/>
      <c r="AD159" s="662"/>
      <c r="AE159" s="662"/>
      <c r="AF159" s="662"/>
      <c r="AG159" s="662"/>
      <c r="AH159" s="662"/>
      <c r="AI159" s="662"/>
      <c r="AJ159" s="662"/>
      <c r="AK159" s="662"/>
      <c r="AL159" s="662"/>
      <c r="AM159" s="662"/>
      <c r="AN159" s="662"/>
      <c r="AO159" s="662"/>
      <c r="AP159" s="662"/>
      <c r="AQ159" s="662"/>
      <c r="AR159" s="662"/>
      <c r="AS159" s="662"/>
      <c r="AT159" s="662"/>
      <c r="AU159" s="662"/>
      <c r="AV159" s="662"/>
      <c r="AW159" s="662"/>
      <c r="AX159" s="662"/>
      <c r="AY159" s="662"/>
      <c r="AZ159" s="662"/>
      <c r="BA159" s="662"/>
      <c r="BB159" s="662"/>
      <c r="BC159" s="662"/>
      <c r="BD159" s="662"/>
      <c r="BE159" s="662"/>
      <c r="BF159" s="662"/>
      <c r="BG159" s="662"/>
      <c r="BH159" s="662"/>
      <c r="BI159" s="662"/>
      <c r="BJ159" s="662"/>
      <c r="BK159" s="662"/>
      <c r="BL159" s="662"/>
    </row>
    <row r="160" spans="7:64" x14ac:dyDescent="0.25">
      <c r="G160" s="662"/>
      <c r="H160" s="662"/>
      <c r="I160" s="662"/>
      <c r="J160" s="662"/>
      <c r="K160" s="662"/>
      <c r="L160" s="662"/>
      <c r="M160" s="662"/>
      <c r="N160" s="662"/>
      <c r="O160" s="662"/>
      <c r="P160" s="662"/>
      <c r="Q160" s="662"/>
      <c r="R160" s="662"/>
      <c r="S160" s="662"/>
      <c r="T160" s="662"/>
      <c r="U160" s="662"/>
      <c r="V160" s="662"/>
      <c r="W160" s="662"/>
      <c r="X160" s="662"/>
      <c r="Y160" s="662"/>
      <c r="Z160" s="662"/>
      <c r="AA160" s="662"/>
      <c r="AB160" s="662"/>
      <c r="AC160" s="662"/>
      <c r="AD160" s="662"/>
      <c r="AE160" s="662"/>
      <c r="AF160" s="662"/>
      <c r="AG160" s="662"/>
      <c r="AH160" s="662"/>
      <c r="AI160" s="662"/>
      <c r="AJ160" s="662"/>
      <c r="AK160" s="662"/>
      <c r="AL160" s="662"/>
      <c r="AM160" s="662"/>
      <c r="AN160" s="662"/>
      <c r="AO160" s="662"/>
      <c r="AP160" s="662"/>
      <c r="AQ160" s="662"/>
      <c r="AR160" s="662"/>
      <c r="AS160" s="662"/>
      <c r="AT160" s="662"/>
      <c r="AU160" s="662"/>
      <c r="AV160" s="662"/>
      <c r="AW160" s="662"/>
      <c r="AX160" s="662"/>
      <c r="AY160" s="662"/>
      <c r="AZ160" s="662"/>
      <c r="BA160" s="662"/>
      <c r="BB160" s="662"/>
      <c r="BC160" s="662"/>
      <c r="BD160" s="662"/>
      <c r="BE160" s="662"/>
      <c r="BF160" s="662"/>
      <c r="BG160" s="662"/>
      <c r="BH160" s="662"/>
      <c r="BI160" s="662"/>
      <c r="BJ160" s="662"/>
      <c r="BK160" s="662"/>
      <c r="BL160" s="662"/>
    </row>
    <row r="161" spans="7:64" x14ac:dyDescent="0.25">
      <c r="G161" s="662"/>
      <c r="H161" s="662"/>
      <c r="I161" s="662"/>
      <c r="J161" s="662"/>
      <c r="K161" s="662"/>
      <c r="L161" s="662"/>
      <c r="M161" s="662"/>
      <c r="N161" s="662"/>
      <c r="O161" s="662"/>
      <c r="P161" s="662"/>
      <c r="Q161" s="662"/>
      <c r="R161" s="662"/>
      <c r="S161" s="662"/>
      <c r="T161" s="662"/>
      <c r="U161" s="662"/>
      <c r="V161" s="662"/>
      <c r="W161" s="662"/>
      <c r="X161" s="662"/>
      <c r="Y161" s="662"/>
      <c r="Z161" s="662"/>
      <c r="AA161" s="662"/>
      <c r="AB161" s="662"/>
      <c r="AC161" s="662"/>
      <c r="AD161" s="662"/>
      <c r="AE161" s="662"/>
      <c r="AF161" s="662"/>
      <c r="AG161" s="662"/>
      <c r="AH161" s="662"/>
      <c r="AI161" s="662"/>
      <c r="AJ161" s="662"/>
      <c r="AK161" s="662"/>
      <c r="AL161" s="662"/>
      <c r="AM161" s="662"/>
      <c r="AN161" s="662"/>
      <c r="AO161" s="662"/>
      <c r="AP161" s="662"/>
      <c r="AQ161" s="662"/>
      <c r="AR161" s="662"/>
      <c r="AS161" s="662"/>
      <c r="AT161" s="662"/>
      <c r="AU161" s="662"/>
      <c r="AV161" s="662"/>
      <c r="AW161" s="662"/>
      <c r="AX161" s="662"/>
      <c r="AY161" s="662"/>
      <c r="AZ161" s="662"/>
      <c r="BA161" s="662"/>
      <c r="BB161" s="662"/>
      <c r="BC161" s="662"/>
      <c r="BD161" s="662"/>
      <c r="BE161" s="662"/>
      <c r="BF161" s="662"/>
      <c r="BG161" s="662"/>
      <c r="BH161" s="662"/>
      <c r="BI161" s="662"/>
      <c r="BJ161" s="662"/>
      <c r="BK161" s="662"/>
      <c r="BL161" s="662"/>
    </row>
    <row r="162" spans="7:64" x14ac:dyDescent="0.25">
      <c r="G162" s="662"/>
      <c r="H162" s="662"/>
      <c r="I162" s="662"/>
      <c r="J162" s="662"/>
      <c r="K162" s="662"/>
      <c r="L162" s="662"/>
      <c r="M162" s="662"/>
      <c r="N162" s="662"/>
      <c r="O162" s="662"/>
      <c r="P162" s="662"/>
      <c r="Q162" s="662"/>
      <c r="R162" s="662"/>
      <c r="S162" s="662"/>
      <c r="T162" s="662"/>
      <c r="U162" s="662"/>
      <c r="V162" s="662"/>
      <c r="W162" s="662"/>
      <c r="X162" s="662"/>
      <c r="Y162" s="662"/>
      <c r="Z162" s="662"/>
      <c r="AA162" s="662"/>
      <c r="AB162" s="662"/>
      <c r="AC162" s="662"/>
      <c r="AD162" s="662"/>
      <c r="AE162" s="662"/>
      <c r="AF162" s="662"/>
      <c r="AG162" s="662"/>
      <c r="AH162" s="662"/>
      <c r="AI162" s="662"/>
      <c r="AJ162" s="662"/>
      <c r="AK162" s="662"/>
      <c r="AL162" s="662"/>
      <c r="AM162" s="662"/>
      <c r="AN162" s="662"/>
      <c r="AO162" s="662"/>
      <c r="AP162" s="662"/>
      <c r="AQ162" s="662"/>
      <c r="AR162" s="662"/>
      <c r="AS162" s="662"/>
      <c r="AT162" s="662"/>
      <c r="AU162" s="662"/>
      <c r="AV162" s="662"/>
      <c r="AW162" s="662"/>
      <c r="AX162" s="662"/>
      <c r="AY162" s="662"/>
      <c r="AZ162" s="662"/>
      <c r="BA162" s="662"/>
      <c r="BB162" s="662"/>
      <c r="BC162" s="662"/>
      <c r="BD162" s="662"/>
      <c r="BE162" s="662"/>
      <c r="BF162" s="662"/>
      <c r="BG162" s="662"/>
      <c r="BH162" s="662"/>
      <c r="BI162" s="662"/>
      <c r="BJ162" s="662"/>
      <c r="BK162" s="662"/>
      <c r="BL162" s="662"/>
    </row>
    <row r="163" spans="7:64" x14ac:dyDescent="0.25">
      <c r="G163" s="662"/>
      <c r="H163" s="662"/>
      <c r="I163" s="662"/>
      <c r="J163" s="662"/>
      <c r="K163" s="662"/>
      <c r="L163" s="662"/>
      <c r="M163" s="662"/>
      <c r="N163" s="662"/>
      <c r="O163" s="662"/>
      <c r="P163" s="662"/>
      <c r="Q163" s="662"/>
      <c r="R163" s="662"/>
      <c r="S163" s="662"/>
      <c r="T163" s="662"/>
      <c r="U163" s="662"/>
      <c r="V163" s="662"/>
      <c r="W163" s="662"/>
      <c r="X163" s="662"/>
      <c r="Y163" s="662"/>
      <c r="Z163" s="662"/>
      <c r="AA163" s="662"/>
      <c r="AB163" s="662"/>
      <c r="AC163" s="662"/>
      <c r="AD163" s="662"/>
      <c r="AE163" s="662"/>
      <c r="AF163" s="662"/>
      <c r="AG163" s="662"/>
      <c r="AH163" s="662"/>
      <c r="AI163" s="662"/>
      <c r="AJ163" s="662"/>
      <c r="AK163" s="662"/>
      <c r="AL163" s="662"/>
      <c r="AM163" s="662"/>
      <c r="AN163" s="662"/>
      <c r="AO163" s="662"/>
      <c r="AP163" s="662"/>
      <c r="AQ163" s="662"/>
      <c r="AR163" s="662"/>
      <c r="AS163" s="662"/>
      <c r="AT163" s="662"/>
      <c r="AU163" s="662"/>
      <c r="AV163" s="662"/>
      <c r="AW163" s="662"/>
      <c r="AX163" s="662"/>
      <c r="AY163" s="662"/>
      <c r="AZ163" s="662"/>
      <c r="BA163" s="662"/>
      <c r="BB163" s="662"/>
      <c r="BC163" s="662"/>
      <c r="BD163" s="662"/>
      <c r="BE163" s="662"/>
      <c r="BF163" s="662"/>
      <c r="BG163" s="662"/>
      <c r="BH163" s="662"/>
      <c r="BI163" s="662"/>
      <c r="BJ163" s="662"/>
      <c r="BK163" s="662"/>
      <c r="BL163" s="662"/>
    </row>
    <row r="164" spans="7:64" x14ac:dyDescent="0.25">
      <c r="G164" s="662"/>
      <c r="H164" s="662"/>
      <c r="I164" s="662"/>
      <c r="J164" s="662"/>
      <c r="K164" s="662"/>
      <c r="L164" s="662"/>
      <c r="M164" s="662"/>
      <c r="N164" s="662"/>
      <c r="O164" s="662"/>
      <c r="P164" s="662"/>
      <c r="Q164" s="662"/>
      <c r="R164" s="662"/>
      <c r="S164" s="662"/>
      <c r="T164" s="662"/>
      <c r="U164" s="662"/>
      <c r="V164" s="662"/>
      <c r="W164" s="662"/>
      <c r="X164" s="662"/>
      <c r="Y164" s="662"/>
      <c r="Z164" s="662"/>
      <c r="AA164" s="662"/>
      <c r="AB164" s="662"/>
      <c r="AC164" s="662"/>
      <c r="AD164" s="662"/>
      <c r="AE164" s="662"/>
      <c r="AF164" s="662"/>
      <c r="AG164" s="662"/>
      <c r="AH164" s="662"/>
      <c r="AI164" s="662"/>
      <c r="AJ164" s="662"/>
      <c r="AK164" s="662"/>
      <c r="AL164" s="662"/>
      <c r="AM164" s="662"/>
      <c r="AN164" s="662"/>
      <c r="AO164" s="662"/>
      <c r="AP164" s="662"/>
      <c r="AQ164" s="662"/>
      <c r="AR164" s="662"/>
      <c r="AS164" s="662"/>
      <c r="AT164" s="662"/>
      <c r="AU164" s="662"/>
      <c r="AV164" s="662"/>
      <c r="AW164" s="662"/>
      <c r="AX164" s="662"/>
      <c r="AY164" s="662"/>
      <c r="AZ164" s="662"/>
      <c r="BA164" s="662"/>
      <c r="BB164" s="662"/>
      <c r="BC164" s="662"/>
      <c r="BD164" s="662"/>
      <c r="BE164" s="662"/>
      <c r="BF164" s="662"/>
      <c r="BG164" s="662"/>
      <c r="BH164" s="662"/>
      <c r="BI164" s="662"/>
      <c r="BJ164" s="662"/>
      <c r="BK164" s="662"/>
      <c r="BL164" s="662"/>
    </row>
    <row r="165" spans="7:64" x14ac:dyDescent="0.25">
      <c r="G165" s="662"/>
      <c r="H165" s="662"/>
      <c r="I165" s="662"/>
      <c r="J165" s="662"/>
      <c r="K165" s="662"/>
      <c r="L165" s="662"/>
      <c r="M165" s="662"/>
      <c r="N165" s="662"/>
      <c r="O165" s="662"/>
      <c r="P165" s="662"/>
      <c r="Q165" s="662"/>
      <c r="R165" s="662"/>
      <c r="S165" s="662"/>
      <c r="T165" s="662"/>
      <c r="U165" s="662"/>
      <c r="V165" s="662"/>
      <c r="W165" s="662"/>
      <c r="X165" s="662"/>
      <c r="Y165" s="662"/>
      <c r="Z165" s="662"/>
      <c r="AA165" s="662"/>
      <c r="AB165" s="662"/>
      <c r="AC165" s="662"/>
      <c r="AD165" s="662"/>
      <c r="AE165" s="662"/>
      <c r="AF165" s="662"/>
      <c r="AG165" s="662"/>
      <c r="AH165" s="662"/>
      <c r="AI165" s="662"/>
      <c r="AJ165" s="662"/>
      <c r="AK165" s="662"/>
      <c r="AL165" s="662"/>
      <c r="AM165" s="662"/>
      <c r="AN165" s="662"/>
      <c r="AO165" s="662"/>
      <c r="AP165" s="662"/>
      <c r="AQ165" s="662"/>
      <c r="AR165" s="662"/>
      <c r="AS165" s="662"/>
      <c r="AT165" s="662"/>
      <c r="AU165" s="662"/>
      <c r="AV165" s="662"/>
      <c r="AW165" s="662"/>
      <c r="AX165" s="662"/>
      <c r="AY165" s="662"/>
      <c r="AZ165" s="662"/>
      <c r="BA165" s="662"/>
      <c r="BB165" s="662"/>
      <c r="BC165" s="662"/>
      <c r="BD165" s="662"/>
      <c r="BE165" s="662"/>
      <c r="BF165" s="662"/>
      <c r="BG165" s="662"/>
      <c r="BH165" s="662"/>
      <c r="BI165" s="662"/>
      <c r="BJ165" s="662"/>
      <c r="BK165" s="662"/>
      <c r="BL165" s="662"/>
    </row>
    <row r="166" spans="7:64" x14ac:dyDescent="0.25">
      <c r="G166" s="662"/>
      <c r="H166" s="662"/>
      <c r="I166" s="662"/>
      <c r="J166" s="662"/>
      <c r="K166" s="662"/>
      <c r="L166" s="662"/>
      <c r="M166" s="662"/>
      <c r="N166" s="662"/>
      <c r="O166" s="662"/>
      <c r="P166" s="662"/>
      <c r="Q166" s="662"/>
      <c r="R166" s="662"/>
      <c r="S166" s="662"/>
      <c r="T166" s="662"/>
      <c r="U166" s="662"/>
      <c r="V166" s="662"/>
      <c r="W166" s="662"/>
      <c r="X166" s="662"/>
      <c r="Y166" s="662"/>
      <c r="Z166" s="662"/>
      <c r="AA166" s="662"/>
      <c r="AB166" s="662"/>
      <c r="AC166" s="662"/>
      <c r="AD166" s="662"/>
      <c r="AE166" s="662"/>
      <c r="AF166" s="662"/>
      <c r="AG166" s="662"/>
      <c r="AH166" s="662"/>
      <c r="AI166" s="662"/>
      <c r="AJ166" s="662"/>
      <c r="AK166" s="662"/>
      <c r="AL166" s="662"/>
      <c r="AM166" s="662"/>
      <c r="AN166" s="662"/>
      <c r="AO166" s="662"/>
      <c r="AP166" s="662"/>
      <c r="AQ166" s="662"/>
      <c r="AR166" s="662"/>
      <c r="AS166" s="662"/>
      <c r="AT166" s="662"/>
      <c r="AU166" s="662"/>
      <c r="AV166" s="662"/>
      <c r="AW166" s="662"/>
      <c r="AX166" s="662"/>
      <c r="AY166" s="662"/>
      <c r="AZ166" s="662"/>
      <c r="BA166" s="662"/>
      <c r="BB166" s="662"/>
      <c r="BC166" s="662"/>
      <c r="BD166" s="662"/>
      <c r="BE166" s="662"/>
      <c r="BF166" s="662"/>
      <c r="BG166" s="662"/>
      <c r="BH166" s="662"/>
      <c r="BI166" s="662"/>
      <c r="BJ166" s="662"/>
      <c r="BK166" s="662"/>
      <c r="BL166" s="662"/>
    </row>
    <row r="167" spans="7:64" x14ac:dyDescent="0.25">
      <c r="G167" s="662"/>
      <c r="H167" s="662"/>
      <c r="I167" s="662"/>
      <c r="J167" s="662"/>
      <c r="K167" s="662"/>
      <c r="L167" s="662"/>
      <c r="M167" s="662"/>
      <c r="N167" s="662"/>
      <c r="O167" s="662"/>
      <c r="P167" s="662"/>
      <c r="Q167" s="662"/>
      <c r="R167" s="662"/>
      <c r="S167" s="662"/>
      <c r="T167" s="662"/>
      <c r="U167" s="662"/>
      <c r="V167" s="662"/>
      <c r="W167" s="662"/>
      <c r="X167" s="662"/>
      <c r="Y167" s="662"/>
      <c r="Z167" s="662"/>
      <c r="AA167" s="662"/>
      <c r="AB167" s="662"/>
      <c r="AC167" s="662"/>
      <c r="AD167" s="662"/>
      <c r="AE167" s="662"/>
      <c r="AF167" s="662"/>
      <c r="AG167" s="662"/>
      <c r="AH167" s="662"/>
      <c r="AI167" s="662"/>
      <c r="AJ167" s="662"/>
      <c r="AK167" s="662"/>
      <c r="AL167" s="662"/>
      <c r="AM167" s="662"/>
      <c r="AN167" s="662"/>
      <c r="AO167" s="662"/>
      <c r="AP167" s="662"/>
      <c r="AQ167" s="662"/>
      <c r="AR167" s="662"/>
      <c r="AS167" s="662"/>
      <c r="AT167" s="662"/>
      <c r="AU167" s="662"/>
      <c r="AV167" s="662"/>
      <c r="AW167" s="662"/>
      <c r="AX167" s="662"/>
      <c r="AY167" s="662"/>
      <c r="AZ167" s="662"/>
      <c r="BA167" s="662"/>
      <c r="BB167" s="662"/>
      <c r="BC167" s="662"/>
      <c r="BD167" s="662"/>
      <c r="BE167" s="662"/>
      <c r="BF167" s="662"/>
      <c r="BG167" s="662"/>
      <c r="BH167" s="662"/>
      <c r="BI167" s="662"/>
      <c r="BJ167" s="662"/>
      <c r="BK167" s="662"/>
      <c r="BL167" s="662"/>
    </row>
    <row r="168" spans="7:64" x14ac:dyDescent="0.25">
      <c r="G168" s="662"/>
      <c r="H168" s="662"/>
      <c r="I168" s="662"/>
      <c r="J168" s="662"/>
      <c r="K168" s="662"/>
      <c r="L168" s="662"/>
      <c r="M168" s="662"/>
      <c r="N168" s="662"/>
      <c r="O168" s="662"/>
      <c r="P168" s="662"/>
      <c r="Q168" s="662"/>
      <c r="R168" s="662"/>
      <c r="S168" s="662"/>
      <c r="T168" s="662"/>
      <c r="U168" s="662"/>
      <c r="V168" s="662"/>
      <c r="W168" s="662"/>
      <c r="X168" s="662"/>
      <c r="Y168" s="662"/>
      <c r="Z168" s="662"/>
      <c r="AA168" s="662"/>
      <c r="AB168" s="662"/>
      <c r="AC168" s="662"/>
      <c r="AD168" s="662"/>
      <c r="AE168" s="662"/>
      <c r="AF168" s="662"/>
      <c r="AG168" s="662"/>
      <c r="AH168" s="662"/>
      <c r="AI168" s="662"/>
      <c r="AJ168" s="662"/>
      <c r="AK168" s="662"/>
      <c r="AL168" s="662"/>
      <c r="AM168" s="662"/>
      <c r="AN168" s="662"/>
      <c r="AO168" s="662"/>
      <c r="AP168" s="662"/>
      <c r="AQ168" s="662"/>
      <c r="AR168" s="662"/>
      <c r="AS168" s="662"/>
      <c r="AT168" s="662"/>
      <c r="AU168" s="662"/>
      <c r="AV168" s="662"/>
      <c r="AW168" s="662"/>
      <c r="AX168" s="662"/>
      <c r="AY168" s="662"/>
      <c r="AZ168" s="662"/>
      <c r="BA168" s="662"/>
      <c r="BB168" s="662"/>
      <c r="BC168" s="662"/>
      <c r="BD168" s="662"/>
      <c r="BE168" s="662"/>
      <c r="BF168" s="662"/>
      <c r="BG168" s="662"/>
      <c r="BH168" s="662"/>
      <c r="BI168" s="662"/>
      <c r="BJ168" s="662"/>
      <c r="BK168" s="662"/>
      <c r="BL168" s="662"/>
    </row>
    <row r="169" spans="7:64" x14ac:dyDescent="0.25">
      <c r="G169" s="662"/>
      <c r="H169" s="662"/>
      <c r="I169" s="662"/>
      <c r="J169" s="662"/>
      <c r="K169" s="662"/>
      <c r="L169" s="662"/>
      <c r="M169" s="662"/>
      <c r="N169" s="662"/>
      <c r="O169" s="662"/>
      <c r="P169" s="662"/>
      <c r="Q169" s="662"/>
      <c r="R169" s="662"/>
      <c r="S169" s="662"/>
      <c r="T169" s="662"/>
      <c r="U169" s="662"/>
      <c r="V169" s="662"/>
      <c r="W169" s="662"/>
      <c r="X169" s="662"/>
      <c r="Y169" s="662"/>
      <c r="Z169" s="662"/>
      <c r="AA169" s="662"/>
      <c r="AB169" s="662"/>
      <c r="AC169" s="662"/>
      <c r="AD169" s="662"/>
      <c r="AE169" s="662"/>
      <c r="AF169" s="662"/>
      <c r="AG169" s="662"/>
      <c r="AH169" s="662"/>
      <c r="AI169" s="662"/>
      <c r="AJ169" s="662"/>
      <c r="AK169" s="662"/>
      <c r="AL169" s="662"/>
      <c r="AM169" s="662"/>
      <c r="AN169" s="662"/>
      <c r="AO169" s="662"/>
      <c r="AP169" s="662"/>
      <c r="AQ169" s="662"/>
      <c r="AR169" s="662"/>
      <c r="AS169" s="662"/>
      <c r="AT169" s="662"/>
      <c r="AU169" s="662"/>
      <c r="AV169" s="662"/>
      <c r="AW169" s="662"/>
      <c r="AX169" s="662"/>
      <c r="AY169" s="662"/>
      <c r="AZ169" s="662"/>
      <c r="BA169" s="662"/>
      <c r="BB169" s="662"/>
      <c r="BC169" s="662"/>
      <c r="BD169" s="662"/>
      <c r="BE169" s="662"/>
      <c r="BF169" s="662"/>
      <c r="BG169" s="662"/>
      <c r="BH169" s="662"/>
      <c r="BI169" s="662"/>
      <c r="BJ169" s="662"/>
      <c r="BK169" s="662"/>
      <c r="BL169" s="662"/>
    </row>
    <row r="170" spans="7:64" x14ac:dyDescent="0.25">
      <c r="G170" s="662"/>
      <c r="H170" s="662"/>
      <c r="I170" s="662"/>
      <c r="J170" s="662"/>
      <c r="K170" s="662"/>
      <c r="L170" s="662"/>
      <c r="M170" s="662"/>
      <c r="N170" s="662"/>
      <c r="O170" s="662"/>
      <c r="P170" s="662"/>
      <c r="Q170" s="662"/>
      <c r="R170" s="662"/>
      <c r="S170" s="662"/>
      <c r="T170" s="662"/>
      <c r="U170" s="662"/>
      <c r="V170" s="662"/>
      <c r="W170" s="662"/>
      <c r="X170" s="662"/>
      <c r="Y170" s="662"/>
      <c r="Z170" s="662"/>
      <c r="AA170" s="662"/>
      <c r="AB170" s="662"/>
      <c r="AC170" s="662"/>
      <c r="AD170" s="662"/>
      <c r="AE170" s="662"/>
      <c r="AF170" s="662"/>
      <c r="AG170" s="662"/>
      <c r="AH170" s="662"/>
      <c r="AI170" s="662"/>
      <c r="AJ170" s="662"/>
      <c r="AK170" s="662"/>
      <c r="AL170" s="662"/>
      <c r="AM170" s="662"/>
      <c r="AN170" s="662"/>
      <c r="AO170" s="662"/>
      <c r="AP170" s="662"/>
      <c r="AQ170" s="662"/>
      <c r="AR170" s="662"/>
      <c r="AS170" s="662"/>
      <c r="AT170" s="662"/>
      <c r="AU170" s="662"/>
      <c r="AV170" s="662"/>
      <c r="AW170" s="662"/>
      <c r="AX170" s="662"/>
      <c r="AY170" s="662"/>
      <c r="AZ170" s="662"/>
      <c r="BA170" s="662"/>
      <c r="BB170" s="662"/>
      <c r="BC170" s="662"/>
      <c r="BD170" s="662"/>
      <c r="BE170" s="662"/>
      <c r="BF170" s="662"/>
      <c r="BG170" s="662"/>
      <c r="BH170" s="662"/>
      <c r="BI170" s="662"/>
      <c r="BJ170" s="662"/>
      <c r="BK170" s="662"/>
      <c r="BL170" s="662"/>
    </row>
    <row r="171" spans="7:64" x14ac:dyDescent="0.25">
      <c r="G171" s="662"/>
      <c r="H171" s="662"/>
      <c r="I171" s="662"/>
      <c r="J171" s="662"/>
      <c r="K171" s="662"/>
      <c r="L171" s="662"/>
      <c r="M171" s="662"/>
      <c r="N171" s="662"/>
      <c r="O171" s="662"/>
      <c r="P171" s="662"/>
      <c r="Q171" s="662"/>
      <c r="R171" s="662"/>
      <c r="S171" s="662"/>
      <c r="T171" s="662"/>
      <c r="U171" s="662"/>
      <c r="V171" s="662"/>
      <c r="W171" s="662"/>
      <c r="X171" s="662"/>
      <c r="Y171" s="662"/>
      <c r="Z171" s="662"/>
      <c r="AA171" s="662"/>
      <c r="AB171" s="662"/>
      <c r="AC171" s="662"/>
      <c r="AD171" s="662"/>
      <c r="AE171" s="662"/>
      <c r="AF171" s="662"/>
      <c r="AG171" s="662"/>
      <c r="AH171" s="662"/>
      <c r="AI171" s="662"/>
      <c r="AJ171" s="662"/>
      <c r="AK171" s="662"/>
      <c r="AL171" s="662"/>
      <c r="AM171" s="662"/>
      <c r="AN171" s="662"/>
      <c r="AO171" s="662"/>
      <c r="AP171" s="662"/>
      <c r="AQ171" s="662"/>
      <c r="AR171" s="662"/>
      <c r="AS171" s="662"/>
      <c r="AT171" s="662"/>
      <c r="AU171" s="662"/>
      <c r="AV171" s="662"/>
      <c r="AW171" s="662"/>
      <c r="AX171" s="662"/>
      <c r="AY171" s="662"/>
      <c r="AZ171" s="662"/>
      <c r="BA171" s="662"/>
      <c r="BB171" s="662"/>
      <c r="BC171" s="662"/>
      <c r="BD171" s="662"/>
      <c r="BE171" s="662"/>
      <c r="BF171" s="662"/>
      <c r="BG171" s="662"/>
      <c r="BH171" s="662"/>
      <c r="BI171" s="662"/>
      <c r="BJ171" s="662"/>
      <c r="BK171" s="662"/>
      <c r="BL171" s="662"/>
    </row>
    <row r="172" spans="7:64" x14ac:dyDescent="0.25">
      <c r="G172" s="662"/>
      <c r="H172" s="662"/>
      <c r="I172" s="662"/>
      <c r="J172" s="662"/>
      <c r="K172" s="662"/>
      <c r="L172" s="662"/>
      <c r="M172" s="662"/>
      <c r="N172" s="662"/>
      <c r="O172" s="662"/>
      <c r="P172" s="662"/>
      <c r="Q172" s="662"/>
      <c r="R172" s="662"/>
      <c r="S172" s="662"/>
      <c r="T172" s="662"/>
      <c r="U172" s="662"/>
      <c r="V172" s="662"/>
      <c r="W172" s="662"/>
      <c r="X172" s="662"/>
      <c r="Y172" s="662"/>
      <c r="Z172" s="662"/>
      <c r="AA172" s="662"/>
      <c r="AB172" s="662"/>
      <c r="AC172" s="662"/>
      <c r="AD172" s="662"/>
      <c r="AE172" s="662"/>
      <c r="AF172" s="662"/>
      <c r="AG172" s="662"/>
      <c r="AH172" s="662"/>
      <c r="AI172" s="662"/>
      <c r="AJ172" s="662"/>
      <c r="AK172" s="662"/>
      <c r="AL172" s="662"/>
      <c r="AM172" s="662"/>
      <c r="AN172" s="662"/>
      <c r="AO172" s="662"/>
      <c r="AP172" s="662"/>
      <c r="AQ172" s="662"/>
      <c r="AR172" s="662"/>
      <c r="AS172" s="662"/>
      <c r="AT172" s="662"/>
      <c r="AU172" s="662"/>
      <c r="AV172" s="662"/>
      <c r="AW172" s="662"/>
      <c r="AX172" s="662"/>
      <c r="AY172" s="662"/>
      <c r="AZ172" s="662"/>
      <c r="BA172" s="662"/>
      <c r="BB172" s="662"/>
      <c r="BC172" s="662"/>
      <c r="BD172" s="662"/>
      <c r="BE172" s="662"/>
      <c r="BF172" s="662"/>
      <c r="BG172" s="662"/>
      <c r="BH172" s="662"/>
      <c r="BI172" s="662"/>
      <c r="BJ172" s="662"/>
      <c r="BK172" s="662"/>
      <c r="BL172" s="662"/>
    </row>
    <row r="173" spans="7:64" x14ac:dyDescent="0.25">
      <c r="G173" s="662"/>
      <c r="H173" s="662"/>
      <c r="I173" s="662"/>
      <c r="J173" s="662"/>
      <c r="K173" s="662"/>
      <c r="L173" s="662"/>
      <c r="M173" s="662"/>
      <c r="N173" s="662"/>
      <c r="O173" s="662"/>
      <c r="P173" s="662"/>
      <c r="Q173" s="662"/>
      <c r="R173" s="662"/>
      <c r="S173" s="662"/>
      <c r="T173" s="662"/>
      <c r="U173" s="662"/>
      <c r="V173" s="662"/>
      <c r="W173" s="662"/>
      <c r="X173" s="662"/>
      <c r="Y173" s="662"/>
      <c r="Z173" s="662"/>
      <c r="AA173" s="662"/>
      <c r="AB173" s="662"/>
      <c r="AC173" s="662"/>
      <c r="AD173" s="662"/>
      <c r="AE173" s="662"/>
      <c r="AF173" s="662"/>
      <c r="AG173" s="662"/>
      <c r="AH173" s="662"/>
      <c r="AI173" s="662"/>
      <c r="AJ173" s="662"/>
      <c r="AK173" s="662"/>
      <c r="AL173" s="662"/>
      <c r="AM173" s="662"/>
      <c r="AN173" s="662"/>
      <c r="AO173" s="662"/>
      <c r="AP173" s="662"/>
      <c r="AQ173" s="662"/>
      <c r="AR173" s="662"/>
      <c r="AS173" s="662"/>
      <c r="AT173" s="662"/>
      <c r="AU173" s="662"/>
      <c r="AV173" s="662"/>
      <c r="AW173" s="662"/>
      <c r="AX173" s="662"/>
      <c r="AY173" s="662"/>
      <c r="AZ173" s="662"/>
      <c r="BA173" s="662"/>
      <c r="BB173" s="662"/>
      <c r="BC173" s="662"/>
      <c r="BD173" s="662"/>
      <c r="BE173" s="662"/>
      <c r="BF173" s="662"/>
      <c r="BG173" s="662"/>
      <c r="BH173" s="662"/>
      <c r="BI173" s="662"/>
      <c r="BJ173" s="662"/>
      <c r="BK173" s="662"/>
      <c r="BL173" s="662"/>
    </row>
    <row r="174" spans="7:64" x14ac:dyDescent="0.25">
      <c r="G174" s="662"/>
      <c r="H174" s="662"/>
      <c r="I174" s="662"/>
      <c r="J174" s="662"/>
      <c r="K174" s="662"/>
      <c r="L174" s="662"/>
      <c r="M174" s="662"/>
      <c r="N174" s="662"/>
      <c r="O174" s="662"/>
      <c r="P174" s="662"/>
      <c r="Q174" s="662"/>
      <c r="R174" s="662"/>
      <c r="S174" s="662"/>
      <c r="T174" s="662"/>
      <c r="U174" s="662"/>
      <c r="V174" s="662"/>
      <c r="W174" s="662"/>
      <c r="X174" s="662"/>
      <c r="Y174" s="662"/>
      <c r="Z174" s="662"/>
      <c r="AA174" s="662"/>
      <c r="AB174" s="662"/>
      <c r="AC174" s="662"/>
      <c r="AD174" s="662"/>
      <c r="AE174" s="662"/>
      <c r="AF174" s="662"/>
      <c r="AG174" s="662"/>
      <c r="AH174" s="662"/>
      <c r="AI174" s="662"/>
      <c r="AJ174" s="662"/>
      <c r="AK174" s="662"/>
      <c r="AL174" s="662"/>
      <c r="AM174" s="662"/>
      <c r="AN174" s="662"/>
      <c r="AO174" s="662"/>
      <c r="AP174" s="662"/>
      <c r="AQ174" s="662"/>
      <c r="AR174" s="662"/>
      <c r="AS174" s="662"/>
      <c r="AT174" s="662"/>
      <c r="AU174" s="662"/>
      <c r="AV174" s="662"/>
      <c r="AW174" s="662"/>
      <c r="AX174" s="662"/>
      <c r="AY174" s="662"/>
      <c r="AZ174" s="662"/>
      <c r="BA174" s="662"/>
      <c r="BB174" s="662"/>
      <c r="BC174" s="662"/>
      <c r="BD174" s="662"/>
      <c r="BE174" s="662"/>
      <c r="BF174" s="662"/>
      <c r="BG174" s="662"/>
      <c r="BH174" s="662"/>
      <c r="BI174" s="662"/>
      <c r="BJ174" s="662"/>
      <c r="BK174" s="662"/>
      <c r="BL174" s="662"/>
    </row>
    <row r="175" spans="7:64" x14ac:dyDescent="0.25">
      <c r="G175" s="662"/>
      <c r="H175" s="662"/>
      <c r="I175" s="662"/>
      <c r="J175" s="662"/>
      <c r="K175" s="662"/>
      <c r="L175" s="662"/>
      <c r="M175" s="662"/>
      <c r="N175" s="662"/>
      <c r="O175" s="662"/>
      <c r="P175" s="662"/>
      <c r="Q175" s="662"/>
      <c r="R175" s="662"/>
      <c r="S175" s="662"/>
      <c r="T175" s="662"/>
      <c r="U175" s="662"/>
      <c r="V175" s="662"/>
      <c r="W175" s="662"/>
      <c r="X175" s="662"/>
      <c r="Y175" s="662"/>
      <c r="Z175" s="662"/>
      <c r="AA175" s="662"/>
      <c r="AB175" s="662"/>
      <c r="AC175" s="662"/>
      <c r="AD175" s="662"/>
      <c r="AE175" s="662"/>
      <c r="AF175" s="662"/>
      <c r="AG175" s="662"/>
      <c r="AH175" s="662"/>
      <c r="AI175" s="662"/>
      <c r="AJ175" s="662"/>
      <c r="AK175" s="662"/>
      <c r="AL175" s="662"/>
      <c r="AM175" s="662"/>
      <c r="AN175" s="662"/>
      <c r="AO175" s="662"/>
      <c r="AP175" s="662"/>
      <c r="AQ175" s="662"/>
      <c r="AR175" s="662"/>
      <c r="AS175" s="662"/>
      <c r="AT175" s="662"/>
      <c r="AU175" s="662"/>
      <c r="AV175" s="662"/>
      <c r="AW175" s="662"/>
      <c r="AX175" s="662"/>
      <c r="AY175" s="662"/>
      <c r="AZ175" s="662"/>
      <c r="BA175" s="662"/>
      <c r="BB175" s="662"/>
      <c r="BC175" s="662"/>
      <c r="BD175" s="662"/>
      <c r="BE175" s="662"/>
      <c r="BF175" s="662"/>
      <c r="BG175" s="662"/>
      <c r="BH175" s="662"/>
      <c r="BI175" s="662"/>
      <c r="BJ175" s="662"/>
      <c r="BK175" s="662"/>
      <c r="BL175" s="662"/>
    </row>
    <row r="176" spans="7:64" x14ac:dyDescent="0.25">
      <c r="G176" s="662"/>
      <c r="H176" s="662"/>
      <c r="I176" s="662"/>
      <c r="J176" s="662"/>
      <c r="K176" s="662"/>
      <c r="L176" s="662"/>
      <c r="M176" s="662"/>
      <c r="N176" s="662"/>
      <c r="O176" s="662"/>
      <c r="P176" s="662"/>
      <c r="Q176" s="662"/>
      <c r="R176" s="662"/>
      <c r="S176" s="662"/>
      <c r="T176" s="662"/>
      <c r="U176" s="662"/>
      <c r="V176" s="662"/>
      <c r="W176" s="662"/>
      <c r="X176" s="662"/>
      <c r="Y176" s="662"/>
      <c r="Z176" s="662"/>
      <c r="AA176" s="662"/>
      <c r="AB176" s="662"/>
      <c r="AC176" s="662"/>
      <c r="AD176" s="662"/>
      <c r="AE176" s="662"/>
      <c r="AF176" s="662"/>
      <c r="AG176" s="662"/>
      <c r="AH176" s="662"/>
      <c r="AI176" s="662"/>
      <c r="AJ176" s="662"/>
      <c r="AK176" s="662"/>
      <c r="AL176" s="662"/>
      <c r="AM176" s="662"/>
      <c r="AN176" s="662"/>
      <c r="AO176" s="662"/>
      <c r="AP176" s="662"/>
      <c r="AQ176" s="662"/>
      <c r="AR176" s="662"/>
      <c r="AS176" s="662"/>
      <c r="AT176" s="662"/>
      <c r="AU176" s="662"/>
      <c r="AV176" s="662"/>
      <c r="AW176" s="662"/>
      <c r="AX176" s="662"/>
      <c r="AY176" s="662"/>
      <c r="AZ176" s="662"/>
      <c r="BA176" s="662"/>
      <c r="BB176" s="662"/>
      <c r="BC176" s="662"/>
      <c r="BD176" s="662"/>
      <c r="BE176" s="662"/>
      <c r="BF176" s="662"/>
      <c r="BG176" s="662"/>
      <c r="BH176" s="662"/>
      <c r="BI176" s="662"/>
      <c r="BJ176" s="662"/>
      <c r="BK176" s="662"/>
      <c r="BL176" s="662"/>
    </row>
    <row r="177" spans="7:64" x14ac:dyDescent="0.25">
      <c r="G177" s="662"/>
      <c r="H177" s="662"/>
      <c r="I177" s="662"/>
      <c r="J177" s="662"/>
      <c r="K177" s="662"/>
      <c r="L177" s="662"/>
      <c r="M177" s="662"/>
      <c r="N177" s="662"/>
      <c r="O177" s="662"/>
      <c r="P177" s="662"/>
      <c r="Q177" s="662"/>
      <c r="R177" s="662"/>
      <c r="S177" s="662"/>
      <c r="T177" s="662"/>
      <c r="U177" s="662"/>
      <c r="V177" s="662"/>
      <c r="W177" s="662"/>
      <c r="X177" s="662"/>
      <c r="Y177" s="662"/>
      <c r="Z177" s="662"/>
      <c r="AA177" s="662"/>
      <c r="AB177" s="662"/>
      <c r="AC177" s="662"/>
      <c r="AD177" s="662"/>
      <c r="AE177" s="662"/>
      <c r="AF177" s="662"/>
      <c r="AG177" s="662"/>
      <c r="AH177" s="662"/>
      <c r="AI177" s="662"/>
      <c r="AJ177" s="662"/>
      <c r="AK177" s="662"/>
      <c r="AL177" s="662"/>
      <c r="AM177" s="662"/>
      <c r="AN177" s="662"/>
      <c r="AO177" s="662"/>
      <c r="AP177" s="662"/>
      <c r="AQ177" s="662"/>
      <c r="AR177" s="662"/>
      <c r="AS177" s="662"/>
      <c r="AT177" s="662"/>
      <c r="AU177" s="662"/>
      <c r="AV177" s="662"/>
      <c r="AW177" s="662"/>
      <c r="AX177" s="662"/>
      <c r="AY177" s="662"/>
      <c r="AZ177" s="662"/>
      <c r="BA177" s="662"/>
      <c r="BB177" s="662"/>
      <c r="BC177" s="662"/>
      <c r="BD177" s="662"/>
      <c r="BE177" s="662"/>
      <c r="BF177" s="662"/>
      <c r="BG177" s="662"/>
      <c r="BH177" s="662"/>
      <c r="BI177" s="662"/>
      <c r="BJ177" s="662"/>
      <c r="BK177" s="662"/>
      <c r="BL177" s="662"/>
    </row>
    <row r="178" spans="7:64" x14ac:dyDescent="0.25">
      <c r="G178" s="662"/>
      <c r="H178" s="662"/>
      <c r="I178" s="662"/>
      <c r="J178" s="662"/>
      <c r="K178" s="662"/>
      <c r="L178" s="662"/>
      <c r="M178" s="662"/>
      <c r="N178" s="662"/>
      <c r="O178" s="662"/>
      <c r="P178" s="662"/>
      <c r="Q178" s="662"/>
      <c r="R178" s="662"/>
      <c r="S178" s="662"/>
      <c r="T178" s="662"/>
      <c r="U178" s="662"/>
      <c r="V178" s="662"/>
      <c r="W178" s="662"/>
      <c r="X178" s="662"/>
      <c r="Y178" s="662"/>
      <c r="Z178" s="662"/>
      <c r="AA178" s="662"/>
      <c r="AB178" s="662"/>
      <c r="AC178" s="662"/>
      <c r="AD178" s="662"/>
      <c r="AE178" s="662"/>
      <c r="AF178" s="662"/>
      <c r="AG178" s="662"/>
      <c r="AH178" s="662"/>
      <c r="AI178" s="662"/>
      <c r="AJ178" s="662"/>
      <c r="AK178" s="662"/>
      <c r="AL178" s="662"/>
      <c r="AM178" s="662"/>
      <c r="AN178" s="662"/>
      <c r="AO178" s="662"/>
      <c r="AP178" s="662"/>
      <c r="AQ178" s="662"/>
      <c r="AR178" s="662"/>
      <c r="AS178" s="662"/>
      <c r="AT178" s="662"/>
      <c r="AU178" s="662"/>
      <c r="AV178" s="662"/>
      <c r="AW178" s="662"/>
      <c r="AX178" s="662"/>
      <c r="AY178" s="662"/>
      <c r="AZ178" s="662"/>
      <c r="BA178" s="662"/>
      <c r="BB178" s="662"/>
      <c r="BC178" s="662"/>
      <c r="BD178" s="662"/>
      <c r="BE178" s="662"/>
      <c r="BF178" s="662"/>
      <c r="BG178" s="662"/>
      <c r="BH178" s="662"/>
      <c r="BI178" s="662"/>
      <c r="BJ178" s="662"/>
      <c r="BK178" s="662"/>
      <c r="BL178" s="662"/>
    </row>
    <row r="179" spans="7:64" x14ac:dyDescent="0.25">
      <c r="G179" s="662"/>
      <c r="H179" s="662"/>
      <c r="I179" s="662"/>
      <c r="J179" s="662"/>
      <c r="K179" s="662"/>
      <c r="L179" s="662"/>
      <c r="M179" s="662"/>
      <c r="N179" s="662"/>
      <c r="O179" s="662"/>
      <c r="P179" s="662"/>
      <c r="Q179" s="662"/>
      <c r="R179" s="662"/>
      <c r="S179" s="662"/>
      <c r="T179" s="662"/>
      <c r="U179" s="662"/>
      <c r="V179" s="662"/>
      <c r="W179" s="662"/>
      <c r="X179" s="662"/>
      <c r="Y179" s="662"/>
      <c r="Z179" s="662"/>
      <c r="AA179" s="662"/>
      <c r="AB179" s="662"/>
      <c r="AC179" s="662"/>
      <c r="AD179" s="662"/>
      <c r="AE179" s="662"/>
      <c r="AF179" s="662"/>
      <c r="AG179" s="662"/>
      <c r="AH179" s="662"/>
      <c r="AI179" s="662"/>
      <c r="AJ179" s="662"/>
      <c r="AK179" s="662"/>
      <c r="AL179" s="662"/>
      <c r="AM179" s="662"/>
      <c r="AN179" s="662"/>
      <c r="AO179" s="662"/>
      <c r="AP179" s="662"/>
      <c r="AQ179" s="662"/>
      <c r="AR179" s="662"/>
      <c r="AS179" s="662"/>
      <c r="AT179" s="662"/>
      <c r="AU179" s="662"/>
      <c r="AV179" s="662"/>
      <c r="AW179" s="662"/>
      <c r="AX179" s="662"/>
      <c r="AY179" s="662"/>
      <c r="AZ179" s="662"/>
      <c r="BA179" s="662"/>
      <c r="BB179" s="662"/>
      <c r="BC179" s="662"/>
      <c r="BD179" s="662"/>
      <c r="BE179" s="662"/>
      <c r="BF179" s="662"/>
      <c r="BG179" s="662"/>
      <c r="BH179" s="662"/>
      <c r="BI179" s="662"/>
      <c r="BJ179" s="662"/>
      <c r="BK179" s="662"/>
      <c r="BL179" s="662"/>
    </row>
    <row r="180" spans="7:64" x14ac:dyDescent="0.25">
      <c r="G180" s="662"/>
      <c r="H180" s="662"/>
      <c r="I180" s="662"/>
      <c r="J180" s="662"/>
      <c r="K180" s="662"/>
      <c r="L180" s="662"/>
      <c r="M180" s="662"/>
      <c r="N180" s="662"/>
      <c r="O180" s="662"/>
      <c r="P180" s="662"/>
      <c r="Q180" s="662"/>
      <c r="R180" s="662"/>
      <c r="S180" s="662"/>
      <c r="T180" s="662"/>
      <c r="U180" s="662"/>
      <c r="V180" s="662"/>
      <c r="W180" s="662"/>
      <c r="X180" s="662"/>
      <c r="Y180" s="662"/>
      <c r="Z180" s="662"/>
      <c r="AA180" s="662"/>
      <c r="AB180" s="662"/>
      <c r="AC180" s="662"/>
      <c r="AD180" s="662"/>
      <c r="AE180" s="662"/>
      <c r="AF180" s="662"/>
      <c r="AG180" s="662"/>
      <c r="AH180" s="662"/>
      <c r="AI180" s="662"/>
      <c r="AJ180" s="662"/>
      <c r="AK180" s="662"/>
      <c r="AL180" s="662"/>
      <c r="AM180" s="662"/>
      <c r="AN180" s="662"/>
      <c r="AO180" s="662"/>
      <c r="AP180" s="662"/>
      <c r="AQ180" s="662"/>
      <c r="AR180" s="662"/>
      <c r="AS180" s="662"/>
      <c r="AT180" s="662"/>
      <c r="AU180" s="662"/>
      <c r="AV180" s="662"/>
      <c r="AW180" s="662"/>
      <c r="AX180" s="662"/>
      <c r="AY180" s="662"/>
      <c r="AZ180" s="662"/>
      <c r="BA180" s="662"/>
      <c r="BB180" s="662"/>
      <c r="BC180" s="662"/>
      <c r="BD180" s="662"/>
      <c r="BE180" s="662"/>
      <c r="BF180" s="662"/>
      <c r="BG180" s="662"/>
      <c r="BH180" s="662"/>
      <c r="BI180" s="662"/>
      <c r="BJ180" s="662"/>
      <c r="BK180" s="662"/>
      <c r="BL180" s="662"/>
    </row>
    <row r="181" spans="7:64" x14ac:dyDescent="0.25">
      <c r="G181" s="662"/>
      <c r="H181" s="662"/>
      <c r="I181" s="662"/>
      <c r="J181" s="662"/>
      <c r="K181" s="662"/>
      <c r="L181" s="662"/>
      <c r="M181" s="662"/>
      <c r="N181" s="662"/>
      <c r="O181" s="662"/>
      <c r="P181" s="662"/>
      <c r="Q181" s="662"/>
      <c r="R181" s="662"/>
      <c r="S181" s="662"/>
      <c r="T181" s="662"/>
      <c r="U181" s="662"/>
      <c r="V181" s="662"/>
      <c r="W181" s="662"/>
      <c r="X181" s="662"/>
      <c r="Y181" s="662"/>
      <c r="Z181" s="662"/>
      <c r="AA181" s="662"/>
      <c r="AB181" s="662"/>
      <c r="AC181" s="662"/>
      <c r="AD181" s="662"/>
      <c r="AE181" s="662"/>
      <c r="AF181" s="662"/>
      <c r="AG181" s="662"/>
      <c r="AH181" s="662"/>
      <c r="AI181" s="662"/>
      <c r="AJ181" s="662"/>
      <c r="AK181" s="662"/>
      <c r="AL181" s="662"/>
      <c r="AM181" s="662"/>
      <c r="AN181" s="662"/>
      <c r="AO181" s="662"/>
      <c r="AP181" s="662"/>
      <c r="AQ181" s="662"/>
      <c r="AR181" s="662"/>
      <c r="AS181" s="662"/>
      <c r="AT181" s="662"/>
      <c r="AU181" s="662"/>
      <c r="AV181" s="662"/>
      <c r="AW181" s="662"/>
      <c r="AX181" s="662"/>
      <c r="AY181" s="662"/>
      <c r="AZ181" s="662"/>
      <c r="BA181" s="662"/>
      <c r="BB181" s="662"/>
      <c r="BC181" s="662"/>
      <c r="BD181" s="662"/>
      <c r="BE181" s="662"/>
      <c r="BF181" s="662"/>
      <c r="BG181" s="662"/>
      <c r="BH181" s="662"/>
      <c r="BI181" s="662"/>
      <c r="BJ181" s="662"/>
      <c r="BK181" s="662"/>
      <c r="BL181" s="662"/>
    </row>
    <row r="182" spans="7:64" x14ac:dyDescent="0.25">
      <c r="G182" s="662"/>
      <c r="H182" s="662"/>
      <c r="I182" s="662"/>
      <c r="J182" s="662"/>
      <c r="K182" s="662"/>
      <c r="L182" s="662"/>
      <c r="M182" s="662"/>
      <c r="N182" s="662"/>
      <c r="O182" s="662"/>
      <c r="P182" s="662"/>
      <c r="Q182" s="662"/>
      <c r="R182" s="662"/>
      <c r="S182" s="662"/>
      <c r="T182" s="662"/>
      <c r="U182" s="662"/>
      <c r="V182" s="662"/>
      <c r="W182" s="662"/>
      <c r="X182" s="662"/>
      <c r="Y182" s="662"/>
      <c r="Z182" s="662"/>
      <c r="AA182" s="662"/>
      <c r="AB182" s="662"/>
      <c r="AC182" s="662"/>
      <c r="AD182" s="662"/>
      <c r="AE182" s="662"/>
      <c r="AF182" s="662"/>
      <c r="AG182" s="662"/>
      <c r="AH182" s="662"/>
      <c r="AI182" s="662"/>
      <c r="AJ182" s="662"/>
      <c r="AK182" s="662"/>
      <c r="AL182" s="662"/>
      <c r="AM182" s="662"/>
      <c r="AN182" s="662"/>
      <c r="AO182" s="662"/>
      <c r="AP182" s="662"/>
      <c r="AQ182" s="662"/>
      <c r="AR182" s="662"/>
      <c r="AS182" s="662"/>
      <c r="AT182" s="662"/>
      <c r="AU182" s="662"/>
      <c r="AV182" s="662"/>
      <c r="AW182" s="662"/>
      <c r="AX182" s="662"/>
      <c r="AY182" s="662"/>
      <c r="AZ182" s="662"/>
      <c r="BA182" s="662"/>
      <c r="BB182" s="662"/>
      <c r="BC182" s="662"/>
      <c r="BD182" s="662"/>
      <c r="BE182" s="662"/>
      <c r="BF182" s="662"/>
      <c r="BG182" s="662"/>
      <c r="BH182" s="662"/>
      <c r="BI182" s="662"/>
      <c r="BJ182" s="662"/>
      <c r="BK182" s="662"/>
      <c r="BL182" s="662"/>
    </row>
    <row r="183" spans="7:64" x14ac:dyDescent="0.25">
      <c r="G183" s="662"/>
      <c r="H183" s="662"/>
      <c r="I183" s="662"/>
      <c r="J183" s="662"/>
      <c r="K183" s="662"/>
      <c r="L183" s="662"/>
      <c r="M183" s="662"/>
      <c r="N183" s="662"/>
      <c r="O183" s="662"/>
      <c r="P183" s="662"/>
      <c r="Q183" s="662"/>
      <c r="R183" s="662"/>
      <c r="S183" s="662"/>
      <c r="T183" s="662"/>
      <c r="U183" s="662"/>
      <c r="V183" s="662"/>
      <c r="W183" s="662"/>
      <c r="X183" s="662"/>
      <c r="Y183" s="662"/>
      <c r="Z183" s="662"/>
      <c r="AA183" s="662"/>
      <c r="AB183" s="662"/>
      <c r="AC183" s="662"/>
      <c r="AD183" s="662"/>
      <c r="AE183" s="662"/>
      <c r="AF183" s="662"/>
      <c r="AG183" s="662"/>
      <c r="AH183" s="662"/>
      <c r="AI183" s="662"/>
      <c r="AJ183" s="662"/>
      <c r="AK183" s="662"/>
      <c r="AL183" s="662"/>
      <c r="AM183" s="662"/>
      <c r="AN183" s="662"/>
      <c r="AO183" s="662"/>
      <c r="AP183" s="662"/>
      <c r="AQ183" s="662"/>
      <c r="AR183" s="662"/>
      <c r="AS183" s="662"/>
      <c r="AT183" s="662"/>
      <c r="AU183" s="662"/>
      <c r="AV183" s="662"/>
      <c r="AW183" s="662"/>
      <c r="AX183" s="662"/>
      <c r="AY183" s="662"/>
      <c r="AZ183" s="662"/>
      <c r="BA183" s="662"/>
      <c r="BB183" s="662"/>
      <c r="BC183" s="662"/>
      <c r="BD183" s="662"/>
      <c r="BE183" s="662"/>
      <c r="BF183" s="662"/>
      <c r="BG183" s="662"/>
      <c r="BH183" s="662"/>
      <c r="BI183" s="662"/>
      <c r="BJ183" s="662"/>
      <c r="BK183" s="662"/>
      <c r="BL183" s="662"/>
    </row>
    <row r="184" spans="7:64" x14ac:dyDescent="0.25">
      <c r="G184" s="662"/>
      <c r="H184" s="662"/>
      <c r="I184" s="662"/>
      <c r="J184" s="662"/>
      <c r="K184" s="662"/>
      <c r="L184" s="662"/>
      <c r="M184" s="662"/>
      <c r="N184" s="662"/>
      <c r="O184" s="662"/>
      <c r="P184" s="662"/>
      <c r="Q184" s="662"/>
      <c r="R184" s="662"/>
      <c r="S184" s="662"/>
      <c r="T184" s="662"/>
      <c r="U184" s="662"/>
      <c r="V184" s="662"/>
      <c r="W184" s="662"/>
      <c r="X184" s="662"/>
      <c r="Y184" s="662"/>
      <c r="Z184" s="662"/>
      <c r="AA184" s="662"/>
      <c r="AB184" s="662"/>
      <c r="AC184" s="662"/>
      <c r="AD184" s="662"/>
      <c r="AE184" s="662"/>
      <c r="AF184" s="662"/>
      <c r="AG184" s="662"/>
      <c r="AH184" s="662"/>
      <c r="AI184" s="662"/>
      <c r="AJ184" s="662"/>
      <c r="AK184" s="662"/>
      <c r="AL184" s="662"/>
      <c r="AM184" s="662"/>
      <c r="AN184" s="662"/>
      <c r="AO184" s="662"/>
      <c r="AP184" s="662"/>
      <c r="AQ184" s="662"/>
      <c r="AR184" s="662"/>
      <c r="AS184" s="662"/>
      <c r="AT184" s="662"/>
      <c r="AU184" s="662"/>
      <c r="AV184" s="662"/>
      <c r="AW184" s="662"/>
      <c r="AX184" s="662"/>
      <c r="AY184" s="662"/>
      <c r="AZ184" s="662"/>
      <c r="BA184" s="662"/>
      <c r="BB184" s="662"/>
      <c r="BC184" s="662"/>
      <c r="BD184" s="662"/>
      <c r="BE184" s="662"/>
      <c r="BF184" s="662"/>
      <c r="BG184" s="662"/>
      <c r="BH184" s="662"/>
      <c r="BI184" s="662"/>
      <c r="BJ184" s="662"/>
      <c r="BK184" s="662"/>
      <c r="BL184" s="662"/>
    </row>
    <row r="185" spans="7:64" x14ac:dyDescent="0.25">
      <c r="G185" s="662"/>
      <c r="H185" s="662"/>
      <c r="I185" s="662"/>
      <c r="J185" s="662"/>
      <c r="K185" s="662"/>
      <c r="L185" s="662"/>
      <c r="M185" s="662"/>
      <c r="N185" s="662"/>
      <c r="O185" s="662"/>
      <c r="P185" s="662"/>
      <c r="Q185" s="662"/>
      <c r="R185" s="662"/>
      <c r="S185" s="662"/>
      <c r="T185" s="662"/>
      <c r="U185" s="662"/>
      <c r="V185" s="662"/>
      <c r="W185" s="662"/>
      <c r="X185" s="662"/>
      <c r="Y185" s="662"/>
      <c r="Z185" s="662"/>
      <c r="AA185" s="662"/>
      <c r="AB185" s="662"/>
      <c r="AC185" s="662"/>
      <c r="AD185" s="662"/>
      <c r="AE185" s="662"/>
      <c r="AF185" s="662"/>
      <c r="AG185" s="662"/>
      <c r="AH185" s="662"/>
      <c r="AI185" s="662"/>
      <c r="AJ185" s="662"/>
      <c r="AK185" s="662"/>
      <c r="AL185" s="662"/>
      <c r="AM185" s="662"/>
      <c r="AN185" s="662"/>
      <c r="AO185" s="662"/>
      <c r="AP185" s="662"/>
      <c r="AQ185" s="662"/>
      <c r="AR185" s="662"/>
      <c r="AS185" s="662"/>
      <c r="AT185" s="662"/>
      <c r="AU185" s="662"/>
      <c r="AV185" s="662"/>
      <c r="AW185" s="662"/>
      <c r="AX185" s="662"/>
      <c r="AY185" s="662"/>
      <c r="AZ185" s="662"/>
      <c r="BA185" s="662"/>
      <c r="BB185" s="662"/>
      <c r="BC185" s="662"/>
      <c r="BD185" s="662"/>
      <c r="BE185" s="662"/>
      <c r="BF185" s="662"/>
      <c r="BG185" s="662"/>
      <c r="BH185" s="662"/>
      <c r="BI185" s="662"/>
      <c r="BJ185" s="662"/>
      <c r="BK185" s="662"/>
      <c r="BL185" s="662"/>
    </row>
    <row r="186" spans="7:64" x14ac:dyDescent="0.25">
      <c r="G186" s="662"/>
      <c r="H186" s="662"/>
      <c r="I186" s="662"/>
      <c r="J186" s="662"/>
      <c r="K186" s="662"/>
      <c r="L186" s="662"/>
      <c r="M186" s="662"/>
      <c r="N186" s="662"/>
      <c r="O186" s="662"/>
      <c r="P186" s="662"/>
      <c r="Q186" s="662"/>
      <c r="R186" s="662"/>
      <c r="S186" s="662"/>
      <c r="T186" s="662"/>
      <c r="U186" s="662"/>
      <c r="V186" s="662"/>
      <c r="W186" s="662"/>
      <c r="X186" s="662"/>
      <c r="Y186" s="662"/>
      <c r="Z186" s="662"/>
      <c r="AA186" s="662"/>
      <c r="AB186" s="662"/>
      <c r="AC186" s="662"/>
      <c r="AD186" s="662"/>
      <c r="AE186" s="662"/>
      <c r="AF186" s="662"/>
      <c r="AG186" s="662"/>
      <c r="AH186" s="662"/>
      <c r="AI186" s="662"/>
      <c r="AJ186" s="662"/>
      <c r="AK186" s="662"/>
      <c r="AL186" s="662"/>
      <c r="AM186" s="662"/>
      <c r="AN186" s="662"/>
      <c r="AO186" s="662"/>
      <c r="AP186" s="662"/>
      <c r="AQ186" s="662"/>
      <c r="AR186" s="662"/>
      <c r="AS186" s="662"/>
      <c r="AT186" s="662"/>
      <c r="AU186" s="662"/>
      <c r="AV186" s="662"/>
      <c r="AW186" s="662"/>
      <c r="AX186" s="662"/>
      <c r="AY186" s="662"/>
      <c r="AZ186" s="662"/>
      <c r="BA186" s="662"/>
      <c r="BB186" s="662"/>
      <c r="BC186" s="662"/>
      <c r="BD186" s="662"/>
      <c r="BE186" s="662"/>
      <c r="BF186" s="662"/>
      <c r="BG186" s="662"/>
      <c r="BH186" s="662"/>
      <c r="BI186" s="662"/>
      <c r="BJ186" s="662"/>
      <c r="BK186" s="662"/>
      <c r="BL186" s="662"/>
    </row>
    <row r="187" spans="7:64" x14ac:dyDescent="0.25">
      <c r="G187" s="662"/>
      <c r="H187" s="662"/>
      <c r="I187" s="662"/>
      <c r="J187" s="662"/>
      <c r="K187" s="662"/>
      <c r="L187" s="662"/>
      <c r="M187" s="662"/>
      <c r="N187" s="662"/>
      <c r="O187" s="662"/>
      <c r="P187" s="662"/>
      <c r="Q187" s="662"/>
      <c r="R187" s="662"/>
      <c r="S187" s="662"/>
      <c r="T187" s="662"/>
      <c r="U187" s="662"/>
      <c r="V187" s="662"/>
      <c r="W187" s="662"/>
      <c r="X187" s="662"/>
      <c r="Y187" s="662"/>
      <c r="Z187" s="662"/>
      <c r="AA187" s="662"/>
      <c r="AB187" s="662"/>
      <c r="AC187" s="662"/>
      <c r="AD187" s="662"/>
      <c r="AE187" s="662"/>
      <c r="AF187" s="662"/>
      <c r="AG187" s="662"/>
      <c r="AH187" s="662"/>
      <c r="AI187" s="662"/>
      <c r="AJ187" s="662"/>
      <c r="AK187" s="662"/>
      <c r="AL187" s="662"/>
      <c r="AM187" s="662"/>
      <c r="AN187" s="662"/>
      <c r="AO187" s="662"/>
      <c r="AP187" s="662"/>
      <c r="AQ187" s="662"/>
      <c r="AR187" s="662"/>
      <c r="AS187" s="662"/>
      <c r="AT187" s="662"/>
      <c r="AU187" s="662"/>
      <c r="AV187" s="662"/>
      <c r="AW187" s="662"/>
      <c r="AX187" s="662"/>
      <c r="AY187" s="662"/>
      <c r="AZ187" s="662"/>
      <c r="BA187" s="662"/>
      <c r="BB187" s="662"/>
      <c r="BC187" s="662"/>
      <c r="BD187" s="662"/>
      <c r="BE187" s="662"/>
      <c r="BF187" s="662"/>
      <c r="BG187" s="662"/>
      <c r="BH187" s="662"/>
      <c r="BI187" s="662"/>
      <c r="BJ187" s="662"/>
      <c r="BK187" s="662"/>
      <c r="BL187" s="662"/>
    </row>
    <row r="188" spans="7:64" x14ac:dyDescent="0.25">
      <c r="G188" s="662"/>
      <c r="H188" s="662"/>
      <c r="I188" s="662"/>
      <c r="J188" s="662"/>
      <c r="K188" s="662"/>
      <c r="L188" s="662"/>
      <c r="M188" s="662"/>
      <c r="N188" s="662"/>
      <c r="O188" s="662"/>
      <c r="P188" s="662"/>
      <c r="Q188" s="662"/>
      <c r="R188" s="662"/>
      <c r="S188" s="662"/>
      <c r="T188" s="662"/>
      <c r="U188" s="662"/>
      <c r="V188" s="662"/>
      <c r="W188" s="662"/>
      <c r="X188" s="662"/>
      <c r="Y188" s="662"/>
      <c r="Z188" s="662"/>
      <c r="AA188" s="662"/>
      <c r="AB188" s="662"/>
      <c r="AC188" s="662"/>
      <c r="AD188" s="662"/>
      <c r="AE188" s="662"/>
      <c r="AF188" s="662"/>
      <c r="AG188" s="662"/>
      <c r="AH188" s="662"/>
      <c r="AI188" s="662"/>
      <c r="AJ188" s="662"/>
      <c r="AK188" s="662"/>
      <c r="AL188" s="662"/>
      <c r="AM188" s="662"/>
      <c r="AN188" s="662"/>
      <c r="AO188" s="662"/>
      <c r="AP188" s="662"/>
      <c r="AQ188" s="662"/>
      <c r="AR188" s="662"/>
      <c r="AS188" s="662"/>
      <c r="AT188" s="662"/>
      <c r="AU188" s="662"/>
      <c r="AV188" s="662"/>
      <c r="AW188" s="662"/>
      <c r="AX188" s="662"/>
      <c r="AY188" s="662"/>
      <c r="AZ188" s="662"/>
      <c r="BA188" s="662"/>
      <c r="BB188" s="662"/>
      <c r="BC188" s="662"/>
      <c r="BD188" s="662"/>
      <c r="BE188" s="662"/>
      <c r="BF188" s="662"/>
      <c r="BG188" s="662"/>
      <c r="BH188" s="662"/>
      <c r="BI188" s="662"/>
      <c r="BJ188" s="662"/>
      <c r="BK188" s="662"/>
      <c r="BL188" s="662"/>
    </row>
    <row r="189" spans="7:64" x14ac:dyDescent="0.25">
      <c r="G189" s="662"/>
      <c r="H189" s="662"/>
      <c r="I189" s="662"/>
      <c r="J189" s="662"/>
      <c r="K189" s="662"/>
      <c r="L189" s="662"/>
      <c r="M189" s="662"/>
      <c r="N189" s="662"/>
      <c r="O189" s="662"/>
      <c r="P189" s="662"/>
      <c r="Q189" s="662"/>
      <c r="R189" s="662"/>
      <c r="S189" s="662"/>
      <c r="T189" s="662"/>
      <c r="U189" s="662"/>
      <c r="V189" s="662"/>
      <c r="W189" s="662"/>
      <c r="X189" s="662"/>
      <c r="Y189" s="662"/>
      <c r="Z189" s="662"/>
      <c r="AA189" s="662"/>
      <c r="AB189" s="662"/>
      <c r="AC189" s="662"/>
      <c r="AD189" s="662"/>
      <c r="AE189" s="662"/>
      <c r="AF189" s="662"/>
      <c r="AG189" s="662"/>
      <c r="AH189" s="662"/>
      <c r="AI189" s="662"/>
      <c r="AJ189" s="662"/>
      <c r="AK189" s="662"/>
      <c r="AL189" s="662"/>
      <c r="AM189" s="662"/>
      <c r="AN189" s="662"/>
      <c r="AO189" s="662"/>
      <c r="AP189" s="662"/>
      <c r="AQ189" s="662"/>
      <c r="AR189" s="662"/>
      <c r="AS189" s="662"/>
      <c r="AT189" s="662"/>
      <c r="AU189" s="662"/>
      <c r="AV189" s="662"/>
      <c r="AW189" s="662"/>
      <c r="AX189" s="662"/>
      <c r="AY189" s="662"/>
      <c r="AZ189" s="662"/>
      <c r="BA189" s="662"/>
      <c r="BB189" s="662"/>
      <c r="BC189" s="662"/>
      <c r="BD189" s="662"/>
      <c r="BE189" s="662"/>
      <c r="BF189" s="662"/>
      <c r="BG189" s="662"/>
      <c r="BH189" s="662"/>
      <c r="BI189" s="662"/>
      <c r="BJ189" s="662"/>
      <c r="BK189" s="662"/>
      <c r="BL189" s="662"/>
    </row>
    <row r="190" spans="7:64" x14ac:dyDescent="0.25">
      <c r="G190" s="662"/>
      <c r="H190" s="662"/>
      <c r="I190" s="662"/>
      <c r="J190" s="662"/>
      <c r="K190" s="662"/>
      <c r="L190" s="662"/>
      <c r="M190" s="662"/>
      <c r="N190" s="662"/>
      <c r="O190" s="662"/>
      <c r="P190" s="662"/>
      <c r="Q190" s="662"/>
      <c r="R190" s="662"/>
      <c r="S190" s="662"/>
      <c r="T190" s="662"/>
      <c r="U190" s="662"/>
      <c r="V190" s="662"/>
      <c r="W190" s="662"/>
      <c r="X190" s="662"/>
      <c r="Y190" s="662"/>
      <c r="Z190" s="662"/>
      <c r="AA190" s="662"/>
      <c r="AB190" s="662"/>
      <c r="AC190" s="662"/>
      <c r="AD190" s="662"/>
      <c r="AE190" s="662"/>
      <c r="AF190" s="662"/>
      <c r="AG190" s="662"/>
      <c r="AH190" s="662"/>
      <c r="AI190" s="662"/>
      <c r="AJ190" s="662"/>
      <c r="AK190" s="662"/>
      <c r="AL190" s="662"/>
      <c r="AM190" s="662"/>
      <c r="AN190" s="662"/>
      <c r="AO190" s="662"/>
      <c r="AP190" s="662"/>
      <c r="AQ190" s="662"/>
      <c r="AR190" s="662"/>
      <c r="AS190" s="662"/>
      <c r="AT190" s="662"/>
      <c r="AU190" s="662"/>
      <c r="AV190" s="662"/>
      <c r="AW190" s="662"/>
      <c r="AX190" s="662"/>
      <c r="AY190" s="662"/>
      <c r="AZ190" s="662"/>
      <c r="BA190" s="662"/>
      <c r="BB190" s="662"/>
      <c r="BC190" s="662"/>
      <c r="BD190" s="662"/>
      <c r="BE190" s="662"/>
      <c r="BF190" s="662"/>
      <c r="BG190" s="662"/>
      <c r="BH190" s="662"/>
      <c r="BI190" s="662"/>
      <c r="BJ190" s="662"/>
      <c r="BK190" s="662"/>
      <c r="BL190" s="662"/>
    </row>
    <row r="191" spans="7:64" x14ac:dyDescent="0.25">
      <c r="G191" s="662"/>
      <c r="H191" s="662"/>
      <c r="I191" s="662"/>
      <c r="J191" s="662"/>
      <c r="K191" s="662"/>
      <c r="L191" s="662"/>
      <c r="M191" s="662"/>
      <c r="N191" s="662"/>
      <c r="O191" s="662"/>
      <c r="P191" s="662"/>
      <c r="Q191" s="662"/>
      <c r="R191" s="662"/>
      <c r="S191" s="662"/>
      <c r="T191" s="662"/>
      <c r="U191" s="662"/>
      <c r="V191" s="662"/>
      <c r="W191" s="662"/>
      <c r="X191" s="662"/>
      <c r="Y191" s="662"/>
      <c r="Z191" s="662"/>
      <c r="AA191" s="662"/>
      <c r="AB191" s="662"/>
      <c r="AC191" s="662"/>
      <c r="AD191" s="662"/>
      <c r="AE191" s="662"/>
      <c r="AF191" s="662"/>
      <c r="AG191" s="662"/>
      <c r="AH191" s="662"/>
      <c r="AI191" s="662"/>
      <c r="AJ191" s="662"/>
      <c r="AK191" s="662"/>
      <c r="AL191" s="662"/>
      <c r="AM191" s="662"/>
      <c r="AN191" s="662"/>
      <c r="AO191" s="662"/>
      <c r="AP191" s="662"/>
      <c r="AQ191" s="662"/>
      <c r="AR191" s="662"/>
      <c r="AS191" s="662"/>
      <c r="AT191" s="662"/>
      <c r="AU191" s="662"/>
      <c r="AV191" s="662"/>
      <c r="AW191" s="662"/>
      <c r="AX191" s="662"/>
      <c r="AY191" s="662"/>
      <c r="AZ191" s="662"/>
      <c r="BA191" s="662"/>
      <c r="BB191" s="662"/>
      <c r="BC191" s="662"/>
      <c r="BD191" s="662"/>
      <c r="BE191" s="662"/>
      <c r="BF191" s="662"/>
      <c r="BG191" s="662"/>
      <c r="BH191" s="662"/>
      <c r="BI191" s="662"/>
      <c r="BJ191" s="662"/>
      <c r="BK191" s="662"/>
      <c r="BL191" s="662"/>
    </row>
    <row r="192" spans="7:64" x14ac:dyDescent="0.25">
      <c r="G192" s="662"/>
      <c r="H192" s="662"/>
      <c r="I192" s="662"/>
      <c r="J192" s="662"/>
      <c r="K192" s="662"/>
      <c r="L192" s="662"/>
      <c r="M192" s="662"/>
      <c r="N192" s="662"/>
      <c r="O192" s="662"/>
      <c r="P192" s="662"/>
      <c r="Q192" s="662"/>
      <c r="R192" s="662"/>
      <c r="S192" s="662"/>
      <c r="T192" s="662"/>
      <c r="U192" s="662"/>
      <c r="V192" s="662"/>
      <c r="W192" s="662"/>
      <c r="X192" s="662"/>
      <c r="Y192" s="662"/>
      <c r="Z192" s="662"/>
      <c r="AA192" s="662"/>
      <c r="AB192" s="662"/>
      <c r="AC192" s="662"/>
      <c r="AD192" s="662"/>
      <c r="AE192" s="662"/>
      <c r="AF192" s="662"/>
      <c r="AG192" s="662"/>
      <c r="AH192" s="662"/>
      <c r="AI192" s="662"/>
      <c r="AJ192" s="662"/>
      <c r="AK192" s="662"/>
      <c r="AL192" s="662"/>
      <c r="AM192" s="662"/>
      <c r="AN192" s="662"/>
      <c r="AO192" s="662"/>
      <c r="AP192" s="662"/>
      <c r="AQ192" s="662"/>
      <c r="AR192" s="662"/>
      <c r="AS192" s="662"/>
      <c r="AT192" s="662"/>
      <c r="AU192" s="662"/>
      <c r="AV192" s="662"/>
      <c r="AW192" s="662"/>
      <c r="AX192" s="662"/>
      <c r="AY192" s="662"/>
      <c r="AZ192" s="662"/>
      <c r="BA192" s="662"/>
      <c r="BB192" s="662"/>
      <c r="BC192" s="662"/>
      <c r="BD192" s="662"/>
      <c r="BE192" s="662"/>
      <c r="BF192" s="662"/>
      <c r="BG192" s="662"/>
      <c r="BH192" s="662"/>
      <c r="BI192" s="662"/>
      <c r="BJ192" s="662"/>
      <c r="BK192" s="662"/>
      <c r="BL192" s="662"/>
    </row>
    <row r="193" spans="7:64" x14ac:dyDescent="0.25">
      <c r="G193" s="662"/>
      <c r="H193" s="662"/>
      <c r="I193" s="662"/>
      <c r="J193" s="662"/>
      <c r="K193" s="662"/>
      <c r="L193" s="662"/>
      <c r="M193" s="662"/>
      <c r="N193" s="662"/>
      <c r="O193" s="662"/>
      <c r="P193" s="662"/>
      <c r="Q193" s="662"/>
      <c r="R193" s="662"/>
      <c r="S193" s="662"/>
      <c r="T193" s="662"/>
      <c r="U193" s="662"/>
      <c r="V193" s="662"/>
      <c r="W193" s="662"/>
      <c r="X193" s="662"/>
      <c r="Y193" s="662"/>
      <c r="Z193" s="662"/>
      <c r="AA193" s="662"/>
      <c r="AB193" s="662"/>
      <c r="AC193" s="662"/>
      <c r="AD193" s="662"/>
      <c r="AE193" s="662"/>
      <c r="AF193" s="662"/>
      <c r="AG193" s="662"/>
      <c r="AH193" s="662"/>
      <c r="AI193" s="662"/>
      <c r="AJ193" s="662"/>
      <c r="AK193" s="662"/>
      <c r="AL193" s="662"/>
      <c r="AM193" s="662"/>
      <c r="AN193" s="662"/>
      <c r="AO193" s="662"/>
      <c r="AP193" s="662"/>
      <c r="AQ193" s="662"/>
      <c r="AR193" s="662"/>
      <c r="AS193" s="662"/>
      <c r="AT193" s="662"/>
      <c r="AU193" s="662"/>
      <c r="AV193" s="662"/>
      <c r="AW193" s="662"/>
      <c r="AX193" s="662"/>
      <c r="AY193" s="662"/>
      <c r="AZ193" s="662"/>
      <c r="BA193" s="662"/>
      <c r="BB193" s="662"/>
      <c r="BC193" s="662"/>
      <c r="BD193" s="662"/>
      <c r="BE193" s="662"/>
      <c r="BF193" s="662"/>
      <c r="BG193" s="662"/>
      <c r="BH193" s="662"/>
      <c r="BI193" s="662"/>
      <c r="BJ193" s="662"/>
      <c r="BK193" s="662"/>
      <c r="BL193" s="662"/>
    </row>
    <row r="194" spans="7:64" x14ac:dyDescent="0.25">
      <c r="G194" s="662"/>
      <c r="H194" s="662"/>
      <c r="I194" s="662"/>
      <c r="J194" s="662"/>
      <c r="K194" s="662"/>
      <c r="L194" s="662"/>
      <c r="M194" s="662"/>
      <c r="N194" s="662"/>
      <c r="O194" s="662"/>
      <c r="P194" s="662"/>
      <c r="Q194" s="662"/>
      <c r="R194" s="662"/>
      <c r="S194" s="662"/>
      <c r="T194" s="662"/>
      <c r="U194" s="662"/>
      <c r="V194" s="662"/>
      <c r="W194" s="662"/>
      <c r="X194" s="662"/>
      <c r="Y194" s="662"/>
      <c r="Z194" s="662"/>
      <c r="AA194" s="662"/>
      <c r="AB194" s="662"/>
      <c r="AC194" s="662"/>
      <c r="AD194" s="662"/>
      <c r="AE194" s="662"/>
      <c r="AF194" s="662"/>
      <c r="AG194" s="662"/>
      <c r="AH194" s="662"/>
      <c r="AI194" s="662"/>
      <c r="AJ194" s="662"/>
      <c r="AK194" s="662"/>
      <c r="AL194" s="662"/>
      <c r="AM194" s="662"/>
      <c r="AN194" s="662"/>
      <c r="AO194" s="662"/>
      <c r="AP194" s="662"/>
      <c r="AQ194" s="662"/>
      <c r="AR194" s="662"/>
      <c r="AS194" s="662"/>
      <c r="AT194" s="662"/>
      <c r="AU194" s="662"/>
      <c r="AV194" s="662"/>
      <c r="AW194" s="662"/>
      <c r="AX194" s="662"/>
      <c r="AY194" s="662"/>
      <c r="AZ194" s="662"/>
      <c r="BA194" s="662"/>
      <c r="BB194" s="662"/>
      <c r="BC194" s="662"/>
      <c r="BD194" s="662"/>
      <c r="BE194" s="662"/>
      <c r="BF194" s="662"/>
      <c r="BG194" s="662"/>
      <c r="BH194" s="662"/>
      <c r="BI194" s="662"/>
      <c r="BJ194" s="662"/>
      <c r="BK194" s="662"/>
      <c r="BL194" s="662"/>
    </row>
    <row r="195" spans="7:64" x14ac:dyDescent="0.25">
      <c r="G195" s="662"/>
      <c r="H195" s="662"/>
      <c r="I195" s="662"/>
      <c r="J195" s="662"/>
      <c r="K195" s="662"/>
      <c r="L195" s="662"/>
      <c r="M195" s="662"/>
      <c r="N195" s="662"/>
      <c r="O195" s="662"/>
      <c r="P195" s="662"/>
      <c r="Q195" s="662"/>
      <c r="R195" s="662"/>
      <c r="S195" s="662"/>
      <c r="T195" s="662"/>
      <c r="U195" s="662"/>
      <c r="V195" s="662"/>
      <c r="W195" s="662"/>
      <c r="X195" s="662"/>
      <c r="Y195" s="662"/>
      <c r="Z195" s="662"/>
      <c r="AA195" s="662"/>
      <c r="AB195" s="662"/>
      <c r="AC195" s="662"/>
      <c r="AD195" s="662"/>
      <c r="AE195" s="662"/>
      <c r="AF195" s="662"/>
      <c r="AG195" s="662"/>
      <c r="AH195" s="662"/>
      <c r="AI195" s="662"/>
      <c r="AJ195" s="662"/>
      <c r="AK195" s="662"/>
      <c r="AL195" s="662"/>
      <c r="AM195" s="662"/>
      <c r="AN195" s="662"/>
      <c r="AO195" s="662"/>
      <c r="AP195" s="662"/>
      <c r="AQ195" s="662"/>
      <c r="AR195" s="662"/>
      <c r="AS195" s="662"/>
      <c r="AT195" s="662"/>
      <c r="AU195" s="662"/>
      <c r="AV195" s="662"/>
      <c r="AW195" s="662"/>
      <c r="AX195" s="662"/>
      <c r="AY195" s="662"/>
      <c r="AZ195" s="662"/>
      <c r="BA195" s="662"/>
      <c r="BB195" s="662"/>
      <c r="BC195" s="662"/>
      <c r="BD195" s="662"/>
      <c r="BE195" s="662"/>
      <c r="BF195" s="662"/>
      <c r="BG195" s="662"/>
      <c r="BH195" s="662"/>
      <c r="BI195" s="662"/>
      <c r="BJ195" s="662"/>
      <c r="BK195" s="662"/>
      <c r="BL195" s="662"/>
    </row>
    <row r="196" spans="7:64" x14ac:dyDescent="0.25">
      <c r="G196" s="662"/>
      <c r="H196" s="662"/>
      <c r="I196" s="662"/>
      <c r="J196" s="662"/>
      <c r="K196" s="662"/>
      <c r="L196" s="662"/>
      <c r="M196" s="662"/>
      <c r="N196" s="662"/>
      <c r="O196" s="662"/>
      <c r="P196" s="662"/>
      <c r="Q196" s="662"/>
      <c r="R196" s="662"/>
      <c r="S196" s="662"/>
      <c r="T196" s="662"/>
      <c r="U196" s="662"/>
      <c r="V196" s="662"/>
      <c r="W196" s="662"/>
      <c r="X196" s="662"/>
      <c r="Y196" s="662"/>
      <c r="Z196" s="662"/>
      <c r="AA196" s="662"/>
      <c r="AB196" s="662"/>
      <c r="AC196" s="662"/>
      <c r="AD196" s="662"/>
      <c r="AE196" s="662"/>
      <c r="AF196" s="662"/>
      <c r="AG196" s="662"/>
      <c r="AH196" s="662"/>
      <c r="AI196" s="662"/>
      <c r="AJ196" s="662"/>
      <c r="AK196" s="662"/>
      <c r="AL196" s="662"/>
      <c r="AM196" s="662"/>
      <c r="AN196" s="662"/>
      <c r="AO196" s="662"/>
      <c r="AP196" s="662"/>
      <c r="AQ196" s="662"/>
      <c r="AR196" s="662"/>
      <c r="AS196" s="662"/>
      <c r="AT196" s="662"/>
      <c r="AU196" s="662"/>
      <c r="AV196" s="662"/>
      <c r="AW196" s="662"/>
      <c r="AX196" s="662"/>
      <c r="AY196" s="662"/>
      <c r="AZ196" s="662"/>
      <c r="BA196" s="662"/>
      <c r="BB196" s="662"/>
      <c r="BC196" s="662"/>
      <c r="BD196" s="662"/>
      <c r="BE196" s="662"/>
      <c r="BF196" s="662"/>
      <c r="BG196" s="662"/>
      <c r="BH196" s="662"/>
      <c r="BI196" s="662"/>
      <c r="BJ196" s="662"/>
      <c r="BK196" s="662"/>
      <c r="BL196" s="662"/>
    </row>
    <row r="197" spans="7:64" x14ac:dyDescent="0.25">
      <c r="G197" s="662"/>
      <c r="H197" s="662"/>
      <c r="I197" s="662"/>
      <c r="J197" s="662"/>
      <c r="K197" s="662"/>
      <c r="L197" s="662"/>
      <c r="M197" s="662"/>
      <c r="N197" s="662"/>
      <c r="O197" s="662"/>
      <c r="P197" s="662"/>
      <c r="Q197" s="662"/>
      <c r="R197" s="662"/>
      <c r="S197" s="662"/>
      <c r="T197" s="662"/>
      <c r="U197" s="662"/>
      <c r="V197" s="662"/>
      <c r="W197" s="662"/>
      <c r="X197" s="662"/>
      <c r="Y197" s="662"/>
      <c r="Z197" s="662"/>
      <c r="AA197" s="662"/>
      <c r="AB197" s="662"/>
      <c r="AC197" s="662"/>
      <c r="AD197" s="662"/>
      <c r="AE197" s="662"/>
      <c r="AF197" s="662"/>
      <c r="AG197" s="662"/>
      <c r="AH197" s="662"/>
      <c r="AI197" s="662"/>
      <c r="AJ197" s="662"/>
      <c r="AK197" s="662"/>
      <c r="AL197" s="662"/>
      <c r="AM197" s="662"/>
      <c r="AN197" s="662"/>
      <c r="AO197" s="662"/>
      <c r="AP197" s="662"/>
      <c r="AQ197" s="662"/>
      <c r="AR197" s="662"/>
      <c r="AS197" s="662"/>
      <c r="AT197" s="662"/>
      <c r="AU197" s="662"/>
      <c r="AV197" s="662"/>
      <c r="AW197" s="662"/>
      <c r="AX197" s="662"/>
      <c r="AY197" s="662"/>
      <c r="AZ197" s="662"/>
      <c r="BA197" s="662"/>
      <c r="BB197" s="662"/>
      <c r="BC197" s="662"/>
      <c r="BD197" s="662"/>
      <c r="BE197" s="662"/>
      <c r="BF197" s="662"/>
      <c r="BG197" s="662"/>
      <c r="BH197" s="662"/>
      <c r="BI197" s="662"/>
      <c r="BJ197" s="662"/>
      <c r="BK197" s="662"/>
      <c r="BL197" s="662"/>
    </row>
    <row r="198" spans="7:64" x14ac:dyDescent="0.25">
      <c r="G198" s="662"/>
      <c r="H198" s="662"/>
      <c r="I198" s="662"/>
      <c r="J198" s="662"/>
      <c r="K198" s="662"/>
      <c r="L198" s="662"/>
      <c r="M198" s="662"/>
      <c r="N198" s="662"/>
      <c r="O198" s="662"/>
      <c r="P198" s="662"/>
      <c r="Q198" s="662"/>
      <c r="R198" s="662"/>
      <c r="S198" s="662"/>
      <c r="T198" s="662"/>
      <c r="U198" s="662"/>
      <c r="V198" s="662"/>
      <c r="W198" s="662"/>
      <c r="X198" s="662"/>
      <c r="Y198" s="662"/>
      <c r="Z198" s="662"/>
      <c r="AA198" s="662"/>
      <c r="AB198" s="662"/>
      <c r="AC198" s="662"/>
      <c r="AD198" s="662"/>
      <c r="AE198" s="662"/>
      <c r="AF198" s="662"/>
      <c r="AG198" s="662"/>
      <c r="AH198" s="662"/>
      <c r="AI198" s="662"/>
      <c r="AJ198" s="662"/>
      <c r="AK198" s="662"/>
      <c r="AL198" s="662"/>
      <c r="AM198" s="662"/>
      <c r="AN198" s="662"/>
      <c r="AO198" s="662"/>
      <c r="AP198" s="662"/>
      <c r="AQ198" s="662"/>
      <c r="AR198" s="662"/>
      <c r="AS198" s="662"/>
      <c r="AT198" s="662"/>
      <c r="AU198" s="662"/>
      <c r="AV198" s="662"/>
      <c r="AW198" s="662"/>
      <c r="AX198" s="662"/>
      <c r="AY198" s="662"/>
      <c r="AZ198" s="662"/>
      <c r="BA198" s="662"/>
      <c r="BB198" s="662"/>
      <c r="BC198" s="662"/>
      <c r="BD198" s="662"/>
      <c r="BE198" s="662"/>
      <c r="BF198" s="662"/>
      <c r="BG198" s="662"/>
      <c r="BH198" s="662"/>
      <c r="BI198" s="662"/>
      <c r="BJ198" s="662"/>
      <c r="BK198" s="662"/>
      <c r="BL198" s="662"/>
    </row>
    <row r="199" spans="7:64" x14ac:dyDescent="0.25">
      <c r="G199" s="662"/>
      <c r="H199" s="662"/>
      <c r="I199" s="662"/>
      <c r="J199" s="662"/>
      <c r="K199" s="662"/>
      <c r="L199" s="662"/>
      <c r="M199" s="662"/>
      <c r="N199" s="662"/>
      <c r="O199" s="662"/>
      <c r="P199" s="662"/>
      <c r="Q199" s="662"/>
      <c r="R199" s="662"/>
      <c r="S199" s="662"/>
      <c r="T199" s="662"/>
      <c r="U199" s="662"/>
      <c r="V199" s="662"/>
      <c r="W199" s="662"/>
      <c r="X199" s="662"/>
      <c r="Y199" s="662"/>
      <c r="Z199" s="662"/>
      <c r="AA199" s="662"/>
      <c r="AB199" s="662"/>
      <c r="AC199" s="662"/>
      <c r="AD199" s="662"/>
      <c r="AE199" s="662"/>
      <c r="AF199" s="662"/>
      <c r="AG199" s="662"/>
      <c r="AH199" s="662"/>
      <c r="AI199" s="662"/>
      <c r="AJ199" s="662"/>
      <c r="AK199" s="662"/>
      <c r="AL199" s="662"/>
      <c r="AM199" s="662"/>
      <c r="AN199" s="662"/>
      <c r="AO199" s="662"/>
      <c r="AP199" s="662"/>
      <c r="AQ199" s="662"/>
      <c r="AR199" s="662"/>
      <c r="AS199" s="662"/>
      <c r="AT199" s="662"/>
      <c r="AU199" s="662"/>
      <c r="AV199" s="662"/>
      <c r="AW199" s="662"/>
      <c r="AX199" s="662"/>
      <c r="AY199" s="662"/>
      <c r="AZ199" s="662"/>
      <c r="BA199" s="662"/>
      <c r="BB199" s="662"/>
      <c r="BC199" s="662"/>
      <c r="BD199" s="662"/>
      <c r="BE199" s="662"/>
      <c r="BF199" s="662"/>
      <c r="BG199" s="662"/>
      <c r="BH199" s="662"/>
      <c r="BI199" s="662"/>
      <c r="BJ199" s="662"/>
      <c r="BK199" s="662"/>
      <c r="BL199" s="662"/>
    </row>
    <row r="200" spans="7:64" x14ac:dyDescent="0.25">
      <c r="G200" s="662"/>
      <c r="H200" s="662"/>
      <c r="I200" s="662"/>
      <c r="J200" s="662"/>
      <c r="K200" s="662"/>
      <c r="L200" s="662"/>
      <c r="M200" s="662"/>
      <c r="N200" s="662"/>
      <c r="O200" s="662"/>
      <c r="P200" s="662"/>
      <c r="Q200" s="662"/>
      <c r="R200" s="662"/>
      <c r="S200" s="662"/>
      <c r="T200" s="662"/>
      <c r="U200" s="662"/>
      <c r="V200" s="662"/>
      <c r="W200" s="662"/>
      <c r="X200" s="662"/>
      <c r="Y200" s="662"/>
      <c r="Z200" s="662"/>
      <c r="AA200" s="662"/>
      <c r="AB200" s="662"/>
      <c r="AC200" s="662"/>
      <c r="AD200" s="662"/>
      <c r="AE200" s="662"/>
      <c r="AF200" s="662"/>
      <c r="AG200" s="662"/>
      <c r="AH200" s="662"/>
      <c r="AI200" s="662"/>
      <c r="AJ200" s="662"/>
      <c r="AK200" s="662"/>
      <c r="AL200" s="662"/>
      <c r="AM200" s="662"/>
      <c r="AN200" s="662"/>
      <c r="AO200" s="662"/>
      <c r="AP200" s="662"/>
      <c r="AQ200" s="662"/>
      <c r="AR200" s="662"/>
      <c r="AS200" s="662"/>
      <c r="AT200" s="662"/>
      <c r="AU200" s="662"/>
      <c r="AV200" s="662"/>
      <c r="AW200" s="662"/>
      <c r="AX200" s="662"/>
      <c r="AY200" s="662"/>
      <c r="AZ200" s="662"/>
      <c r="BA200" s="662"/>
      <c r="BB200" s="662"/>
      <c r="BC200" s="662"/>
      <c r="BD200" s="662"/>
      <c r="BE200" s="662"/>
      <c r="BF200" s="662"/>
      <c r="BG200" s="662"/>
      <c r="BH200" s="662"/>
      <c r="BI200" s="662"/>
      <c r="BJ200" s="662"/>
      <c r="BK200" s="662"/>
      <c r="BL200" s="662"/>
    </row>
    <row r="201" spans="7:64" x14ac:dyDescent="0.25">
      <c r="G201" s="662"/>
      <c r="H201" s="662"/>
      <c r="I201" s="662"/>
      <c r="J201" s="662"/>
      <c r="K201" s="662"/>
      <c r="L201" s="662"/>
      <c r="M201" s="662"/>
      <c r="N201" s="662"/>
      <c r="O201" s="662"/>
      <c r="P201" s="662"/>
      <c r="Q201" s="662"/>
      <c r="R201" s="662"/>
      <c r="S201" s="662"/>
      <c r="T201" s="662"/>
      <c r="U201" s="662"/>
      <c r="V201" s="662"/>
      <c r="W201" s="662"/>
      <c r="X201" s="662"/>
      <c r="Y201" s="662"/>
      <c r="Z201" s="662"/>
      <c r="AA201" s="662"/>
      <c r="AB201" s="662"/>
      <c r="AC201" s="662"/>
      <c r="AD201" s="662"/>
      <c r="AE201" s="662"/>
      <c r="AF201" s="662"/>
      <c r="AG201" s="662"/>
      <c r="AH201" s="662"/>
      <c r="AI201" s="662"/>
      <c r="AJ201" s="662"/>
      <c r="AK201" s="662"/>
      <c r="AL201" s="662"/>
      <c r="AM201" s="662"/>
      <c r="AN201" s="662"/>
      <c r="AO201" s="662"/>
      <c r="AP201" s="662"/>
      <c r="AQ201" s="662"/>
      <c r="AR201" s="662"/>
      <c r="AS201" s="662"/>
      <c r="AT201" s="662"/>
      <c r="AU201" s="662"/>
      <c r="AV201" s="662"/>
      <c r="AW201" s="662"/>
      <c r="AX201" s="662"/>
      <c r="AY201" s="662"/>
      <c r="AZ201" s="662"/>
      <c r="BA201" s="662"/>
      <c r="BB201" s="662"/>
      <c r="BC201" s="662"/>
      <c r="BD201" s="662"/>
      <c r="BE201" s="662"/>
      <c r="BF201" s="662"/>
      <c r="BG201" s="662"/>
      <c r="BH201" s="662"/>
      <c r="BI201" s="662"/>
      <c r="BJ201" s="662"/>
      <c r="BK201" s="662"/>
      <c r="BL201" s="662"/>
    </row>
    <row r="202" spans="7:64" x14ac:dyDescent="0.25">
      <c r="G202" s="662"/>
      <c r="H202" s="662"/>
      <c r="I202" s="662"/>
      <c r="J202" s="662"/>
      <c r="K202" s="662"/>
      <c r="L202" s="662"/>
      <c r="M202" s="662"/>
      <c r="N202" s="662"/>
      <c r="O202" s="662"/>
      <c r="P202" s="662"/>
      <c r="Q202" s="662"/>
      <c r="R202" s="662"/>
      <c r="S202" s="662"/>
      <c r="T202" s="662"/>
      <c r="U202" s="662"/>
      <c r="V202" s="662"/>
      <c r="W202" s="662"/>
      <c r="X202" s="662"/>
      <c r="Y202" s="662"/>
      <c r="Z202" s="662"/>
      <c r="AA202" s="662"/>
      <c r="AB202" s="662"/>
      <c r="AC202" s="662"/>
      <c r="AD202" s="662"/>
      <c r="AE202" s="662"/>
      <c r="AF202" s="662"/>
      <c r="AG202" s="662"/>
      <c r="AH202" s="662"/>
      <c r="AI202" s="662"/>
      <c r="AJ202" s="662"/>
      <c r="AK202" s="662"/>
      <c r="AL202" s="662"/>
      <c r="AM202" s="662"/>
      <c r="AN202" s="662"/>
      <c r="AO202" s="662"/>
      <c r="AP202" s="662"/>
      <c r="AQ202" s="662"/>
      <c r="AR202" s="662"/>
      <c r="AS202" s="662"/>
      <c r="AT202" s="662"/>
      <c r="AU202" s="662"/>
      <c r="AV202" s="662"/>
      <c r="AW202" s="662"/>
      <c r="AX202" s="662"/>
      <c r="AY202" s="662"/>
      <c r="AZ202" s="662"/>
      <c r="BA202" s="662"/>
      <c r="BB202" s="662"/>
      <c r="BC202" s="662"/>
      <c r="BD202" s="662"/>
      <c r="BE202" s="662"/>
      <c r="BF202" s="662"/>
      <c r="BG202" s="662"/>
      <c r="BH202" s="662"/>
      <c r="BI202" s="662"/>
      <c r="BJ202" s="662"/>
      <c r="BK202" s="662"/>
      <c r="BL202" s="662"/>
    </row>
    <row r="203" spans="7:64" x14ac:dyDescent="0.25">
      <c r="G203" s="662"/>
      <c r="H203" s="662"/>
      <c r="I203" s="662"/>
      <c r="J203" s="662"/>
      <c r="K203" s="662"/>
      <c r="L203" s="662"/>
      <c r="M203" s="662"/>
      <c r="N203" s="662"/>
      <c r="O203" s="662"/>
      <c r="P203" s="662"/>
      <c r="Q203" s="662"/>
      <c r="R203" s="662"/>
      <c r="S203" s="662"/>
      <c r="T203" s="662"/>
      <c r="U203" s="662"/>
      <c r="V203" s="662"/>
      <c r="W203" s="662"/>
      <c r="X203" s="662"/>
      <c r="Y203" s="662"/>
      <c r="Z203" s="662"/>
      <c r="AA203" s="662"/>
      <c r="AB203" s="662"/>
      <c r="AC203" s="662"/>
      <c r="AD203" s="662"/>
      <c r="AE203" s="662"/>
      <c r="AF203" s="662"/>
      <c r="AG203" s="662"/>
      <c r="AH203" s="662"/>
      <c r="AI203" s="662"/>
      <c r="AJ203" s="662"/>
      <c r="AK203" s="662"/>
      <c r="AL203" s="662"/>
      <c r="AM203" s="662"/>
      <c r="AN203" s="662"/>
      <c r="AO203" s="662"/>
      <c r="AP203" s="662"/>
      <c r="AQ203" s="662"/>
      <c r="AR203" s="662"/>
      <c r="AS203" s="662"/>
      <c r="AT203" s="662"/>
      <c r="AU203" s="662"/>
      <c r="AV203" s="662"/>
      <c r="AW203" s="662"/>
      <c r="AX203" s="662"/>
      <c r="AY203" s="662"/>
      <c r="AZ203" s="662"/>
      <c r="BA203" s="662"/>
      <c r="BB203" s="662"/>
      <c r="BC203" s="662"/>
      <c r="BD203" s="662"/>
      <c r="BE203" s="662"/>
      <c r="BF203" s="662"/>
      <c r="BG203" s="662"/>
      <c r="BH203" s="662"/>
      <c r="BI203" s="662"/>
      <c r="BJ203" s="662"/>
      <c r="BK203" s="662"/>
      <c r="BL203" s="662"/>
    </row>
    <row r="204" spans="7:64" x14ac:dyDescent="0.25">
      <c r="G204" s="662"/>
      <c r="H204" s="662"/>
      <c r="I204" s="662"/>
      <c r="J204" s="662"/>
      <c r="K204" s="662"/>
      <c r="L204" s="662"/>
      <c r="M204" s="662"/>
      <c r="N204" s="662"/>
      <c r="O204" s="662"/>
      <c r="P204" s="662"/>
      <c r="Q204" s="662"/>
      <c r="R204" s="662"/>
      <c r="S204" s="662"/>
      <c r="T204" s="662"/>
      <c r="U204" s="662"/>
      <c r="V204" s="662"/>
      <c r="W204" s="662"/>
      <c r="X204" s="662"/>
      <c r="Y204" s="662"/>
      <c r="Z204" s="662"/>
      <c r="AA204" s="662"/>
      <c r="AB204" s="662"/>
      <c r="AC204" s="662"/>
      <c r="AD204" s="662"/>
      <c r="AE204" s="662"/>
      <c r="AF204" s="662"/>
      <c r="AG204" s="662"/>
      <c r="AH204" s="662"/>
      <c r="AI204" s="662"/>
      <c r="AJ204" s="662"/>
      <c r="AK204" s="662"/>
      <c r="AL204" s="662"/>
      <c r="AM204" s="662"/>
      <c r="AN204" s="662"/>
      <c r="AO204" s="662"/>
      <c r="AP204" s="662"/>
      <c r="AQ204" s="662"/>
      <c r="AR204" s="662"/>
      <c r="AS204" s="662"/>
      <c r="AT204" s="662"/>
      <c r="AU204" s="662"/>
      <c r="AV204" s="662"/>
      <c r="AW204" s="662"/>
      <c r="AX204" s="662"/>
      <c r="AY204" s="662"/>
      <c r="AZ204" s="662"/>
      <c r="BA204" s="662"/>
      <c r="BB204" s="662"/>
      <c r="BC204" s="662"/>
      <c r="BD204" s="662"/>
      <c r="BE204" s="662"/>
      <c r="BF204" s="662"/>
      <c r="BG204" s="662"/>
      <c r="BH204" s="662"/>
      <c r="BI204" s="662"/>
      <c r="BJ204" s="662"/>
      <c r="BK204" s="662"/>
      <c r="BL204" s="662"/>
    </row>
    <row r="205" spans="7:64" x14ac:dyDescent="0.25">
      <c r="G205" s="662"/>
      <c r="H205" s="662"/>
      <c r="I205" s="662"/>
      <c r="J205" s="662"/>
      <c r="K205" s="662"/>
      <c r="L205" s="662"/>
      <c r="M205" s="662"/>
      <c r="N205" s="662"/>
      <c r="O205" s="662"/>
      <c r="P205" s="662"/>
      <c r="Q205" s="662"/>
      <c r="R205" s="662"/>
      <c r="S205" s="662"/>
      <c r="T205" s="662"/>
      <c r="U205" s="662"/>
      <c r="V205" s="662"/>
      <c r="W205" s="662"/>
      <c r="X205" s="662"/>
      <c r="Y205" s="662"/>
      <c r="Z205" s="662"/>
      <c r="AA205" s="662"/>
      <c r="AB205" s="662"/>
      <c r="AC205" s="662"/>
      <c r="AD205" s="662"/>
      <c r="AE205" s="662"/>
      <c r="AF205" s="662"/>
      <c r="AG205" s="662"/>
      <c r="AH205" s="662"/>
      <c r="AI205" s="662"/>
      <c r="AJ205" s="662"/>
      <c r="AK205" s="662"/>
      <c r="AL205" s="662"/>
      <c r="AM205" s="662"/>
      <c r="AN205" s="662"/>
      <c r="AO205" s="662"/>
      <c r="AP205" s="662"/>
      <c r="AQ205" s="662"/>
      <c r="AR205" s="662"/>
      <c r="AS205" s="662"/>
      <c r="AT205" s="662"/>
      <c r="AU205" s="662"/>
      <c r="AV205" s="662"/>
      <c r="AW205" s="662"/>
      <c r="AX205" s="662"/>
      <c r="AY205" s="662"/>
      <c r="AZ205" s="662"/>
      <c r="BA205" s="662"/>
      <c r="BB205" s="662"/>
      <c r="BC205" s="662"/>
      <c r="BD205" s="662"/>
      <c r="BE205" s="662"/>
      <c r="BF205" s="662"/>
      <c r="BG205" s="662"/>
      <c r="BH205" s="662"/>
      <c r="BI205" s="662"/>
      <c r="BJ205" s="662"/>
      <c r="BK205" s="662"/>
      <c r="BL205" s="662"/>
    </row>
    <row r="206" spans="7:64" x14ac:dyDescent="0.25">
      <c r="G206" s="662"/>
      <c r="H206" s="662"/>
      <c r="I206" s="662"/>
      <c r="J206" s="662"/>
      <c r="K206" s="662"/>
      <c r="L206" s="662"/>
      <c r="M206" s="662"/>
      <c r="N206" s="662"/>
      <c r="O206" s="662"/>
      <c r="P206" s="662"/>
      <c r="Q206" s="662"/>
      <c r="R206" s="662"/>
      <c r="S206" s="662"/>
      <c r="T206" s="662"/>
      <c r="U206" s="662"/>
      <c r="V206" s="662"/>
      <c r="W206" s="662"/>
      <c r="X206" s="662"/>
      <c r="Y206" s="662"/>
      <c r="Z206" s="662"/>
      <c r="AA206" s="662"/>
      <c r="AB206" s="662"/>
      <c r="AC206" s="662"/>
      <c r="AD206" s="662"/>
      <c r="AE206" s="662"/>
      <c r="AF206" s="662"/>
      <c r="AG206" s="662"/>
      <c r="AH206" s="662"/>
      <c r="AI206" s="662"/>
      <c r="AJ206" s="662"/>
      <c r="AK206" s="662"/>
      <c r="AL206" s="662"/>
      <c r="AM206" s="662"/>
      <c r="AN206" s="662"/>
      <c r="AO206" s="662"/>
      <c r="AP206" s="662"/>
      <c r="AQ206" s="662"/>
      <c r="AR206" s="662"/>
      <c r="AS206" s="662"/>
      <c r="AT206" s="662"/>
      <c r="AU206" s="662"/>
      <c r="AV206" s="662"/>
      <c r="AW206" s="662"/>
      <c r="AX206" s="662"/>
      <c r="AY206" s="662"/>
      <c r="AZ206" s="662"/>
      <c r="BA206" s="662"/>
      <c r="BB206" s="662"/>
      <c r="BC206" s="662"/>
      <c r="BD206" s="662"/>
      <c r="BE206" s="662"/>
      <c r="BF206" s="662"/>
      <c r="BG206" s="662"/>
      <c r="BH206" s="662"/>
      <c r="BI206" s="662"/>
      <c r="BJ206" s="662"/>
      <c r="BK206" s="662"/>
      <c r="BL206" s="662"/>
    </row>
    <row r="207" spans="7:64" x14ac:dyDescent="0.25">
      <c r="G207" s="662"/>
      <c r="H207" s="662"/>
      <c r="I207" s="662"/>
      <c r="J207" s="662"/>
      <c r="K207" s="662"/>
      <c r="L207" s="662"/>
      <c r="M207" s="662"/>
      <c r="N207" s="662"/>
      <c r="O207" s="662"/>
      <c r="P207" s="662"/>
      <c r="Q207" s="662"/>
      <c r="R207" s="662"/>
      <c r="S207" s="662"/>
      <c r="T207" s="662"/>
      <c r="U207" s="662"/>
      <c r="V207" s="662"/>
      <c r="W207" s="662"/>
      <c r="X207" s="662"/>
      <c r="Y207" s="662"/>
      <c r="Z207" s="662"/>
      <c r="AA207" s="662"/>
      <c r="AB207" s="662"/>
      <c r="AC207" s="662"/>
      <c r="AD207" s="662"/>
      <c r="AE207" s="662"/>
      <c r="AF207" s="662"/>
      <c r="AG207" s="662"/>
      <c r="AH207" s="662"/>
      <c r="AI207" s="662"/>
      <c r="AJ207" s="662"/>
      <c r="AK207" s="662"/>
      <c r="AL207" s="662"/>
      <c r="AM207" s="662"/>
      <c r="AN207" s="662"/>
      <c r="AO207" s="662"/>
      <c r="AP207" s="662"/>
      <c r="AQ207" s="662"/>
      <c r="AR207" s="662"/>
      <c r="AS207" s="662"/>
      <c r="AT207" s="662"/>
      <c r="AU207" s="662"/>
      <c r="AV207" s="662"/>
      <c r="AW207" s="662"/>
      <c r="AX207" s="662"/>
      <c r="AY207" s="662"/>
      <c r="AZ207" s="662"/>
      <c r="BA207" s="662"/>
      <c r="BB207" s="662"/>
      <c r="BC207" s="662"/>
      <c r="BD207" s="662"/>
      <c r="BE207" s="662"/>
      <c r="BF207" s="662"/>
      <c r="BG207" s="662"/>
      <c r="BH207" s="662"/>
      <c r="BI207" s="662"/>
      <c r="BJ207" s="662"/>
      <c r="BK207" s="662"/>
      <c r="BL207" s="662"/>
    </row>
    <row r="208" spans="7:64" x14ac:dyDescent="0.25">
      <c r="G208" s="662"/>
      <c r="H208" s="662"/>
      <c r="I208" s="662"/>
      <c r="J208" s="662"/>
      <c r="K208" s="662"/>
      <c r="L208" s="662"/>
      <c r="M208" s="662"/>
      <c r="N208" s="662"/>
      <c r="O208" s="662"/>
      <c r="P208" s="662"/>
      <c r="Q208" s="662"/>
      <c r="R208" s="662"/>
      <c r="S208" s="662"/>
      <c r="T208" s="662"/>
      <c r="U208" s="662"/>
      <c r="V208" s="662"/>
      <c r="W208" s="662"/>
      <c r="X208" s="662"/>
      <c r="Y208" s="662"/>
      <c r="Z208" s="662"/>
      <c r="AA208" s="662"/>
      <c r="AB208" s="662"/>
      <c r="AC208" s="662"/>
      <c r="AD208" s="662"/>
      <c r="AE208" s="662"/>
      <c r="AF208" s="662"/>
      <c r="AG208" s="662"/>
      <c r="AH208" s="662"/>
      <c r="AI208" s="662"/>
      <c r="AJ208" s="662"/>
      <c r="AK208" s="662"/>
      <c r="AL208" s="662"/>
      <c r="AM208" s="662"/>
      <c r="AN208" s="662"/>
      <c r="AO208" s="662"/>
      <c r="AP208" s="662"/>
      <c r="AQ208" s="662"/>
      <c r="AR208" s="662"/>
      <c r="AS208" s="662"/>
      <c r="AT208" s="662"/>
      <c r="AU208" s="662"/>
      <c r="AV208" s="662"/>
      <c r="AW208" s="662"/>
      <c r="AX208" s="662"/>
      <c r="AY208" s="662"/>
      <c r="AZ208" s="662"/>
      <c r="BA208" s="662"/>
      <c r="BB208" s="662"/>
      <c r="BC208" s="662"/>
      <c r="BD208" s="662"/>
      <c r="BE208" s="662"/>
      <c r="BF208" s="662"/>
      <c r="BG208" s="662"/>
      <c r="BH208" s="662"/>
      <c r="BI208" s="662"/>
      <c r="BJ208" s="662"/>
      <c r="BK208" s="662"/>
      <c r="BL208" s="662"/>
    </row>
    <row r="209" spans="7:64" x14ac:dyDescent="0.25">
      <c r="G209" s="662"/>
      <c r="H209" s="662"/>
      <c r="I209" s="662"/>
      <c r="J209" s="662"/>
      <c r="K209" s="662"/>
      <c r="L209" s="662"/>
      <c r="M209" s="662"/>
      <c r="N209" s="662"/>
      <c r="O209" s="662"/>
      <c r="P209" s="662"/>
      <c r="Q209" s="662"/>
      <c r="R209" s="662"/>
      <c r="S209" s="662"/>
      <c r="T209" s="662"/>
      <c r="U209" s="662"/>
      <c r="V209" s="662"/>
      <c r="W209" s="662"/>
      <c r="X209" s="662"/>
      <c r="Y209" s="662"/>
      <c r="Z209" s="662"/>
      <c r="AA209" s="662"/>
      <c r="AB209" s="662"/>
      <c r="AC209" s="662"/>
      <c r="AD209" s="662"/>
      <c r="AE209" s="662"/>
      <c r="AF209" s="662"/>
      <c r="AG209" s="662"/>
      <c r="AH209" s="662"/>
      <c r="AI209" s="662"/>
      <c r="AJ209" s="662"/>
      <c r="AK209" s="662"/>
      <c r="AL209" s="662"/>
      <c r="AM209" s="662"/>
      <c r="AN209" s="662"/>
      <c r="AO209" s="662"/>
      <c r="AP209" s="662"/>
      <c r="AQ209" s="662"/>
      <c r="AR209" s="662"/>
      <c r="AS209" s="662"/>
      <c r="AT209" s="662"/>
      <c r="AU209" s="662"/>
      <c r="AV209" s="662"/>
      <c r="AW209" s="662"/>
      <c r="AX209" s="662"/>
      <c r="AY209" s="662"/>
      <c r="AZ209" s="662"/>
      <c r="BA209" s="662"/>
      <c r="BB209" s="662"/>
      <c r="BC209" s="662"/>
      <c r="BD209" s="662"/>
      <c r="BE209" s="662"/>
      <c r="BF209" s="662"/>
      <c r="BG209" s="662"/>
      <c r="BH209" s="662"/>
      <c r="BI209" s="662"/>
      <c r="BJ209" s="662"/>
      <c r="BK209" s="662"/>
      <c r="BL209" s="662"/>
    </row>
    <row r="210" spans="7:64" x14ac:dyDescent="0.25">
      <c r="G210" s="662"/>
      <c r="H210" s="662"/>
      <c r="I210" s="662"/>
      <c r="J210" s="662"/>
      <c r="K210" s="662"/>
      <c r="L210" s="662"/>
      <c r="M210" s="662"/>
      <c r="N210" s="662"/>
      <c r="O210" s="662"/>
      <c r="P210" s="662"/>
      <c r="Q210" s="662"/>
      <c r="R210" s="662"/>
      <c r="S210" s="662"/>
      <c r="T210" s="662"/>
      <c r="U210" s="662"/>
      <c r="V210" s="662"/>
      <c r="W210" s="662"/>
      <c r="X210" s="662"/>
      <c r="Y210" s="662"/>
      <c r="Z210" s="662"/>
      <c r="AA210" s="662"/>
      <c r="AB210" s="662"/>
      <c r="AC210" s="662"/>
      <c r="AD210" s="662"/>
      <c r="AE210" s="662"/>
      <c r="AF210" s="662"/>
      <c r="AG210" s="662"/>
      <c r="AH210" s="662"/>
      <c r="AI210" s="662"/>
      <c r="AJ210" s="662"/>
      <c r="AK210" s="662"/>
      <c r="AL210" s="662"/>
      <c r="AM210" s="662"/>
      <c r="AN210" s="662"/>
      <c r="AO210" s="662"/>
      <c r="AP210" s="662"/>
      <c r="AQ210" s="662"/>
      <c r="AR210" s="662"/>
      <c r="AS210" s="662"/>
      <c r="AT210" s="662"/>
      <c r="AU210" s="662"/>
      <c r="AV210" s="662"/>
      <c r="AW210" s="662"/>
      <c r="AX210" s="662"/>
      <c r="AY210" s="662"/>
      <c r="AZ210" s="662"/>
      <c r="BA210" s="662"/>
      <c r="BB210" s="662"/>
      <c r="BC210" s="662"/>
      <c r="BD210" s="662"/>
      <c r="BE210" s="662"/>
      <c r="BF210" s="662"/>
      <c r="BG210" s="662"/>
      <c r="BH210" s="662"/>
      <c r="BI210" s="662"/>
      <c r="BJ210" s="662"/>
      <c r="BK210" s="662"/>
      <c r="BL210" s="662"/>
    </row>
    <row r="211" spans="7:64" x14ac:dyDescent="0.25">
      <c r="G211" s="662"/>
      <c r="H211" s="662"/>
      <c r="I211" s="662"/>
      <c r="J211" s="662"/>
      <c r="K211" s="662"/>
      <c r="L211" s="662"/>
      <c r="M211" s="662"/>
      <c r="N211" s="662"/>
      <c r="O211" s="662"/>
      <c r="P211" s="662"/>
      <c r="Q211" s="662"/>
      <c r="R211" s="662"/>
      <c r="S211" s="662"/>
      <c r="T211" s="662"/>
      <c r="U211" s="662"/>
      <c r="V211" s="662"/>
      <c r="W211" s="662"/>
      <c r="X211" s="662"/>
      <c r="Y211" s="662"/>
      <c r="Z211" s="662"/>
      <c r="AA211" s="662"/>
      <c r="AB211" s="662"/>
      <c r="AC211" s="662"/>
      <c r="AD211" s="662"/>
      <c r="AE211" s="662"/>
      <c r="AF211" s="662"/>
      <c r="AG211" s="662"/>
      <c r="AH211" s="662"/>
      <c r="AI211" s="662"/>
      <c r="AJ211" s="662"/>
      <c r="AK211" s="662"/>
      <c r="AL211" s="662"/>
      <c r="AM211" s="662"/>
      <c r="AN211" s="662"/>
      <c r="AO211" s="662"/>
      <c r="AP211" s="662"/>
      <c r="AQ211" s="662"/>
      <c r="AR211" s="662"/>
      <c r="AS211" s="662"/>
      <c r="AT211" s="662"/>
      <c r="AU211" s="662"/>
      <c r="AV211" s="662"/>
      <c r="AW211" s="662"/>
      <c r="AX211" s="662"/>
      <c r="AY211" s="662"/>
      <c r="AZ211" s="662"/>
      <c r="BA211" s="662"/>
      <c r="BB211" s="662"/>
      <c r="BC211" s="662"/>
      <c r="BD211" s="662"/>
      <c r="BE211" s="662"/>
      <c r="BF211" s="662"/>
      <c r="BG211" s="662"/>
      <c r="BH211" s="662"/>
      <c r="BI211" s="662"/>
      <c r="BJ211" s="662"/>
      <c r="BK211" s="662"/>
      <c r="BL211" s="662"/>
    </row>
    <row r="212" spans="7:64" x14ac:dyDescent="0.25">
      <c r="G212" s="662"/>
      <c r="H212" s="662"/>
      <c r="I212" s="662"/>
      <c r="J212" s="662"/>
      <c r="K212" s="662"/>
      <c r="L212" s="662"/>
      <c r="M212" s="662"/>
      <c r="N212" s="662"/>
      <c r="O212" s="662"/>
      <c r="P212" s="662"/>
      <c r="Q212" s="662"/>
      <c r="R212" s="662"/>
      <c r="S212" s="662"/>
      <c r="T212" s="662"/>
      <c r="U212" s="662"/>
      <c r="V212" s="662"/>
      <c r="W212" s="662"/>
      <c r="X212" s="662"/>
      <c r="Y212" s="662"/>
      <c r="Z212" s="662"/>
      <c r="AA212" s="662"/>
      <c r="AB212" s="662"/>
      <c r="AC212" s="662"/>
      <c r="AD212" s="662"/>
      <c r="AE212" s="662"/>
      <c r="AF212" s="662"/>
      <c r="AG212" s="662"/>
      <c r="AH212" s="662"/>
      <c r="AI212" s="662"/>
      <c r="AJ212" s="662"/>
      <c r="AK212" s="662"/>
      <c r="AL212" s="662"/>
      <c r="AM212" s="662"/>
      <c r="AN212" s="662"/>
      <c r="AO212" s="662"/>
      <c r="AP212" s="662"/>
      <c r="AQ212" s="662"/>
      <c r="AR212" s="662"/>
      <c r="AS212" s="662"/>
      <c r="AT212" s="662"/>
      <c r="AU212" s="662"/>
      <c r="AV212" s="662"/>
      <c r="AW212" s="662"/>
      <c r="AX212" s="662"/>
      <c r="AY212" s="662"/>
      <c r="AZ212" s="662"/>
      <c r="BA212" s="662"/>
      <c r="BB212" s="662"/>
      <c r="BC212" s="662"/>
      <c r="BD212" s="662"/>
      <c r="BE212" s="662"/>
      <c r="BF212" s="662"/>
      <c r="BG212" s="662"/>
      <c r="BH212" s="662"/>
      <c r="BI212" s="662"/>
      <c r="BJ212" s="662"/>
      <c r="BK212" s="662"/>
      <c r="BL212" s="662"/>
    </row>
    <row r="213" spans="7:64" x14ac:dyDescent="0.25">
      <c r="G213" s="662"/>
      <c r="H213" s="662"/>
      <c r="I213" s="662"/>
      <c r="J213" s="662"/>
      <c r="K213" s="662"/>
      <c r="L213" s="662"/>
      <c r="M213" s="662"/>
      <c r="N213" s="662"/>
      <c r="O213" s="662"/>
      <c r="P213" s="662"/>
      <c r="Q213" s="662"/>
      <c r="R213" s="662"/>
      <c r="S213" s="662"/>
      <c r="T213" s="662"/>
      <c r="U213" s="662"/>
      <c r="V213" s="662"/>
      <c r="W213" s="662"/>
      <c r="X213" s="662"/>
      <c r="Y213" s="662"/>
      <c r="Z213" s="662"/>
      <c r="AA213" s="662"/>
      <c r="AB213" s="662"/>
      <c r="AC213" s="662"/>
      <c r="AD213" s="662"/>
      <c r="AE213" s="662"/>
      <c r="AF213" s="662"/>
      <c r="AG213" s="662"/>
      <c r="AH213" s="662"/>
      <c r="AI213" s="662"/>
      <c r="AJ213" s="662"/>
      <c r="AK213" s="662"/>
      <c r="AL213" s="662"/>
      <c r="AM213" s="662"/>
      <c r="AN213" s="662"/>
      <c r="AO213" s="662"/>
      <c r="AP213" s="662"/>
      <c r="AQ213" s="662"/>
      <c r="AR213" s="662"/>
      <c r="AS213" s="662"/>
      <c r="AT213" s="662"/>
      <c r="AU213" s="662"/>
      <c r="AV213" s="662"/>
      <c r="AW213" s="662"/>
      <c r="AX213" s="662"/>
      <c r="AY213" s="662"/>
      <c r="AZ213" s="662"/>
      <c r="BA213" s="662"/>
      <c r="BB213" s="662"/>
      <c r="BC213" s="662"/>
      <c r="BD213" s="662"/>
      <c r="BE213" s="662"/>
      <c r="BF213" s="662"/>
      <c r="BG213" s="662"/>
      <c r="BH213" s="662"/>
      <c r="BI213" s="662"/>
      <c r="BJ213" s="662"/>
      <c r="BK213" s="662"/>
      <c r="BL213" s="662"/>
    </row>
    <row r="214" spans="7:64" x14ac:dyDescent="0.25">
      <c r="G214" s="662"/>
      <c r="H214" s="662"/>
      <c r="I214" s="662"/>
      <c r="J214" s="662"/>
      <c r="K214" s="662"/>
      <c r="L214" s="662"/>
      <c r="M214" s="662"/>
      <c r="N214" s="662"/>
      <c r="O214" s="662"/>
      <c r="P214" s="662"/>
      <c r="Q214" s="662"/>
      <c r="R214" s="662"/>
      <c r="S214" s="662"/>
      <c r="T214" s="662"/>
      <c r="U214" s="662"/>
      <c r="V214" s="662"/>
      <c r="W214" s="662"/>
      <c r="X214" s="662"/>
      <c r="Y214" s="662"/>
      <c r="Z214" s="662"/>
      <c r="AA214" s="662"/>
      <c r="AB214" s="662"/>
      <c r="AC214" s="662"/>
      <c r="AD214" s="662"/>
      <c r="AE214" s="662"/>
      <c r="AF214" s="662"/>
      <c r="AG214" s="662"/>
      <c r="AH214" s="662"/>
      <c r="AI214" s="662"/>
      <c r="AJ214" s="662"/>
      <c r="AK214" s="662"/>
      <c r="AL214" s="662"/>
      <c r="AM214" s="662"/>
      <c r="AN214" s="662"/>
      <c r="AO214" s="662"/>
      <c r="AP214" s="662"/>
      <c r="AQ214" s="662"/>
      <c r="AR214" s="662"/>
      <c r="AS214" s="662"/>
      <c r="AT214" s="662"/>
      <c r="AU214" s="662"/>
      <c r="AV214" s="662"/>
      <c r="AW214" s="662"/>
      <c r="AX214" s="662"/>
      <c r="AY214" s="662"/>
      <c r="AZ214" s="662"/>
      <c r="BA214" s="662"/>
      <c r="BB214" s="662"/>
      <c r="BC214" s="662"/>
      <c r="BD214" s="662"/>
      <c r="BE214" s="662"/>
      <c r="BF214" s="662"/>
      <c r="BG214" s="662"/>
      <c r="BH214" s="662"/>
      <c r="BI214" s="662"/>
      <c r="BJ214" s="662"/>
      <c r="BK214" s="662"/>
      <c r="BL214" s="662"/>
    </row>
    <row r="215" spans="7:64" x14ac:dyDescent="0.25">
      <c r="G215" s="662"/>
      <c r="H215" s="662"/>
      <c r="I215" s="662"/>
      <c r="J215" s="662"/>
      <c r="K215" s="662"/>
      <c r="L215" s="662"/>
      <c r="M215" s="662"/>
      <c r="N215" s="662"/>
      <c r="O215" s="662"/>
      <c r="P215" s="662"/>
      <c r="Q215" s="662"/>
      <c r="R215" s="662"/>
      <c r="S215" s="662"/>
      <c r="T215" s="662"/>
      <c r="U215" s="662"/>
      <c r="V215" s="662"/>
      <c r="W215" s="662"/>
      <c r="X215" s="662"/>
      <c r="Y215" s="662"/>
      <c r="Z215" s="662"/>
      <c r="AA215" s="662"/>
      <c r="AB215" s="662"/>
      <c r="AC215" s="662"/>
      <c r="AD215" s="662"/>
      <c r="AE215" s="662"/>
      <c r="AF215" s="662"/>
      <c r="AG215" s="662"/>
      <c r="AH215" s="662"/>
      <c r="AI215" s="662"/>
      <c r="AJ215" s="662"/>
      <c r="AK215" s="662"/>
      <c r="AL215" s="662"/>
      <c r="AM215" s="662"/>
      <c r="AN215" s="662"/>
      <c r="AO215" s="662"/>
      <c r="AP215" s="662"/>
      <c r="AQ215" s="662"/>
      <c r="AR215" s="662"/>
      <c r="AS215" s="662"/>
      <c r="AT215" s="662"/>
      <c r="AU215" s="662"/>
      <c r="AV215" s="662"/>
      <c r="AW215" s="662"/>
      <c r="AX215" s="662"/>
      <c r="AY215" s="662"/>
      <c r="AZ215" s="662"/>
      <c r="BA215" s="662"/>
      <c r="BB215" s="662"/>
      <c r="BC215" s="662"/>
      <c r="BD215" s="662"/>
      <c r="BE215" s="662"/>
      <c r="BF215" s="662"/>
      <c r="BG215" s="662"/>
      <c r="BH215" s="662"/>
      <c r="BI215" s="662"/>
      <c r="BJ215" s="662"/>
      <c r="BK215" s="662"/>
      <c r="BL215" s="662"/>
    </row>
    <row r="216" spans="7:64" x14ac:dyDescent="0.25">
      <c r="G216" s="662"/>
      <c r="H216" s="662"/>
      <c r="I216" s="662"/>
      <c r="J216" s="662"/>
      <c r="K216" s="662"/>
      <c r="L216" s="662"/>
      <c r="M216" s="662"/>
      <c r="N216" s="662"/>
      <c r="O216" s="662"/>
      <c r="P216" s="662"/>
      <c r="Q216" s="662"/>
      <c r="R216" s="662"/>
      <c r="S216" s="662"/>
      <c r="T216" s="662"/>
      <c r="U216" s="662"/>
      <c r="V216" s="662"/>
      <c r="W216" s="662"/>
      <c r="X216" s="662"/>
      <c r="Y216" s="662"/>
      <c r="Z216" s="662"/>
      <c r="AA216" s="662"/>
      <c r="AB216" s="662"/>
      <c r="AC216" s="662"/>
      <c r="AD216" s="662"/>
      <c r="AE216" s="662"/>
      <c r="AF216" s="662"/>
      <c r="AG216" s="662"/>
      <c r="AH216" s="662"/>
      <c r="AI216" s="662"/>
      <c r="AJ216" s="662"/>
      <c r="AK216" s="662"/>
      <c r="AL216" s="662"/>
      <c r="AM216" s="662"/>
      <c r="AN216" s="662"/>
      <c r="AO216" s="662"/>
      <c r="AP216" s="662"/>
      <c r="AQ216" s="662"/>
      <c r="AR216" s="662"/>
      <c r="AS216" s="662"/>
      <c r="AT216" s="662"/>
      <c r="AU216" s="662"/>
      <c r="AV216" s="662"/>
      <c r="AW216" s="662"/>
      <c r="AX216" s="662"/>
      <c r="AY216" s="662"/>
      <c r="AZ216" s="662"/>
      <c r="BA216" s="662"/>
      <c r="BB216" s="662"/>
      <c r="BC216" s="662"/>
      <c r="BD216" s="662"/>
      <c r="BE216" s="662"/>
      <c r="BF216" s="662"/>
      <c r="BG216" s="662"/>
      <c r="BH216" s="662"/>
      <c r="BI216" s="662"/>
      <c r="BJ216" s="662"/>
      <c r="BK216" s="662"/>
      <c r="BL216" s="662"/>
    </row>
    <row r="217" spans="7:64" x14ac:dyDescent="0.25">
      <c r="G217" s="662"/>
      <c r="H217" s="662"/>
      <c r="I217" s="662"/>
      <c r="J217" s="662"/>
      <c r="K217" s="662"/>
      <c r="L217" s="662"/>
      <c r="M217" s="662"/>
      <c r="N217" s="662"/>
      <c r="O217" s="662"/>
      <c r="P217" s="662"/>
      <c r="Q217" s="662"/>
      <c r="R217" s="662"/>
      <c r="S217" s="662"/>
      <c r="T217" s="662"/>
      <c r="U217" s="662"/>
      <c r="V217" s="662"/>
      <c r="W217" s="662"/>
      <c r="X217" s="662"/>
      <c r="Y217" s="662"/>
      <c r="Z217" s="662"/>
      <c r="AA217" s="662"/>
      <c r="AB217" s="662"/>
      <c r="AC217" s="662"/>
      <c r="AD217" s="662"/>
      <c r="AE217" s="662"/>
      <c r="AF217" s="662"/>
      <c r="AG217" s="662"/>
      <c r="AH217" s="662"/>
      <c r="AI217" s="662"/>
      <c r="AJ217" s="662"/>
      <c r="AK217" s="662"/>
      <c r="AL217" s="662"/>
      <c r="AM217" s="662"/>
      <c r="AN217" s="662"/>
      <c r="AO217" s="662"/>
      <c r="AP217" s="662"/>
      <c r="AQ217" s="662"/>
      <c r="AR217" s="662"/>
      <c r="AS217" s="662"/>
      <c r="AT217" s="662"/>
      <c r="AU217" s="662"/>
      <c r="AV217" s="662"/>
      <c r="AW217" s="662"/>
      <c r="AX217" s="662"/>
      <c r="AY217" s="662"/>
      <c r="AZ217" s="662"/>
      <c r="BA217" s="662"/>
      <c r="BB217" s="662"/>
      <c r="BC217" s="662"/>
      <c r="BD217" s="662"/>
      <c r="BE217" s="662"/>
      <c r="BF217" s="662"/>
      <c r="BG217" s="662"/>
      <c r="BH217" s="662"/>
      <c r="BI217" s="662"/>
      <c r="BJ217" s="662"/>
      <c r="BK217" s="662"/>
      <c r="BL217" s="662"/>
    </row>
    <row r="218" spans="7:64" x14ac:dyDescent="0.25">
      <c r="G218" s="662"/>
      <c r="H218" s="662"/>
      <c r="I218" s="662"/>
      <c r="J218" s="662"/>
      <c r="K218" s="662"/>
      <c r="L218" s="662"/>
      <c r="M218" s="662"/>
      <c r="N218" s="662"/>
      <c r="O218" s="662"/>
      <c r="P218" s="662"/>
      <c r="Q218" s="662"/>
      <c r="R218" s="662"/>
      <c r="S218" s="662"/>
      <c r="T218" s="662"/>
      <c r="U218" s="662"/>
      <c r="V218" s="662"/>
      <c r="W218" s="662"/>
      <c r="X218" s="662"/>
      <c r="Y218" s="662"/>
      <c r="Z218" s="662"/>
      <c r="AA218" s="662"/>
      <c r="AB218" s="662"/>
      <c r="AC218" s="662"/>
      <c r="AD218" s="662"/>
      <c r="AE218" s="662"/>
      <c r="AF218" s="662"/>
      <c r="AG218" s="662"/>
      <c r="AH218" s="662"/>
      <c r="AI218" s="662"/>
      <c r="AJ218" s="662"/>
      <c r="AK218" s="662"/>
      <c r="AL218" s="662"/>
      <c r="AM218" s="662"/>
      <c r="AN218" s="662"/>
      <c r="AO218" s="662"/>
      <c r="AP218" s="662"/>
      <c r="AQ218" s="662"/>
      <c r="AR218" s="662"/>
      <c r="AS218" s="662"/>
      <c r="AT218" s="662"/>
      <c r="AU218" s="662"/>
      <c r="AV218" s="662"/>
      <c r="AW218" s="662"/>
      <c r="AX218" s="662"/>
      <c r="AY218" s="662"/>
      <c r="AZ218" s="662"/>
      <c r="BA218" s="662"/>
      <c r="BB218" s="662"/>
      <c r="BC218" s="662"/>
      <c r="BD218" s="662"/>
      <c r="BE218" s="662"/>
      <c r="BF218" s="662"/>
      <c r="BG218" s="662"/>
      <c r="BH218" s="662"/>
      <c r="BI218" s="662"/>
      <c r="BJ218" s="662"/>
      <c r="BK218" s="662"/>
      <c r="BL218" s="662"/>
    </row>
    <row r="219" spans="7:64" x14ac:dyDescent="0.25">
      <c r="G219" s="662"/>
      <c r="H219" s="662"/>
      <c r="I219" s="662"/>
      <c r="J219" s="662"/>
      <c r="K219" s="662"/>
      <c r="L219" s="662"/>
      <c r="M219" s="662"/>
      <c r="N219" s="662"/>
      <c r="O219" s="662"/>
      <c r="P219" s="662"/>
      <c r="Q219" s="662"/>
      <c r="R219" s="662"/>
      <c r="S219" s="662"/>
      <c r="T219" s="662"/>
      <c r="U219" s="662"/>
      <c r="V219" s="662"/>
      <c r="W219" s="662"/>
      <c r="X219" s="662"/>
      <c r="Y219" s="662"/>
      <c r="Z219" s="662"/>
      <c r="AA219" s="662"/>
      <c r="AB219" s="662"/>
      <c r="AC219" s="662"/>
      <c r="AD219" s="662"/>
      <c r="AE219" s="662"/>
      <c r="AF219" s="662"/>
      <c r="AG219" s="662"/>
      <c r="AH219" s="662"/>
      <c r="AI219" s="662"/>
      <c r="AJ219" s="662"/>
      <c r="AK219" s="662"/>
      <c r="AL219" s="662"/>
      <c r="AM219" s="662"/>
      <c r="AN219" s="662"/>
      <c r="AO219" s="662"/>
      <c r="AP219" s="662"/>
      <c r="AQ219" s="662"/>
      <c r="AR219" s="662"/>
      <c r="AS219" s="662"/>
      <c r="AT219" s="662"/>
      <c r="AU219" s="662"/>
      <c r="AV219" s="662"/>
      <c r="AW219" s="662"/>
      <c r="AX219" s="662"/>
      <c r="AY219" s="662"/>
      <c r="AZ219" s="662"/>
      <c r="BA219" s="662"/>
      <c r="BB219" s="662"/>
      <c r="BC219" s="662"/>
      <c r="BD219" s="662"/>
      <c r="BE219" s="662"/>
      <c r="BF219" s="662"/>
      <c r="BG219" s="662"/>
      <c r="BH219" s="662"/>
      <c r="BI219" s="662"/>
      <c r="BJ219" s="662"/>
      <c r="BK219" s="662"/>
      <c r="BL219" s="662"/>
    </row>
    <row r="220" spans="7:64" x14ac:dyDescent="0.25">
      <c r="G220" s="662"/>
      <c r="H220" s="662"/>
      <c r="I220" s="662"/>
      <c r="J220" s="662"/>
      <c r="K220" s="662"/>
      <c r="L220" s="662"/>
      <c r="M220" s="662"/>
      <c r="N220" s="662"/>
      <c r="O220" s="662"/>
      <c r="P220" s="662"/>
      <c r="Q220" s="662"/>
      <c r="R220" s="662"/>
      <c r="S220" s="662"/>
      <c r="T220" s="662"/>
      <c r="U220" s="662"/>
      <c r="V220" s="662"/>
      <c r="W220" s="662"/>
      <c r="X220" s="662"/>
      <c r="Y220" s="662"/>
      <c r="Z220" s="662"/>
      <c r="AA220" s="662"/>
      <c r="AB220" s="662"/>
      <c r="AC220" s="662"/>
      <c r="AD220" s="662"/>
      <c r="AE220" s="662"/>
      <c r="AF220" s="662"/>
      <c r="AG220" s="662"/>
      <c r="AH220" s="662"/>
      <c r="AI220" s="662"/>
      <c r="AJ220" s="662"/>
      <c r="AK220" s="662"/>
      <c r="AL220" s="662"/>
      <c r="AM220" s="662"/>
      <c r="AN220" s="662"/>
      <c r="AO220" s="662"/>
      <c r="AP220" s="662"/>
      <c r="AQ220" s="662"/>
      <c r="AR220" s="662"/>
      <c r="AS220" s="662"/>
      <c r="AT220" s="662"/>
      <c r="AU220" s="662"/>
      <c r="AV220" s="662"/>
      <c r="AW220" s="662"/>
      <c r="AX220" s="662"/>
      <c r="AY220" s="662"/>
      <c r="AZ220" s="662"/>
      <c r="BA220" s="662"/>
      <c r="BB220" s="662"/>
      <c r="BC220" s="662"/>
      <c r="BD220" s="662"/>
      <c r="BE220" s="662"/>
      <c r="BF220" s="662"/>
      <c r="BG220" s="662"/>
      <c r="BH220" s="662"/>
      <c r="BI220" s="662"/>
      <c r="BJ220" s="662"/>
      <c r="BK220" s="662"/>
      <c r="BL220" s="662"/>
    </row>
    <row r="221" spans="7:64" x14ac:dyDescent="0.25">
      <c r="G221" s="662"/>
      <c r="H221" s="662"/>
      <c r="I221" s="662"/>
      <c r="J221" s="662"/>
      <c r="K221" s="662"/>
      <c r="L221" s="662"/>
      <c r="M221" s="662"/>
      <c r="N221" s="662"/>
      <c r="O221" s="662"/>
      <c r="P221" s="662"/>
      <c r="Q221" s="662"/>
      <c r="R221" s="662"/>
      <c r="S221" s="662"/>
      <c r="T221" s="662"/>
      <c r="U221" s="662"/>
      <c r="V221" s="662"/>
      <c r="W221" s="662"/>
      <c r="X221" s="662"/>
      <c r="Y221" s="662"/>
      <c r="Z221" s="662"/>
      <c r="AA221" s="662"/>
      <c r="AB221" s="662"/>
      <c r="AC221" s="662"/>
      <c r="AD221" s="662"/>
      <c r="AE221" s="662"/>
      <c r="AF221" s="662"/>
      <c r="AG221" s="662"/>
      <c r="AH221" s="662"/>
      <c r="AI221" s="662"/>
      <c r="AJ221" s="662"/>
      <c r="AK221" s="662"/>
      <c r="AL221" s="662"/>
      <c r="AM221" s="662"/>
      <c r="AN221" s="662"/>
      <c r="AO221" s="662"/>
      <c r="AP221" s="662"/>
      <c r="AQ221" s="662"/>
      <c r="AR221" s="662"/>
      <c r="AS221" s="662"/>
      <c r="AT221" s="662"/>
      <c r="AU221" s="662"/>
      <c r="AV221" s="662"/>
      <c r="AW221" s="662"/>
      <c r="AX221" s="662"/>
      <c r="AY221" s="662"/>
      <c r="AZ221" s="662"/>
      <c r="BA221" s="662"/>
      <c r="BB221" s="662"/>
      <c r="BC221" s="662"/>
      <c r="BD221" s="662"/>
      <c r="BE221" s="662"/>
      <c r="BF221" s="662"/>
      <c r="BG221" s="662"/>
      <c r="BH221" s="662"/>
      <c r="BI221" s="662"/>
      <c r="BJ221" s="662"/>
      <c r="BK221" s="662"/>
      <c r="BL221" s="662"/>
    </row>
    <row r="222" spans="7:64" x14ac:dyDescent="0.25">
      <c r="G222" s="662"/>
      <c r="H222" s="662"/>
      <c r="I222" s="662"/>
      <c r="J222" s="662"/>
      <c r="K222" s="662"/>
      <c r="L222" s="662"/>
      <c r="M222" s="662"/>
      <c r="N222" s="662"/>
      <c r="O222" s="662"/>
      <c r="P222" s="662"/>
      <c r="Q222" s="662"/>
      <c r="R222" s="662"/>
      <c r="S222" s="662"/>
      <c r="T222" s="662"/>
      <c r="U222" s="662"/>
      <c r="V222" s="662"/>
      <c r="W222" s="662"/>
      <c r="X222" s="662"/>
      <c r="Y222" s="662"/>
      <c r="Z222" s="662"/>
      <c r="AA222" s="662"/>
      <c r="AB222" s="662"/>
      <c r="AC222" s="662"/>
      <c r="AD222" s="662"/>
      <c r="AE222" s="662"/>
      <c r="AF222" s="662"/>
      <c r="AG222" s="662"/>
      <c r="AH222" s="662"/>
      <c r="AI222" s="662"/>
      <c r="AJ222" s="662"/>
      <c r="AK222" s="662"/>
      <c r="AL222" s="662"/>
      <c r="AM222" s="662"/>
      <c r="AN222" s="662"/>
      <c r="AO222" s="662"/>
      <c r="AP222" s="662"/>
      <c r="AQ222" s="662"/>
      <c r="AR222" s="662"/>
      <c r="AS222" s="662"/>
      <c r="AT222" s="662"/>
      <c r="AU222" s="662"/>
      <c r="AV222" s="662"/>
      <c r="AW222" s="662"/>
      <c r="AX222" s="662"/>
      <c r="AY222" s="662"/>
      <c r="AZ222" s="662"/>
      <c r="BA222" s="662"/>
      <c r="BB222" s="662"/>
      <c r="BC222" s="662"/>
      <c r="BD222" s="662"/>
      <c r="BE222" s="662"/>
      <c r="BF222" s="662"/>
      <c r="BG222" s="662"/>
      <c r="BH222" s="662"/>
      <c r="BI222" s="662"/>
      <c r="BJ222" s="662"/>
      <c r="BK222" s="662"/>
      <c r="BL222" s="662"/>
    </row>
    <row r="223" spans="7:64" x14ac:dyDescent="0.25">
      <c r="G223" s="662"/>
      <c r="H223" s="662"/>
      <c r="I223" s="662"/>
      <c r="J223" s="662"/>
      <c r="K223" s="662"/>
      <c r="L223" s="662"/>
      <c r="M223" s="662"/>
      <c r="N223" s="662"/>
      <c r="O223" s="662"/>
      <c r="P223" s="662"/>
      <c r="Q223" s="662"/>
      <c r="R223" s="662"/>
      <c r="S223" s="662"/>
      <c r="T223" s="662"/>
      <c r="U223" s="662"/>
      <c r="V223" s="662"/>
      <c r="W223" s="662"/>
      <c r="X223" s="662"/>
      <c r="Y223" s="662"/>
      <c r="Z223" s="662"/>
      <c r="AA223" s="662"/>
      <c r="AB223" s="662"/>
      <c r="AC223" s="662"/>
      <c r="AD223" s="662"/>
      <c r="AE223" s="662"/>
      <c r="AF223" s="662"/>
      <c r="AG223" s="662"/>
      <c r="AH223" s="662"/>
      <c r="AI223" s="662"/>
      <c r="AJ223" s="662"/>
      <c r="AK223" s="662"/>
      <c r="AL223" s="662"/>
      <c r="AM223" s="662"/>
      <c r="AN223" s="662"/>
      <c r="AO223" s="662"/>
      <c r="AP223" s="662"/>
      <c r="AQ223" s="662"/>
      <c r="AR223" s="662"/>
      <c r="AS223" s="662"/>
      <c r="AT223" s="662"/>
      <c r="AU223" s="662"/>
      <c r="AV223" s="662"/>
      <c r="AW223" s="662"/>
      <c r="AX223" s="662"/>
      <c r="AY223" s="662"/>
      <c r="AZ223" s="662"/>
      <c r="BA223" s="662"/>
      <c r="BB223" s="662"/>
      <c r="BC223" s="662"/>
      <c r="BD223" s="662"/>
      <c r="BE223" s="662"/>
      <c r="BF223" s="662"/>
      <c r="BG223" s="662"/>
      <c r="BH223" s="662"/>
      <c r="BI223" s="662"/>
      <c r="BJ223" s="662"/>
      <c r="BK223" s="662"/>
      <c r="BL223" s="662"/>
    </row>
    <row r="224" spans="7:64" x14ac:dyDescent="0.25">
      <c r="G224" s="662"/>
      <c r="H224" s="662"/>
      <c r="I224" s="662"/>
      <c r="J224" s="662"/>
      <c r="K224" s="662"/>
      <c r="L224" s="662"/>
      <c r="M224" s="662"/>
      <c r="N224" s="662"/>
      <c r="O224" s="662"/>
      <c r="P224" s="662"/>
      <c r="Q224" s="662"/>
      <c r="R224" s="662"/>
      <c r="S224" s="662"/>
      <c r="T224" s="662"/>
      <c r="U224" s="662"/>
      <c r="V224" s="662"/>
      <c r="W224" s="662"/>
      <c r="X224" s="662"/>
      <c r="Y224" s="662"/>
      <c r="Z224" s="662"/>
      <c r="AA224" s="662"/>
      <c r="AB224" s="662"/>
      <c r="AC224" s="662"/>
      <c r="AD224" s="662"/>
      <c r="AE224" s="662"/>
      <c r="AF224" s="662"/>
      <c r="AG224" s="662"/>
      <c r="AH224" s="662"/>
      <c r="AI224" s="662"/>
      <c r="AJ224" s="662"/>
      <c r="AK224" s="662"/>
      <c r="AL224" s="662"/>
      <c r="AM224" s="662"/>
      <c r="AN224" s="662"/>
      <c r="AO224" s="662"/>
      <c r="AP224" s="662"/>
      <c r="AQ224" s="662"/>
      <c r="AR224" s="662"/>
      <c r="AS224" s="662"/>
      <c r="AT224" s="662"/>
      <c r="AU224" s="662"/>
      <c r="AV224" s="662"/>
      <c r="AW224" s="662"/>
      <c r="AX224" s="662"/>
      <c r="AY224" s="662"/>
      <c r="AZ224" s="662"/>
      <c r="BA224" s="662"/>
      <c r="BB224" s="662"/>
      <c r="BC224" s="662"/>
      <c r="BD224" s="662"/>
      <c r="BE224" s="662"/>
      <c r="BF224" s="662"/>
      <c r="BG224" s="662"/>
      <c r="BH224" s="662"/>
      <c r="BI224" s="662"/>
      <c r="BJ224" s="662"/>
      <c r="BK224" s="662"/>
      <c r="BL224" s="662"/>
    </row>
    <row r="225" spans="7:64" x14ac:dyDescent="0.25">
      <c r="G225" s="662"/>
      <c r="H225" s="662"/>
      <c r="I225" s="662"/>
      <c r="J225" s="662"/>
      <c r="K225" s="662"/>
      <c r="L225" s="662"/>
      <c r="M225" s="662"/>
      <c r="N225" s="662"/>
      <c r="O225" s="662"/>
      <c r="P225" s="662"/>
      <c r="Q225" s="662"/>
      <c r="R225" s="662"/>
      <c r="S225" s="662"/>
      <c r="T225" s="662"/>
      <c r="U225" s="662"/>
      <c r="V225" s="662"/>
      <c r="W225" s="662"/>
      <c r="X225" s="662"/>
      <c r="Y225" s="662"/>
      <c r="Z225" s="662"/>
      <c r="AA225" s="662"/>
      <c r="AB225" s="662"/>
      <c r="AC225" s="662"/>
      <c r="AD225" s="662"/>
      <c r="AE225" s="662"/>
      <c r="AF225" s="662"/>
      <c r="AG225" s="662"/>
      <c r="AH225" s="662"/>
      <c r="AI225" s="662"/>
      <c r="AJ225" s="662"/>
      <c r="AK225" s="662"/>
      <c r="AL225" s="662"/>
      <c r="AM225" s="662"/>
      <c r="AN225" s="662"/>
      <c r="AO225" s="662"/>
      <c r="AP225" s="662"/>
      <c r="AQ225" s="662"/>
      <c r="AR225" s="662"/>
      <c r="AS225" s="662"/>
      <c r="AT225" s="662"/>
      <c r="AU225" s="662"/>
      <c r="AV225" s="662"/>
      <c r="AW225" s="662"/>
      <c r="AX225" s="662"/>
      <c r="AY225" s="662"/>
      <c r="AZ225" s="662"/>
      <c r="BA225" s="662"/>
      <c r="BB225" s="662"/>
      <c r="BC225" s="662"/>
      <c r="BD225" s="662"/>
      <c r="BE225" s="662"/>
      <c r="BF225" s="662"/>
      <c r="BG225" s="662"/>
      <c r="BH225" s="662"/>
      <c r="BI225" s="662"/>
      <c r="BJ225" s="662"/>
      <c r="BK225" s="662"/>
      <c r="BL225" s="662"/>
    </row>
    <row r="226" spans="7:64" x14ac:dyDescent="0.25">
      <c r="G226" s="662"/>
      <c r="H226" s="662"/>
      <c r="I226" s="662"/>
      <c r="J226" s="662"/>
      <c r="K226" s="662"/>
      <c r="L226" s="662"/>
      <c r="M226" s="662"/>
      <c r="N226" s="662"/>
      <c r="O226" s="662"/>
      <c r="P226" s="662"/>
      <c r="Q226" s="662"/>
      <c r="R226" s="662"/>
      <c r="S226" s="662"/>
      <c r="T226" s="662"/>
      <c r="U226" s="662"/>
      <c r="V226" s="662"/>
      <c r="W226" s="662"/>
      <c r="X226" s="662"/>
      <c r="Y226" s="662"/>
      <c r="Z226" s="662"/>
      <c r="AA226" s="662"/>
      <c r="AB226" s="662"/>
      <c r="AC226" s="662"/>
      <c r="AD226" s="662"/>
      <c r="AE226" s="662"/>
      <c r="AF226" s="662"/>
      <c r="AG226" s="662"/>
      <c r="AH226" s="662"/>
      <c r="AI226" s="662"/>
      <c r="AJ226" s="662"/>
      <c r="AK226" s="662"/>
      <c r="AL226" s="662"/>
      <c r="AM226" s="662"/>
      <c r="AN226" s="662"/>
      <c r="AO226" s="662"/>
      <c r="AP226" s="662"/>
      <c r="AQ226" s="662"/>
      <c r="AR226" s="662"/>
      <c r="AS226" s="662"/>
      <c r="AT226" s="662"/>
      <c r="AU226" s="662"/>
      <c r="AV226" s="662"/>
      <c r="AW226" s="662"/>
      <c r="AX226" s="662"/>
      <c r="AY226" s="662"/>
      <c r="AZ226" s="662"/>
      <c r="BA226" s="662"/>
      <c r="BB226" s="662"/>
      <c r="BC226" s="662"/>
      <c r="BD226" s="662"/>
      <c r="BE226" s="662"/>
      <c r="BF226" s="662"/>
      <c r="BG226" s="662"/>
      <c r="BH226" s="662"/>
      <c r="BI226" s="662"/>
      <c r="BJ226" s="662"/>
      <c r="BK226" s="662"/>
      <c r="BL226" s="662"/>
    </row>
    <row r="227" spans="7:64" x14ac:dyDescent="0.25">
      <c r="G227" s="662"/>
      <c r="H227" s="662"/>
      <c r="I227" s="662"/>
      <c r="J227" s="662"/>
      <c r="K227" s="662"/>
      <c r="L227" s="662"/>
      <c r="M227" s="662"/>
      <c r="N227" s="662"/>
      <c r="O227" s="662"/>
      <c r="P227" s="662"/>
      <c r="Q227" s="662"/>
      <c r="R227" s="662"/>
      <c r="S227" s="662"/>
      <c r="T227" s="662"/>
      <c r="U227" s="662"/>
      <c r="V227" s="662"/>
      <c r="W227" s="662"/>
      <c r="X227" s="662"/>
      <c r="Y227" s="662"/>
      <c r="Z227" s="662"/>
      <c r="AA227" s="662"/>
      <c r="AB227" s="662"/>
      <c r="AC227" s="662"/>
      <c r="AD227" s="662"/>
      <c r="AE227" s="662"/>
      <c r="AF227" s="662"/>
      <c r="AG227" s="662"/>
      <c r="AH227" s="662"/>
      <c r="AI227" s="662"/>
      <c r="AJ227" s="662"/>
      <c r="AK227" s="662"/>
      <c r="AL227" s="662"/>
      <c r="AM227" s="662"/>
      <c r="AN227" s="662"/>
      <c r="AO227" s="662"/>
      <c r="AP227" s="662"/>
      <c r="AQ227" s="662"/>
      <c r="AR227" s="662"/>
      <c r="AS227" s="662"/>
      <c r="AT227" s="662"/>
      <c r="AU227" s="662"/>
      <c r="AV227" s="662"/>
      <c r="AW227" s="662"/>
      <c r="AX227" s="662"/>
      <c r="AY227" s="662"/>
      <c r="AZ227" s="662"/>
      <c r="BA227" s="662"/>
      <c r="BB227" s="662"/>
      <c r="BC227" s="662"/>
      <c r="BD227" s="662"/>
      <c r="BE227" s="662"/>
      <c r="BF227" s="662"/>
      <c r="BG227" s="662"/>
      <c r="BH227" s="662"/>
      <c r="BI227" s="662"/>
      <c r="BJ227" s="662"/>
      <c r="BK227" s="662"/>
      <c r="BL227" s="662"/>
    </row>
    <row r="228" spans="7:64" x14ac:dyDescent="0.25">
      <c r="G228" s="662"/>
      <c r="H228" s="662"/>
      <c r="I228" s="662"/>
      <c r="J228" s="662"/>
      <c r="K228" s="662"/>
      <c r="L228" s="662"/>
      <c r="M228" s="662"/>
      <c r="N228" s="662"/>
      <c r="O228" s="662"/>
      <c r="P228" s="662"/>
      <c r="Q228" s="662"/>
      <c r="R228" s="662"/>
      <c r="S228" s="662"/>
      <c r="T228" s="662"/>
      <c r="U228" s="662"/>
      <c r="V228" s="662"/>
      <c r="W228" s="662"/>
      <c r="X228" s="662"/>
      <c r="Y228" s="662"/>
      <c r="Z228" s="662"/>
      <c r="AA228" s="662"/>
      <c r="AB228" s="662"/>
      <c r="AC228" s="662"/>
      <c r="AD228" s="662"/>
      <c r="AE228" s="662"/>
      <c r="AF228" s="662"/>
      <c r="AG228" s="662"/>
      <c r="AH228" s="662"/>
      <c r="AI228" s="662"/>
      <c r="AJ228" s="662"/>
      <c r="AK228" s="662"/>
      <c r="AL228" s="662"/>
      <c r="AM228" s="662"/>
      <c r="AN228" s="662"/>
      <c r="AO228" s="662"/>
      <c r="AP228" s="662"/>
      <c r="AQ228" s="662"/>
      <c r="AR228" s="662"/>
      <c r="AS228" s="662"/>
      <c r="AT228" s="662"/>
      <c r="AU228" s="662"/>
      <c r="AV228" s="662"/>
      <c r="AW228" s="662"/>
      <c r="AX228" s="662"/>
      <c r="AY228" s="662"/>
      <c r="AZ228" s="662"/>
      <c r="BA228" s="662"/>
      <c r="BB228" s="662"/>
      <c r="BC228" s="662"/>
      <c r="BD228" s="662"/>
      <c r="BE228" s="662"/>
      <c r="BF228" s="662"/>
      <c r="BG228" s="662"/>
      <c r="BH228" s="662"/>
      <c r="BI228" s="662"/>
      <c r="BJ228" s="662"/>
      <c r="BK228" s="662"/>
      <c r="BL228" s="662"/>
    </row>
    <row r="229" spans="7:64" x14ac:dyDescent="0.25">
      <c r="G229" s="662"/>
      <c r="H229" s="662"/>
      <c r="I229" s="662"/>
      <c r="J229" s="662"/>
      <c r="K229" s="662"/>
      <c r="L229" s="662"/>
      <c r="M229" s="662"/>
      <c r="N229" s="662"/>
      <c r="O229" s="662"/>
      <c r="P229" s="662"/>
      <c r="Q229" s="662"/>
      <c r="R229" s="662"/>
      <c r="S229" s="662"/>
      <c r="T229" s="662"/>
      <c r="U229" s="662"/>
      <c r="V229" s="662"/>
      <c r="W229" s="662"/>
      <c r="X229" s="662"/>
      <c r="Y229" s="662"/>
      <c r="Z229" s="662"/>
      <c r="AA229" s="662"/>
      <c r="AB229" s="662"/>
      <c r="AC229" s="662"/>
      <c r="AD229" s="662"/>
      <c r="AE229" s="662"/>
      <c r="AF229" s="662"/>
      <c r="AG229" s="662"/>
      <c r="AH229" s="662"/>
      <c r="AI229" s="662"/>
      <c r="AJ229" s="662"/>
      <c r="AK229" s="662"/>
      <c r="AL229" s="662"/>
      <c r="AM229" s="662"/>
      <c r="AN229" s="662"/>
      <c r="AO229" s="662"/>
      <c r="AP229" s="662"/>
      <c r="AQ229" s="662"/>
      <c r="AR229" s="662"/>
      <c r="AS229" s="662"/>
      <c r="AT229" s="662"/>
      <c r="AU229" s="662"/>
      <c r="AV229" s="662"/>
      <c r="AW229" s="662"/>
      <c r="AX229" s="662"/>
      <c r="AY229" s="662"/>
      <c r="AZ229" s="662"/>
      <c r="BA229" s="662"/>
      <c r="BB229" s="662"/>
      <c r="BC229" s="662"/>
      <c r="BD229" s="662"/>
      <c r="BE229" s="662"/>
      <c r="BF229" s="662"/>
      <c r="BG229" s="662"/>
      <c r="BH229" s="662"/>
      <c r="BI229" s="662"/>
      <c r="BJ229" s="662"/>
      <c r="BK229" s="662"/>
      <c r="BL229" s="662"/>
    </row>
    <row r="230" spans="7:64" x14ac:dyDescent="0.25">
      <c r="G230" s="662"/>
      <c r="H230" s="662"/>
      <c r="I230" s="662"/>
      <c r="J230" s="662"/>
      <c r="K230" s="662"/>
      <c r="L230" s="662"/>
      <c r="M230" s="662"/>
      <c r="N230" s="662"/>
      <c r="O230" s="662"/>
      <c r="P230" s="662"/>
      <c r="Q230" s="662"/>
      <c r="R230" s="662"/>
      <c r="S230" s="662"/>
      <c r="T230" s="662"/>
      <c r="U230" s="662"/>
      <c r="V230" s="662"/>
      <c r="W230" s="662"/>
      <c r="X230" s="662"/>
      <c r="Y230" s="662"/>
      <c r="Z230" s="662"/>
      <c r="AA230" s="662"/>
      <c r="AB230" s="662"/>
      <c r="AC230" s="662"/>
      <c r="AD230" s="662"/>
      <c r="AE230" s="662"/>
      <c r="AF230" s="662"/>
      <c r="AG230" s="662"/>
      <c r="AH230" s="662"/>
      <c r="AI230" s="662"/>
      <c r="AJ230" s="662"/>
      <c r="AK230" s="662"/>
      <c r="AL230" s="662"/>
      <c r="AM230" s="662"/>
      <c r="AN230" s="662"/>
      <c r="AO230" s="662"/>
      <c r="AP230" s="662"/>
      <c r="AQ230" s="662"/>
      <c r="AR230" s="662"/>
      <c r="AS230" s="662"/>
      <c r="AT230" s="662"/>
      <c r="AU230" s="662"/>
      <c r="AV230" s="662"/>
      <c r="AW230" s="662"/>
      <c r="AX230" s="662"/>
      <c r="AY230" s="662"/>
      <c r="AZ230" s="662"/>
      <c r="BA230" s="662"/>
      <c r="BB230" s="662"/>
      <c r="BC230" s="662"/>
      <c r="BD230" s="662"/>
      <c r="BE230" s="662"/>
      <c r="BF230" s="662"/>
      <c r="BG230" s="662"/>
      <c r="BH230" s="662"/>
      <c r="BI230" s="662"/>
      <c r="BJ230" s="662"/>
      <c r="BK230" s="662"/>
      <c r="BL230" s="662"/>
    </row>
    <row r="231" spans="7:64" x14ac:dyDescent="0.25">
      <c r="G231" s="662"/>
      <c r="H231" s="662"/>
      <c r="I231" s="662"/>
      <c r="J231" s="662"/>
      <c r="K231" s="662"/>
      <c r="L231" s="662"/>
      <c r="M231" s="662"/>
      <c r="N231" s="662"/>
      <c r="O231" s="662"/>
      <c r="P231" s="662"/>
      <c r="Q231" s="662"/>
      <c r="R231" s="662"/>
      <c r="S231" s="662"/>
      <c r="T231" s="662"/>
      <c r="U231" s="662"/>
      <c r="V231" s="662"/>
      <c r="W231" s="662"/>
      <c r="X231" s="662"/>
      <c r="Y231" s="662"/>
      <c r="Z231" s="662"/>
      <c r="AA231" s="662"/>
      <c r="AB231" s="662"/>
      <c r="AC231" s="662"/>
      <c r="AD231" s="662"/>
      <c r="AE231" s="662"/>
      <c r="AF231" s="662"/>
      <c r="AG231" s="662"/>
      <c r="AH231" s="662"/>
      <c r="AI231" s="662"/>
      <c r="AJ231" s="662"/>
      <c r="AK231" s="662"/>
      <c r="AL231" s="662"/>
      <c r="AM231" s="662"/>
      <c r="AN231" s="662"/>
      <c r="AO231" s="662"/>
      <c r="AP231" s="662"/>
      <c r="AQ231" s="662"/>
      <c r="AR231" s="662"/>
      <c r="AS231" s="662"/>
      <c r="AT231" s="662"/>
      <c r="AU231" s="662"/>
      <c r="AV231" s="662"/>
      <c r="AW231" s="662"/>
      <c r="AX231" s="662"/>
      <c r="AY231" s="662"/>
      <c r="AZ231" s="662"/>
      <c r="BA231" s="662"/>
      <c r="BB231" s="662"/>
      <c r="BC231" s="662"/>
      <c r="BD231" s="662"/>
      <c r="BE231" s="662"/>
      <c r="BF231" s="662"/>
      <c r="BG231" s="662"/>
      <c r="BH231" s="662"/>
      <c r="BI231" s="662"/>
      <c r="BJ231" s="662"/>
      <c r="BK231" s="662"/>
      <c r="BL231" s="662"/>
    </row>
    <row r="232" spans="7:64" x14ac:dyDescent="0.25">
      <c r="G232" s="662"/>
      <c r="H232" s="662"/>
      <c r="I232" s="662"/>
      <c r="J232" s="662"/>
      <c r="K232" s="662"/>
      <c r="L232" s="662"/>
      <c r="M232" s="662"/>
      <c r="N232" s="662"/>
      <c r="O232" s="662"/>
      <c r="P232" s="662"/>
      <c r="Q232" s="662"/>
      <c r="R232" s="662"/>
      <c r="S232" s="662"/>
      <c r="T232" s="662"/>
      <c r="U232" s="662"/>
      <c r="V232" s="662"/>
      <c r="W232" s="662"/>
      <c r="X232" s="662"/>
      <c r="Y232" s="662"/>
      <c r="Z232" s="662"/>
      <c r="AA232" s="662"/>
      <c r="AB232" s="662"/>
      <c r="AC232" s="662"/>
      <c r="AD232" s="662"/>
      <c r="AE232" s="662"/>
      <c r="AF232" s="662"/>
      <c r="AG232" s="662"/>
      <c r="AH232" s="662"/>
      <c r="AI232" s="662"/>
      <c r="AJ232" s="662"/>
      <c r="AK232" s="662"/>
      <c r="AL232" s="662"/>
      <c r="AM232" s="662"/>
      <c r="AN232" s="662"/>
      <c r="AO232" s="662"/>
      <c r="AP232" s="662"/>
      <c r="AQ232" s="662"/>
      <c r="AR232" s="662"/>
      <c r="AS232" s="662"/>
      <c r="AT232" s="662"/>
      <c r="AU232" s="662"/>
      <c r="AV232" s="662"/>
      <c r="AW232" s="662"/>
      <c r="AX232" s="662"/>
      <c r="AY232" s="662"/>
      <c r="AZ232" s="662"/>
      <c r="BA232" s="662"/>
      <c r="BB232" s="662"/>
      <c r="BC232" s="662"/>
      <c r="BD232" s="662"/>
      <c r="BE232" s="662"/>
      <c r="BF232" s="662"/>
      <c r="BG232" s="662"/>
      <c r="BH232" s="662"/>
      <c r="BI232" s="662"/>
      <c r="BJ232" s="662"/>
      <c r="BK232" s="662"/>
      <c r="BL232" s="662"/>
    </row>
    <row r="233" spans="7:64" x14ac:dyDescent="0.25">
      <c r="G233" s="662"/>
      <c r="H233" s="662"/>
      <c r="I233" s="662"/>
      <c r="J233" s="662"/>
      <c r="K233" s="662"/>
      <c r="L233" s="662"/>
      <c r="M233" s="662"/>
      <c r="N233" s="662"/>
      <c r="O233" s="662"/>
      <c r="P233" s="662"/>
      <c r="Q233" s="662"/>
      <c r="R233" s="662"/>
      <c r="S233" s="662"/>
      <c r="T233" s="662"/>
      <c r="U233" s="662"/>
      <c r="V233" s="662"/>
      <c r="W233" s="662"/>
      <c r="X233" s="662"/>
      <c r="Y233" s="662"/>
      <c r="Z233" s="662"/>
      <c r="AA233" s="662"/>
      <c r="AB233" s="662"/>
      <c r="AC233" s="662"/>
      <c r="AD233" s="662"/>
      <c r="AE233" s="662"/>
      <c r="AF233" s="662"/>
      <c r="AG233" s="662"/>
      <c r="AH233" s="662"/>
      <c r="AI233" s="662"/>
      <c r="AJ233" s="662"/>
      <c r="AK233" s="662"/>
      <c r="AL233" s="662"/>
      <c r="AM233" s="662"/>
      <c r="AN233" s="662"/>
      <c r="AO233" s="662"/>
      <c r="AP233" s="662"/>
      <c r="AQ233" s="662"/>
      <c r="AR233" s="662"/>
      <c r="AS233" s="662"/>
      <c r="AT233" s="662"/>
      <c r="AU233" s="662"/>
      <c r="AV233" s="662"/>
      <c r="AW233" s="662"/>
      <c r="AX233" s="662"/>
      <c r="AY233" s="662"/>
      <c r="AZ233" s="662"/>
      <c r="BA233" s="662"/>
      <c r="BB233" s="662"/>
      <c r="BC233" s="662"/>
      <c r="BD233" s="662"/>
      <c r="BE233" s="662"/>
      <c r="BF233" s="662"/>
      <c r="BG233" s="662"/>
      <c r="BH233" s="662"/>
      <c r="BI233" s="662"/>
      <c r="BJ233" s="662"/>
      <c r="BK233" s="662"/>
      <c r="BL233" s="662"/>
    </row>
    <row r="234" spans="7:64" x14ac:dyDescent="0.25">
      <c r="G234" s="662"/>
      <c r="H234" s="662"/>
      <c r="I234" s="662"/>
      <c r="J234" s="662"/>
      <c r="K234" s="662"/>
      <c r="L234" s="662"/>
      <c r="M234" s="662"/>
      <c r="N234" s="662"/>
      <c r="O234" s="662"/>
      <c r="P234" s="662"/>
      <c r="Q234" s="662"/>
      <c r="R234" s="662"/>
      <c r="S234" s="662"/>
      <c r="T234" s="662"/>
      <c r="U234" s="662"/>
      <c r="V234" s="662"/>
      <c r="W234" s="662"/>
      <c r="X234" s="662"/>
      <c r="Y234" s="662"/>
      <c r="Z234" s="662"/>
      <c r="AA234" s="662"/>
      <c r="AB234" s="662"/>
      <c r="AC234" s="662"/>
      <c r="AD234" s="662"/>
      <c r="AE234" s="662"/>
      <c r="AF234" s="662"/>
      <c r="AG234" s="662"/>
      <c r="AH234" s="662"/>
      <c r="AI234" s="662"/>
      <c r="AJ234" s="662"/>
      <c r="AK234" s="662"/>
      <c r="AL234" s="662"/>
      <c r="AM234" s="662"/>
      <c r="AN234" s="662"/>
      <c r="AO234" s="662"/>
      <c r="AP234" s="662"/>
      <c r="AQ234" s="662"/>
      <c r="AR234" s="662"/>
      <c r="AS234" s="662"/>
      <c r="AT234" s="662"/>
      <c r="AU234" s="662"/>
      <c r="AV234" s="662"/>
      <c r="AW234" s="662"/>
      <c r="AX234" s="662"/>
      <c r="AY234" s="662"/>
      <c r="AZ234" s="662"/>
      <c r="BA234" s="662"/>
      <c r="BB234" s="662"/>
      <c r="BC234" s="662"/>
      <c r="BD234" s="662"/>
      <c r="BE234" s="662"/>
      <c r="BF234" s="662"/>
      <c r="BG234" s="662"/>
      <c r="BH234" s="662"/>
      <c r="BI234" s="662"/>
      <c r="BJ234" s="662"/>
      <c r="BK234" s="662"/>
      <c r="BL234" s="662"/>
    </row>
    <row r="235" spans="7:64" x14ac:dyDescent="0.25">
      <c r="G235" s="662"/>
      <c r="H235" s="662"/>
      <c r="I235" s="662"/>
      <c r="J235" s="662"/>
      <c r="K235" s="662"/>
      <c r="L235" s="662"/>
      <c r="M235" s="662"/>
      <c r="N235" s="662"/>
      <c r="O235" s="662"/>
      <c r="P235" s="662"/>
      <c r="Q235" s="662"/>
      <c r="R235" s="662"/>
      <c r="S235" s="662"/>
      <c r="T235" s="662"/>
      <c r="U235" s="662"/>
      <c r="V235" s="662"/>
      <c r="W235" s="662"/>
      <c r="X235" s="662"/>
      <c r="Y235" s="662"/>
      <c r="Z235" s="662"/>
      <c r="AA235" s="662"/>
      <c r="AB235" s="662"/>
      <c r="AC235" s="662"/>
      <c r="AD235" s="662"/>
      <c r="AE235" s="662"/>
      <c r="AF235" s="662"/>
      <c r="AG235" s="662"/>
      <c r="AH235" s="662"/>
      <c r="AI235" s="662"/>
      <c r="AJ235" s="662"/>
      <c r="AK235" s="662"/>
      <c r="AL235" s="662"/>
      <c r="AM235" s="662"/>
      <c r="AN235" s="662"/>
      <c r="AO235" s="662"/>
      <c r="AP235" s="662"/>
      <c r="AQ235" s="662"/>
      <c r="AR235" s="662"/>
      <c r="AS235" s="662"/>
      <c r="AT235" s="662"/>
      <c r="AU235" s="662"/>
      <c r="AV235" s="662"/>
      <c r="AW235" s="662"/>
      <c r="AX235" s="662"/>
      <c r="AY235" s="662"/>
      <c r="AZ235" s="662"/>
      <c r="BA235" s="662"/>
      <c r="BB235" s="662"/>
      <c r="BC235" s="662"/>
      <c r="BD235" s="662"/>
      <c r="BE235" s="662"/>
      <c r="BF235" s="662"/>
      <c r="BG235" s="662"/>
      <c r="BH235" s="662"/>
      <c r="BI235" s="662"/>
      <c r="BJ235" s="662"/>
      <c r="BK235" s="662"/>
      <c r="BL235" s="662"/>
    </row>
    <row r="236" spans="7:64" x14ac:dyDescent="0.25">
      <c r="G236" s="662"/>
      <c r="H236" s="662"/>
      <c r="I236" s="662"/>
      <c r="J236" s="662"/>
      <c r="K236" s="662"/>
      <c r="L236" s="662"/>
      <c r="M236" s="662"/>
      <c r="N236" s="662"/>
      <c r="O236" s="662"/>
      <c r="P236" s="662"/>
      <c r="Q236" s="662"/>
      <c r="R236" s="662"/>
      <c r="S236" s="662"/>
      <c r="T236" s="662"/>
      <c r="U236" s="662"/>
      <c r="V236" s="662"/>
      <c r="W236" s="662"/>
      <c r="X236" s="662"/>
      <c r="Y236" s="662"/>
      <c r="Z236" s="662"/>
      <c r="AA236" s="662"/>
      <c r="AB236" s="662"/>
      <c r="AC236" s="662"/>
      <c r="AD236" s="662"/>
      <c r="AE236" s="662"/>
      <c r="AF236" s="662"/>
      <c r="AG236" s="662"/>
      <c r="AH236" s="662"/>
      <c r="AI236" s="662"/>
      <c r="AJ236" s="662"/>
      <c r="AK236" s="662"/>
      <c r="AL236" s="662"/>
      <c r="AM236" s="662"/>
      <c r="AN236" s="662"/>
      <c r="AO236" s="662"/>
      <c r="AP236" s="662"/>
      <c r="AQ236" s="662"/>
      <c r="AR236" s="662"/>
      <c r="AS236" s="662"/>
      <c r="AT236" s="662"/>
      <c r="AU236" s="662"/>
      <c r="AV236" s="662"/>
      <c r="AW236" s="662"/>
      <c r="AX236" s="662"/>
      <c r="AY236" s="662"/>
      <c r="AZ236" s="662"/>
      <c r="BA236" s="662"/>
      <c r="BB236" s="662"/>
      <c r="BC236" s="662"/>
      <c r="BD236" s="662"/>
      <c r="BE236" s="662"/>
      <c r="BF236" s="662"/>
      <c r="BG236" s="662"/>
      <c r="BH236" s="662"/>
      <c r="BI236" s="662"/>
      <c r="BJ236" s="662"/>
      <c r="BK236" s="662"/>
      <c r="BL236" s="662"/>
    </row>
    <row r="237" spans="7:64" x14ac:dyDescent="0.25">
      <c r="G237" s="662"/>
      <c r="H237" s="662"/>
      <c r="I237" s="662"/>
      <c r="J237" s="662"/>
      <c r="K237" s="662"/>
      <c r="L237" s="662"/>
      <c r="M237" s="662"/>
      <c r="N237" s="662"/>
      <c r="O237" s="662"/>
      <c r="P237" s="662"/>
      <c r="Q237" s="662"/>
      <c r="R237" s="662"/>
      <c r="S237" s="662"/>
      <c r="T237" s="662"/>
      <c r="U237" s="662"/>
      <c r="V237" s="662"/>
      <c r="W237" s="662"/>
      <c r="X237" s="662"/>
      <c r="Y237" s="662"/>
      <c r="Z237" s="662"/>
      <c r="AA237" s="662"/>
      <c r="AB237" s="662"/>
      <c r="AC237" s="662"/>
      <c r="AD237" s="662"/>
      <c r="AE237" s="662"/>
      <c r="AF237" s="662"/>
      <c r="AG237" s="662"/>
      <c r="AH237" s="662"/>
      <c r="AI237" s="662"/>
      <c r="AJ237" s="662"/>
      <c r="AK237" s="662"/>
      <c r="AL237" s="662"/>
      <c r="AM237" s="662"/>
      <c r="AN237" s="662"/>
      <c r="AO237" s="662"/>
      <c r="AP237" s="662"/>
      <c r="AQ237" s="662"/>
      <c r="AR237" s="662"/>
      <c r="AS237" s="662"/>
      <c r="AT237" s="662"/>
      <c r="AU237" s="662"/>
      <c r="AV237" s="662"/>
      <c r="AW237" s="662"/>
      <c r="AX237" s="662"/>
      <c r="AY237" s="662"/>
      <c r="AZ237" s="662"/>
      <c r="BA237" s="662"/>
      <c r="BB237" s="662"/>
      <c r="BC237" s="662"/>
      <c r="BD237" s="662"/>
      <c r="BE237" s="662"/>
      <c r="BF237" s="662"/>
      <c r="BG237" s="662"/>
      <c r="BH237" s="662"/>
      <c r="BI237" s="662"/>
      <c r="BJ237" s="662"/>
      <c r="BK237" s="662"/>
      <c r="BL237" s="662"/>
    </row>
    <row r="238" spans="7:64" x14ac:dyDescent="0.25">
      <c r="G238" s="662"/>
      <c r="H238" s="662"/>
      <c r="I238" s="662"/>
      <c r="J238" s="662"/>
      <c r="K238" s="662"/>
      <c r="L238" s="662"/>
      <c r="M238" s="662"/>
      <c r="N238" s="662"/>
      <c r="O238" s="662"/>
      <c r="P238" s="662"/>
      <c r="Q238" s="662"/>
      <c r="R238" s="662"/>
      <c r="S238" s="662"/>
      <c r="T238" s="662"/>
      <c r="U238" s="662"/>
      <c r="V238" s="662"/>
      <c r="W238" s="662"/>
      <c r="X238" s="662"/>
      <c r="Y238" s="662"/>
      <c r="Z238" s="662"/>
      <c r="AA238" s="662"/>
      <c r="AB238" s="662"/>
      <c r="AC238" s="662"/>
      <c r="AD238" s="662"/>
      <c r="AE238" s="662"/>
      <c r="AF238" s="662"/>
      <c r="AG238" s="662"/>
      <c r="AH238" s="662"/>
      <c r="AI238" s="662"/>
      <c r="AJ238" s="662"/>
      <c r="AK238" s="662"/>
      <c r="AL238" s="662"/>
      <c r="AM238" s="662"/>
      <c r="AN238" s="662"/>
      <c r="AO238" s="662"/>
      <c r="AP238" s="662"/>
      <c r="AQ238" s="662"/>
      <c r="AR238" s="662"/>
      <c r="AS238" s="662"/>
      <c r="AT238" s="662"/>
      <c r="AU238" s="662"/>
      <c r="AV238" s="662"/>
      <c r="AW238" s="662"/>
      <c r="AX238" s="662"/>
      <c r="AY238" s="662"/>
      <c r="AZ238" s="662"/>
      <c r="BA238" s="662"/>
      <c r="BB238" s="662"/>
      <c r="BC238" s="662"/>
      <c r="BD238" s="662"/>
      <c r="BE238" s="662"/>
      <c r="BF238" s="662"/>
      <c r="BG238" s="662"/>
      <c r="BH238" s="662"/>
      <c r="BI238" s="662"/>
      <c r="BJ238" s="662"/>
      <c r="BK238" s="662"/>
      <c r="BL238" s="662"/>
    </row>
  </sheetData>
  <mergeCells count="7">
    <mergeCell ref="U58:W58"/>
    <mergeCell ref="B1:AH1"/>
    <mergeCell ref="B2:AH2"/>
    <mergeCell ref="G5:T5"/>
    <mergeCell ref="U5:AH5"/>
    <mergeCell ref="AK8:AX8"/>
    <mergeCell ref="AZ8:BC8"/>
  </mergeCells>
  <pageMargins left="0.70866141732283472" right="0.70866141732283472" top="0.74803149606299213" bottom="0.74803149606299213" header="0.31496062992125984" footer="0.31496062992125984"/>
  <pageSetup paperSize="9" scale="73"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408AF-5397-44BD-9AEF-1F278DC85671}">
  <dimension ref="B1:AP310"/>
  <sheetViews>
    <sheetView view="pageBreakPreview" topLeftCell="A46" zoomScaleNormal="100" zoomScaleSheetLayoutView="100" workbookViewId="0">
      <selection activeCell="T94" sqref="T94"/>
    </sheetView>
  </sheetViews>
  <sheetFormatPr defaultColWidth="8.85546875" defaultRowHeight="12.75" x14ac:dyDescent="0.2"/>
  <cols>
    <col min="1" max="1" width="1.7109375" style="240" customWidth="1"/>
    <col min="2" max="2" width="3" style="240" customWidth="1"/>
    <col min="3" max="4" width="1.85546875" style="240" customWidth="1"/>
    <col min="5" max="5" width="55.85546875" style="240" customWidth="1"/>
    <col min="6" max="6" width="4.7109375" style="553" customWidth="1"/>
    <col min="7" max="7" width="16.28515625" style="240" customWidth="1"/>
    <col min="8" max="8" width="15.7109375" style="240" hidden="1" customWidth="1"/>
    <col min="9" max="9" width="16.28515625" style="240" hidden="1" customWidth="1"/>
    <col min="10" max="10" width="14" style="240" hidden="1" customWidth="1"/>
    <col min="11" max="11" width="15.42578125" style="240" hidden="1" customWidth="1"/>
    <col min="12" max="14" width="15.7109375" style="240" hidden="1" customWidth="1"/>
    <col min="15" max="16" width="15.85546875" style="240" hidden="1" customWidth="1"/>
    <col min="17" max="17" width="16.42578125" style="240" customWidth="1"/>
    <col min="18" max="19" width="11.28515625" style="240" hidden="1" customWidth="1"/>
    <col min="20" max="21" width="16.28515625" style="240" customWidth="1"/>
    <col min="22" max="22" width="15.7109375" style="240" hidden="1" customWidth="1"/>
    <col min="23" max="23" width="16.28515625" style="240" hidden="1" customWidth="1"/>
    <col min="24" max="24" width="16" style="240" hidden="1" customWidth="1"/>
    <col min="25" max="25" width="14.5703125" style="240" hidden="1" customWidth="1"/>
    <col min="26" max="28" width="15.7109375" style="240" hidden="1" customWidth="1"/>
    <col min="29" max="29" width="16.42578125" style="240" hidden="1" customWidth="1"/>
    <col min="30" max="30" width="16.28515625" style="240" hidden="1" customWidth="1"/>
    <col min="31" max="31" width="16.140625" style="240" customWidth="1"/>
    <col min="32" max="32" width="13.85546875" style="240" hidden="1" customWidth="1"/>
    <col min="33" max="33" width="13.7109375" style="240" hidden="1" customWidth="1"/>
    <col min="34" max="34" width="16.28515625" style="240" customWidth="1"/>
    <col min="35" max="35" width="3" style="240" customWidth="1"/>
    <col min="36" max="36" width="1.7109375" style="240" customWidth="1"/>
    <col min="37" max="37" width="16.42578125" style="240" hidden="1" customWidth="1"/>
    <col min="38" max="38" width="12.5703125" style="240" hidden="1" customWidth="1"/>
    <col min="39" max="39" width="9.85546875" style="240" customWidth="1"/>
    <col min="40" max="40" width="12.85546875" style="240" hidden="1" customWidth="1"/>
    <col min="41" max="41" width="12.5703125" style="240" bestFit="1" customWidth="1"/>
    <col min="42" max="42" width="8.85546875" style="240" hidden="1" customWidth="1"/>
    <col min="43" max="256" width="8.85546875" style="240"/>
    <col min="257" max="257" width="1.7109375" style="240" customWidth="1"/>
    <col min="258" max="258" width="3" style="240" customWidth="1"/>
    <col min="259" max="260" width="1.85546875" style="240" customWidth="1"/>
    <col min="261" max="261" width="55.85546875" style="240" customWidth="1"/>
    <col min="262" max="262" width="4.7109375" style="240" customWidth="1"/>
    <col min="263" max="263" width="16.28515625" style="240" customWidth="1"/>
    <col min="264" max="272" width="0" style="240" hidden="1" customWidth="1"/>
    <col min="273" max="273" width="15.7109375" style="240" customWidth="1"/>
    <col min="274" max="275" width="0" style="240" hidden="1" customWidth="1"/>
    <col min="276" max="277" width="16.28515625" style="240" customWidth="1"/>
    <col min="278" max="286" width="0" style="240" hidden="1" customWidth="1"/>
    <col min="287" max="287" width="16.140625" style="240" customWidth="1"/>
    <col min="288" max="289" width="0" style="240" hidden="1" customWidth="1"/>
    <col min="290" max="290" width="16.28515625" style="240" customWidth="1"/>
    <col min="291" max="291" width="3" style="240" customWidth="1"/>
    <col min="292" max="292" width="1.7109375" style="240" customWidth="1"/>
    <col min="293" max="294" width="0" style="240" hidden="1" customWidth="1"/>
    <col min="295" max="295" width="9.85546875" style="240" customWidth="1"/>
    <col min="296" max="296" width="0" style="240" hidden="1" customWidth="1"/>
    <col min="297" max="297" width="12.5703125" style="240" bestFit="1" customWidth="1"/>
    <col min="298" max="298" width="0" style="240" hidden="1" customWidth="1"/>
    <col min="299" max="512" width="8.85546875" style="240"/>
    <col min="513" max="513" width="1.7109375" style="240" customWidth="1"/>
    <col min="514" max="514" width="3" style="240" customWidth="1"/>
    <col min="515" max="516" width="1.85546875" style="240" customWidth="1"/>
    <col min="517" max="517" width="55.85546875" style="240" customWidth="1"/>
    <col min="518" max="518" width="4.7109375" style="240" customWidth="1"/>
    <col min="519" max="519" width="16.28515625" style="240" customWidth="1"/>
    <col min="520" max="528" width="0" style="240" hidden="1" customWidth="1"/>
    <col min="529" max="529" width="15.7109375" style="240" customWidth="1"/>
    <col min="530" max="531" width="0" style="240" hidden="1" customWidth="1"/>
    <col min="532" max="533" width="16.28515625" style="240" customWidth="1"/>
    <col min="534" max="542" width="0" style="240" hidden="1" customWidth="1"/>
    <col min="543" max="543" width="16.140625" style="240" customWidth="1"/>
    <col min="544" max="545" width="0" style="240" hidden="1" customWidth="1"/>
    <col min="546" max="546" width="16.28515625" style="240" customWidth="1"/>
    <col min="547" max="547" width="3" style="240" customWidth="1"/>
    <col min="548" max="548" width="1.7109375" style="240" customWidth="1"/>
    <col min="549" max="550" width="0" style="240" hidden="1" customWidth="1"/>
    <col min="551" max="551" width="9.85546875" style="240" customWidth="1"/>
    <col min="552" max="552" width="0" style="240" hidden="1" customWidth="1"/>
    <col min="553" max="553" width="12.5703125" style="240" bestFit="1" customWidth="1"/>
    <col min="554" max="554" width="0" style="240" hidden="1" customWidth="1"/>
    <col min="555" max="768" width="8.85546875" style="240"/>
    <col min="769" max="769" width="1.7109375" style="240" customWidth="1"/>
    <col min="770" max="770" width="3" style="240" customWidth="1"/>
    <col min="771" max="772" width="1.85546875" style="240" customWidth="1"/>
    <col min="773" max="773" width="55.85546875" style="240" customWidth="1"/>
    <col min="774" max="774" width="4.7109375" style="240" customWidth="1"/>
    <col min="775" max="775" width="16.28515625" style="240" customWidth="1"/>
    <col min="776" max="784" width="0" style="240" hidden="1" customWidth="1"/>
    <col min="785" max="785" width="15.7109375" style="240" customWidth="1"/>
    <col min="786" max="787" width="0" style="240" hidden="1" customWidth="1"/>
    <col min="788" max="789" width="16.28515625" style="240" customWidth="1"/>
    <col min="790" max="798" width="0" style="240" hidden="1" customWidth="1"/>
    <col min="799" max="799" width="16.140625" style="240" customWidth="1"/>
    <col min="800" max="801" width="0" style="240" hidden="1" customWidth="1"/>
    <col min="802" max="802" width="16.28515625" style="240" customWidth="1"/>
    <col min="803" max="803" width="3" style="240" customWidth="1"/>
    <col min="804" max="804" width="1.7109375" style="240" customWidth="1"/>
    <col min="805" max="806" width="0" style="240" hidden="1" customWidth="1"/>
    <col min="807" max="807" width="9.85546875" style="240" customWidth="1"/>
    <col min="808" max="808" width="0" style="240" hidden="1" customWidth="1"/>
    <col min="809" max="809" width="12.5703125" style="240" bestFit="1" customWidth="1"/>
    <col min="810" max="810" width="0" style="240" hidden="1" customWidth="1"/>
    <col min="811" max="1024" width="8.85546875" style="240"/>
    <col min="1025" max="1025" width="1.7109375" style="240" customWidth="1"/>
    <col min="1026" max="1026" width="3" style="240" customWidth="1"/>
    <col min="1027" max="1028" width="1.85546875" style="240" customWidth="1"/>
    <col min="1029" max="1029" width="55.85546875" style="240" customWidth="1"/>
    <col min="1030" max="1030" width="4.7109375" style="240" customWidth="1"/>
    <col min="1031" max="1031" width="16.28515625" style="240" customWidth="1"/>
    <col min="1032" max="1040" width="0" style="240" hidden="1" customWidth="1"/>
    <col min="1041" max="1041" width="15.7109375" style="240" customWidth="1"/>
    <col min="1042" max="1043" width="0" style="240" hidden="1" customWidth="1"/>
    <col min="1044" max="1045" width="16.28515625" style="240" customWidth="1"/>
    <col min="1046" max="1054" width="0" style="240" hidden="1" customWidth="1"/>
    <col min="1055" max="1055" width="16.140625" style="240" customWidth="1"/>
    <col min="1056" max="1057" width="0" style="240" hidden="1" customWidth="1"/>
    <col min="1058" max="1058" width="16.28515625" style="240" customWidth="1"/>
    <col min="1059" max="1059" width="3" style="240" customWidth="1"/>
    <col min="1060" max="1060" width="1.7109375" style="240" customWidth="1"/>
    <col min="1061" max="1062" width="0" style="240" hidden="1" customWidth="1"/>
    <col min="1063" max="1063" width="9.85546875" style="240" customWidth="1"/>
    <col min="1064" max="1064" width="0" style="240" hidden="1" customWidth="1"/>
    <col min="1065" max="1065" width="12.5703125" style="240" bestFit="1" customWidth="1"/>
    <col min="1066" max="1066" width="0" style="240" hidden="1" customWidth="1"/>
    <col min="1067" max="1280" width="8.85546875" style="240"/>
    <col min="1281" max="1281" width="1.7109375" style="240" customWidth="1"/>
    <col min="1282" max="1282" width="3" style="240" customWidth="1"/>
    <col min="1283" max="1284" width="1.85546875" style="240" customWidth="1"/>
    <col min="1285" max="1285" width="55.85546875" style="240" customWidth="1"/>
    <col min="1286" max="1286" width="4.7109375" style="240" customWidth="1"/>
    <col min="1287" max="1287" width="16.28515625" style="240" customWidth="1"/>
    <col min="1288" max="1296" width="0" style="240" hidden="1" customWidth="1"/>
    <col min="1297" max="1297" width="15.7109375" style="240" customWidth="1"/>
    <col min="1298" max="1299" width="0" style="240" hidden="1" customWidth="1"/>
    <col min="1300" max="1301" width="16.28515625" style="240" customWidth="1"/>
    <col min="1302" max="1310" width="0" style="240" hidden="1" customWidth="1"/>
    <col min="1311" max="1311" width="16.140625" style="240" customWidth="1"/>
    <col min="1312" max="1313" width="0" style="240" hidden="1" customWidth="1"/>
    <col min="1314" max="1314" width="16.28515625" style="240" customWidth="1"/>
    <col min="1315" max="1315" width="3" style="240" customWidth="1"/>
    <col min="1316" max="1316" width="1.7109375" style="240" customWidth="1"/>
    <col min="1317" max="1318" width="0" style="240" hidden="1" customWidth="1"/>
    <col min="1319" max="1319" width="9.85546875" style="240" customWidth="1"/>
    <col min="1320" max="1320" width="0" style="240" hidden="1" customWidth="1"/>
    <col min="1321" max="1321" width="12.5703125" style="240" bestFit="1" customWidth="1"/>
    <col min="1322" max="1322" width="0" style="240" hidden="1" customWidth="1"/>
    <col min="1323" max="1536" width="8.85546875" style="240"/>
    <col min="1537" max="1537" width="1.7109375" style="240" customWidth="1"/>
    <col min="1538" max="1538" width="3" style="240" customWidth="1"/>
    <col min="1539" max="1540" width="1.85546875" style="240" customWidth="1"/>
    <col min="1541" max="1541" width="55.85546875" style="240" customWidth="1"/>
    <col min="1542" max="1542" width="4.7109375" style="240" customWidth="1"/>
    <col min="1543" max="1543" width="16.28515625" style="240" customWidth="1"/>
    <col min="1544" max="1552" width="0" style="240" hidden="1" customWidth="1"/>
    <col min="1553" max="1553" width="15.7109375" style="240" customWidth="1"/>
    <col min="1554" max="1555" width="0" style="240" hidden="1" customWidth="1"/>
    <col min="1556" max="1557" width="16.28515625" style="240" customWidth="1"/>
    <col min="1558" max="1566" width="0" style="240" hidden="1" customWidth="1"/>
    <col min="1567" max="1567" width="16.140625" style="240" customWidth="1"/>
    <col min="1568" max="1569" width="0" style="240" hidden="1" customWidth="1"/>
    <col min="1570" max="1570" width="16.28515625" style="240" customWidth="1"/>
    <col min="1571" max="1571" width="3" style="240" customWidth="1"/>
    <col min="1572" max="1572" width="1.7109375" style="240" customWidth="1"/>
    <col min="1573" max="1574" width="0" style="240" hidden="1" customWidth="1"/>
    <col min="1575" max="1575" width="9.85546875" style="240" customWidth="1"/>
    <col min="1576" max="1576" width="0" style="240" hidden="1" customWidth="1"/>
    <col min="1577" max="1577" width="12.5703125" style="240" bestFit="1" customWidth="1"/>
    <col min="1578" max="1578" width="0" style="240" hidden="1" customWidth="1"/>
    <col min="1579" max="1792" width="8.85546875" style="240"/>
    <col min="1793" max="1793" width="1.7109375" style="240" customWidth="1"/>
    <col min="1794" max="1794" width="3" style="240" customWidth="1"/>
    <col min="1795" max="1796" width="1.85546875" style="240" customWidth="1"/>
    <col min="1797" max="1797" width="55.85546875" style="240" customWidth="1"/>
    <col min="1798" max="1798" width="4.7109375" style="240" customWidth="1"/>
    <col min="1799" max="1799" width="16.28515625" style="240" customWidth="1"/>
    <col min="1800" max="1808" width="0" style="240" hidden="1" customWidth="1"/>
    <col min="1809" max="1809" width="15.7109375" style="240" customWidth="1"/>
    <col min="1810" max="1811" width="0" style="240" hidden="1" customWidth="1"/>
    <col min="1812" max="1813" width="16.28515625" style="240" customWidth="1"/>
    <col min="1814" max="1822" width="0" style="240" hidden="1" customWidth="1"/>
    <col min="1823" max="1823" width="16.140625" style="240" customWidth="1"/>
    <col min="1824" max="1825" width="0" style="240" hidden="1" customWidth="1"/>
    <col min="1826" max="1826" width="16.28515625" style="240" customWidth="1"/>
    <col min="1827" max="1827" width="3" style="240" customWidth="1"/>
    <col min="1828" max="1828" width="1.7109375" style="240" customWidth="1"/>
    <col min="1829" max="1830" width="0" style="240" hidden="1" customWidth="1"/>
    <col min="1831" max="1831" width="9.85546875" style="240" customWidth="1"/>
    <col min="1832" max="1832" width="0" style="240" hidden="1" customWidth="1"/>
    <col min="1833" max="1833" width="12.5703125" style="240" bestFit="1" customWidth="1"/>
    <col min="1834" max="1834" width="0" style="240" hidden="1" customWidth="1"/>
    <col min="1835" max="2048" width="8.85546875" style="240"/>
    <col min="2049" max="2049" width="1.7109375" style="240" customWidth="1"/>
    <col min="2050" max="2050" width="3" style="240" customWidth="1"/>
    <col min="2051" max="2052" width="1.85546875" style="240" customWidth="1"/>
    <col min="2053" max="2053" width="55.85546875" style="240" customWidth="1"/>
    <col min="2054" max="2054" width="4.7109375" style="240" customWidth="1"/>
    <col min="2055" max="2055" width="16.28515625" style="240" customWidth="1"/>
    <col min="2056" max="2064" width="0" style="240" hidden="1" customWidth="1"/>
    <col min="2065" max="2065" width="15.7109375" style="240" customWidth="1"/>
    <col min="2066" max="2067" width="0" style="240" hidden="1" customWidth="1"/>
    <col min="2068" max="2069" width="16.28515625" style="240" customWidth="1"/>
    <col min="2070" max="2078" width="0" style="240" hidden="1" customWidth="1"/>
    <col min="2079" max="2079" width="16.140625" style="240" customWidth="1"/>
    <col min="2080" max="2081" width="0" style="240" hidden="1" customWidth="1"/>
    <col min="2082" max="2082" width="16.28515625" style="240" customWidth="1"/>
    <col min="2083" max="2083" width="3" style="240" customWidth="1"/>
    <col min="2084" max="2084" width="1.7109375" style="240" customWidth="1"/>
    <col min="2085" max="2086" width="0" style="240" hidden="1" customWidth="1"/>
    <col min="2087" max="2087" width="9.85546875" style="240" customWidth="1"/>
    <col min="2088" max="2088" width="0" style="240" hidden="1" customWidth="1"/>
    <col min="2089" max="2089" width="12.5703125" style="240" bestFit="1" customWidth="1"/>
    <col min="2090" max="2090" width="0" style="240" hidden="1" customWidth="1"/>
    <col min="2091" max="2304" width="8.85546875" style="240"/>
    <col min="2305" max="2305" width="1.7109375" style="240" customWidth="1"/>
    <col min="2306" max="2306" width="3" style="240" customWidth="1"/>
    <col min="2307" max="2308" width="1.85546875" style="240" customWidth="1"/>
    <col min="2309" max="2309" width="55.85546875" style="240" customWidth="1"/>
    <col min="2310" max="2310" width="4.7109375" style="240" customWidth="1"/>
    <col min="2311" max="2311" width="16.28515625" style="240" customWidth="1"/>
    <col min="2312" max="2320" width="0" style="240" hidden="1" customWidth="1"/>
    <col min="2321" max="2321" width="15.7109375" style="240" customWidth="1"/>
    <col min="2322" max="2323" width="0" style="240" hidden="1" customWidth="1"/>
    <col min="2324" max="2325" width="16.28515625" style="240" customWidth="1"/>
    <col min="2326" max="2334" width="0" style="240" hidden="1" customWidth="1"/>
    <col min="2335" max="2335" width="16.140625" style="240" customWidth="1"/>
    <col min="2336" max="2337" width="0" style="240" hidden="1" customWidth="1"/>
    <col min="2338" max="2338" width="16.28515625" style="240" customWidth="1"/>
    <col min="2339" max="2339" width="3" style="240" customWidth="1"/>
    <col min="2340" max="2340" width="1.7109375" style="240" customWidth="1"/>
    <col min="2341" max="2342" width="0" style="240" hidden="1" customWidth="1"/>
    <col min="2343" max="2343" width="9.85546875" style="240" customWidth="1"/>
    <col min="2344" max="2344" width="0" style="240" hidden="1" customWidth="1"/>
    <col min="2345" max="2345" width="12.5703125" style="240" bestFit="1" customWidth="1"/>
    <col min="2346" max="2346" width="0" style="240" hidden="1" customWidth="1"/>
    <col min="2347" max="2560" width="8.85546875" style="240"/>
    <col min="2561" max="2561" width="1.7109375" style="240" customWidth="1"/>
    <col min="2562" max="2562" width="3" style="240" customWidth="1"/>
    <col min="2563" max="2564" width="1.85546875" style="240" customWidth="1"/>
    <col min="2565" max="2565" width="55.85546875" style="240" customWidth="1"/>
    <col min="2566" max="2566" width="4.7109375" style="240" customWidth="1"/>
    <col min="2567" max="2567" width="16.28515625" style="240" customWidth="1"/>
    <col min="2568" max="2576" width="0" style="240" hidden="1" customWidth="1"/>
    <col min="2577" max="2577" width="15.7109375" style="240" customWidth="1"/>
    <col min="2578" max="2579" width="0" style="240" hidden="1" customWidth="1"/>
    <col min="2580" max="2581" width="16.28515625" style="240" customWidth="1"/>
    <col min="2582" max="2590" width="0" style="240" hidden="1" customWidth="1"/>
    <col min="2591" max="2591" width="16.140625" style="240" customWidth="1"/>
    <col min="2592" max="2593" width="0" style="240" hidden="1" customWidth="1"/>
    <col min="2594" max="2594" width="16.28515625" style="240" customWidth="1"/>
    <col min="2595" max="2595" width="3" style="240" customWidth="1"/>
    <col min="2596" max="2596" width="1.7109375" style="240" customWidth="1"/>
    <col min="2597" max="2598" width="0" style="240" hidden="1" customWidth="1"/>
    <col min="2599" max="2599" width="9.85546875" style="240" customWidth="1"/>
    <col min="2600" max="2600" width="0" style="240" hidden="1" customWidth="1"/>
    <col min="2601" max="2601" width="12.5703125" style="240" bestFit="1" customWidth="1"/>
    <col min="2602" max="2602" width="0" style="240" hidden="1" customWidth="1"/>
    <col min="2603" max="2816" width="8.85546875" style="240"/>
    <col min="2817" max="2817" width="1.7109375" style="240" customWidth="1"/>
    <col min="2818" max="2818" width="3" style="240" customWidth="1"/>
    <col min="2819" max="2820" width="1.85546875" style="240" customWidth="1"/>
    <col min="2821" max="2821" width="55.85546875" style="240" customWidth="1"/>
    <col min="2822" max="2822" width="4.7109375" style="240" customWidth="1"/>
    <col min="2823" max="2823" width="16.28515625" style="240" customWidth="1"/>
    <col min="2824" max="2832" width="0" style="240" hidden="1" customWidth="1"/>
    <col min="2833" max="2833" width="15.7109375" style="240" customWidth="1"/>
    <col min="2834" max="2835" width="0" style="240" hidden="1" customWidth="1"/>
    <col min="2836" max="2837" width="16.28515625" style="240" customWidth="1"/>
    <col min="2838" max="2846" width="0" style="240" hidden="1" customWidth="1"/>
    <col min="2847" max="2847" width="16.140625" style="240" customWidth="1"/>
    <col min="2848" max="2849" width="0" style="240" hidden="1" customWidth="1"/>
    <col min="2850" max="2850" width="16.28515625" style="240" customWidth="1"/>
    <col min="2851" max="2851" width="3" style="240" customWidth="1"/>
    <col min="2852" max="2852" width="1.7109375" style="240" customWidth="1"/>
    <col min="2853" max="2854" width="0" style="240" hidden="1" customWidth="1"/>
    <col min="2855" max="2855" width="9.85546875" style="240" customWidth="1"/>
    <col min="2856" max="2856" width="0" style="240" hidden="1" customWidth="1"/>
    <col min="2857" max="2857" width="12.5703125" style="240" bestFit="1" customWidth="1"/>
    <col min="2858" max="2858" width="0" style="240" hidden="1" customWidth="1"/>
    <col min="2859" max="3072" width="8.85546875" style="240"/>
    <col min="3073" max="3073" width="1.7109375" style="240" customWidth="1"/>
    <col min="3074" max="3074" width="3" style="240" customWidth="1"/>
    <col min="3075" max="3076" width="1.85546875" style="240" customWidth="1"/>
    <col min="3077" max="3077" width="55.85546875" style="240" customWidth="1"/>
    <col min="3078" max="3078" width="4.7109375" style="240" customWidth="1"/>
    <col min="3079" max="3079" width="16.28515625" style="240" customWidth="1"/>
    <col min="3080" max="3088" width="0" style="240" hidden="1" customWidth="1"/>
    <col min="3089" max="3089" width="15.7109375" style="240" customWidth="1"/>
    <col min="3090" max="3091" width="0" style="240" hidden="1" customWidth="1"/>
    <col min="3092" max="3093" width="16.28515625" style="240" customWidth="1"/>
    <col min="3094" max="3102" width="0" style="240" hidden="1" customWidth="1"/>
    <col min="3103" max="3103" width="16.140625" style="240" customWidth="1"/>
    <col min="3104" max="3105" width="0" style="240" hidden="1" customWidth="1"/>
    <col min="3106" max="3106" width="16.28515625" style="240" customWidth="1"/>
    <col min="3107" max="3107" width="3" style="240" customWidth="1"/>
    <col min="3108" max="3108" width="1.7109375" style="240" customWidth="1"/>
    <col min="3109" max="3110" width="0" style="240" hidden="1" customWidth="1"/>
    <col min="3111" max="3111" width="9.85546875" style="240" customWidth="1"/>
    <col min="3112" max="3112" width="0" style="240" hidden="1" customWidth="1"/>
    <col min="3113" max="3113" width="12.5703125" style="240" bestFit="1" customWidth="1"/>
    <col min="3114" max="3114" width="0" style="240" hidden="1" customWidth="1"/>
    <col min="3115" max="3328" width="8.85546875" style="240"/>
    <col min="3329" max="3329" width="1.7109375" style="240" customWidth="1"/>
    <col min="3330" max="3330" width="3" style="240" customWidth="1"/>
    <col min="3331" max="3332" width="1.85546875" style="240" customWidth="1"/>
    <col min="3333" max="3333" width="55.85546875" style="240" customWidth="1"/>
    <col min="3334" max="3334" width="4.7109375" style="240" customWidth="1"/>
    <col min="3335" max="3335" width="16.28515625" style="240" customWidth="1"/>
    <col min="3336" max="3344" width="0" style="240" hidden="1" customWidth="1"/>
    <col min="3345" max="3345" width="15.7109375" style="240" customWidth="1"/>
    <col min="3346" max="3347" width="0" style="240" hidden="1" customWidth="1"/>
    <col min="3348" max="3349" width="16.28515625" style="240" customWidth="1"/>
    <col min="3350" max="3358" width="0" style="240" hidden="1" customWidth="1"/>
    <col min="3359" max="3359" width="16.140625" style="240" customWidth="1"/>
    <col min="3360" max="3361" width="0" style="240" hidden="1" customWidth="1"/>
    <col min="3362" max="3362" width="16.28515625" style="240" customWidth="1"/>
    <col min="3363" max="3363" width="3" style="240" customWidth="1"/>
    <col min="3364" max="3364" width="1.7109375" style="240" customWidth="1"/>
    <col min="3365" max="3366" width="0" style="240" hidden="1" customWidth="1"/>
    <col min="3367" max="3367" width="9.85546875" style="240" customWidth="1"/>
    <col min="3368" max="3368" width="0" style="240" hidden="1" customWidth="1"/>
    <col min="3369" max="3369" width="12.5703125" style="240" bestFit="1" customWidth="1"/>
    <col min="3370" max="3370" width="0" style="240" hidden="1" customWidth="1"/>
    <col min="3371" max="3584" width="8.85546875" style="240"/>
    <col min="3585" max="3585" width="1.7109375" style="240" customWidth="1"/>
    <col min="3586" max="3586" width="3" style="240" customWidth="1"/>
    <col min="3587" max="3588" width="1.85546875" style="240" customWidth="1"/>
    <col min="3589" max="3589" width="55.85546875" style="240" customWidth="1"/>
    <col min="3590" max="3590" width="4.7109375" style="240" customWidth="1"/>
    <col min="3591" max="3591" width="16.28515625" style="240" customWidth="1"/>
    <col min="3592" max="3600" width="0" style="240" hidden="1" customWidth="1"/>
    <col min="3601" max="3601" width="15.7109375" style="240" customWidth="1"/>
    <col min="3602" max="3603" width="0" style="240" hidden="1" customWidth="1"/>
    <col min="3604" max="3605" width="16.28515625" style="240" customWidth="1"/>
    <col min="3606" max="3614" width="0" style="240" hidden="1" customWidth="1"/>
    <col min="3615" max="3615" width="16.140625" style="240" customWidth="1"/>
    <col min="3616" max="3617" width="0" style="240" hidden="1" customWidth="1"/>
    <col min="3618" max="3618" width="16.28515625" style="240" customWidth="1"/>
    <col min="3619" max="3619" width="3" style="240" customWidth="1"/>
    <col min="3620" max="3620" width="1.7109375" style="240" customWidth="1"/>
    <col min="3621" max="3622" width="0" style="240" hidden="1" customWidth="1"/>
    <col min="3623" max="3623" width="9.85546875" style="240" customWidth="1"/>
    <col min="3624" max="3624" width="0" style="240" hidden="1" customWidth="1"/>
    <col min="3625" max="3625" width="12.5703125" style="240" bestFit="1" customWidth="1"/>
    <col min="3626" max="3626" width="0" style="240" hidden="1" customWidth="1"/>
    <col min="3627" max="3840" width="8.85546875" style="240"/>
    <col min="3841" max="3841" width="1.7109375" style="240" customWidth="1"/>
    <col min="3842" max="3842" width="3" style="240" customWidth="1"/>
    <col min="3843" max="3844" width="1.85546875" style="240" customWidth="1"/>
    <col min="3845" max="3845" width="55.85546875" style="240" customWidth="1"/>
    <col min="3846" max="3846" width="4.7109375" style="240" customWidth="1"/>
    <col min="3847" max="3847" width="16.28515625" style="240" customWidth="1"/>
    <col min="3848" max="3856" width="0" style="240" hidden="1" customWidth="1"/>
    <col min="3857" max="3857" width="15.7109375" style="240" customWidth="1"/>
    <col min="3858" max="3859" width="0" style="240" hidden="1" customWidth="1"/>
    <col min="3860" max="3861" width="16.28515625" style="240" customWidth="1"/>
    <col min="3862" max="3870" width="0" style="240" hidden="1" customWidth="1"/>
    <col min="3871" max="3871" width="16.140625" style="240" customWidth="1"/>
    <col min="3872" max="3873" width="0" style="240" hidden="1" customWidth="1"/>
    <col min="3874" max="3874" width="16.28515625" style="240" customWidth="1"/>
    <col min="3875" max="3875" width="3" style="240" customWidth="1"/>
    <col min="3876" max="3876" width="1.7109375" style="240" customWidth="1"/>
    <col min="3877" max="3878" width="0" style="240" hidden="1" customWidth="1"/>
    <col min="3879" max="3879" width="9.85546875" style="240" customWidth="1"/>
    <col min="3880" max="3880" width="0" style="240" hidden="1" customWidth="1"/>
    <col min="3881" max="3881" width="12.5703125" style="240" bestFit="1" customWidth="1"/>
    <col min="3882" max="3882" width="0" style="240" hidden="1" customWidth="1"/>
    <col min="3883" max="4096" width="8.85546875" style="240"/>
    <col min="4097" max="4097" width="1.7109375" style="240" customWidth="1"/>
    <col min="4098" max="4098" width="3" style="240" customWidth="1"/>
    <col min="4099" max="4100" width="1.85546875" style="240" customWidth="1"/>
    <col min="4101" max="4101" width="55.85546875" style="240" customWidth="1"/>
    <col min="4102" max="4102" width="4.7109375" style="240" customWidth="1"/>
    <col min="4103" max="4103" width="16.28515625" style="240" customWidth="1"/>
    <col min="4104" max="4112" width="0" style="240" hidden="1" customWidth="1"/>
    <col min="4113" max="4113" width="15.7109375" style="240" customWidth="1"/>
    <col min="4114" max="4115" width="0" style="240" hidden="1" customWidth="1"/>
    <col min="4116" max="4117" width="16.28515625" style="240" customWidth="1"/>
    <col min="4118" max="4126" width="0" style="240" hidden="1" customWidth="1"/>
    <col min="4127" max="4127" width="16.140625" style="240" customWidth="1"/>
    <col min="4128" max="4129" width="0" style="240" hidden="1" customWidth="1"/>
    <col min="4130" max="4130" width="16.28515625" style="240" customWidth="1"/>
    <col min="4131" max="4131" width="3" style="240" customWidth="1"/>
    <col min="4132" max="4132" width="1.7109375" style="240" customWidth="1"/>
    <col min="4133" max="4134" width="0" style="240" hidden="1" customWidth="1"/>
    <col min="4135" max="4135" width="9.85546875" style="240" customWidth="1"/>
    <col min="4136" max="4136" width="0" style="240" hidden="1" customWidth="1"/>
    <col min="4137" max="4137" width="12.5703125" style="240" bestFit="1" customWidth="1"/>
    <col min="4138" max="4138" width="0" style="240" hidden="1" customWidth="1"/>
    <col min="4139" max="4352" width="8.85546875" style="240"/>
    <col min="4353" max="4353" width="1.7109375" style="240" customWidth="1"/>
    <col min="4354" max="4354" width="3" style="240" customWidth="1"/>
    <col min="4355" max="4356" width="1.85546875" style="240" customWidth="1"/>
    <col min="4357" max="4357" width="55.85546875" style="240" customWidth="1"/>
    <col min="4358" max="4358" width="4.7109375" style="240" customWidth="1"/>
    <col min="4359" max="4359" width="16.28515625" style="240" customWidth="1"/>
    <col min="4360" max="4368" width="0" style="240" hidden="1" customWidth="1"/>
    <col min="4369" max="4369" width="15.7109375" style="240" customWidth="1"/>
    <col min="4370" max="4371" width="0" style="240" hidden="1" customWidth="1"/>
    <col min="4372" max="4373" width="16.28515625" style="240" customWidth="1"/>
    <col min="4374" max="4382" width="0" style="240" hidden="1" customWidth="1"/>
    <col min="4383" max="4383" width="16.140625" style="240" customWidth="1"/>
    <col min="4384" max="4385" width="0" style="240" hidden="1" customWidth="1"/>
    <col min="4386" max="4386" width="16.28515625" style="240" customWidth="1"/>
    <col min="4387" max="4387" width="3" style="240" customWidth="1"/>
    <col min="4388" max="4388" width="1.7109375" style="240" customWidth="1"/>
    <col min="4389" max="4390" width="0" style="240" hidden="1" customWidth="1"/>
    <col min="4391" max="4391" width="9.85546875" style="240" customWidth="1"/>
    <col min="4392" max="4392" width="0" style="240" hidden="1" customWidth="1"/>
    <col min="4393" max="4393" width="12.5703125" style="240" bestFit="1" customWidth="1"/>
    <col min="4394" max="4394" width="0" style="240" hidden="1" customWidth="1"/>
    <col min="4395" max="4608" width="8.85546875" style="240"/>
    <col min="4609" max="4609" width="1.7109375" style="240" customWidth="1"/>
    <col min="4610" max="4610" width="3" style="240" customWidth="1"/>
    <col min="4611" max="4612" width="1.85546875" style="240" customWidth="1"/>
    <col min="4613" max="4613" width="55.85546875" style="240" customWidth="1"/>
    <col min="4614" max="4614" width="4.7109375" style="240" customWidth="1"/>
    <col min="4615" max="4615" width="16.28515625" style="240" customWidth="1"/>
    <col min="4616" max="4624" width="0" style="240" hidden="1" customWidth="1"/>
    <col min="4625" max="4625" width="15.7109375" style="240" customWidth="1"/>
    <col min="4626" max="4627" width="0" style="240" hidden="1" customWidth="1"/>
    <col min="4628" max="4629" width="16.28515625" style="240" customWidth="1"/>
    <col min="4630" max="4638" width="0" style="240" hidden="1" customWidth="1"/>
    <col min="4639" max="4639" width="16.140625" style="240" customWidth="1"/>
    <col min="4640" max="4641" width="0" style="240" hidden="1" customWidth="1"/>
    <col min="4642" max="4642" width="16.28515625" style="240" customWidth="1"/>
    <col min="4643" max="4643" width="3" style="240" customWidth="1"/>
    <col min="4644" max="4644" width="1.7109375" style="240" customWidth="1"/>
    <col min="4645" max="4646" width="0" style="240" hidden="1" customWidth="1"/>
    <col min="4647" max="4647" width="9.85546875" style="240" customWidth="1"/>
    <col min="4648" max="4648" width="0" style="240" hidden="1" customWidth="1"/>
    <col min="4649" max="4649" width="12.5703125" style="240" bestFit="1" customWidth="1"/>
    <col min="4650" max="4650" width="0" style="240" hidden="1" customWidth="1"/>
    <col min="4651" max="4864" width="8.85546875" style="240"/>
    <col min="4865" max="4865" width="1.7109375" style="240" customWidth="1"/>
    <col min="4866" max="4866" width="3" style="240" customWidth="1"/>
    <col min="4867" max="4868" width="1.85546875" style="240" customWidth="1"/>
    <col min="4869" max="4869" width="55.85546875" style="240" customWidth="1"/>
    <col min="4870" max="4870" width="4.7109375" style="240" customWidth="1"/>
    <col min="4871" max="4871" width="16.28515625" style="240" customWidth="1"/>
    <col min="4872" max="4880" width="0" style="240" hidden="1" customWidth="1"/>
    <col min="4881" max="4881" width="15.7109375" style="240" customWidth="1"/>
    <col min="4882" max="4883" width="0" style="240" hidden="1" customWidth="1"/>
    <col min="4884" max="4885" width="16.28515625" style="240" customWidth="1"/>
    <col min="4886" max="4894" width="0" style="240" hidden="1" customWidth="1"/>
    <col min="4895" max="4895" width="16.140625" style="240" customWidth="1"/>
    <col min="4896" max="4897" width="0" style="240" hidden="1" customWidth="1"/>
    <col min="4898" max="4898" width="16.28515625" style="240" customWidth="1"/>
    <col min="4899" max="4899" width="3" style="240" customWidth="1"/>
    <col min="4900" max="4900" width="1.7109375" style="240" customWidth="1"/>
    <col min="4901" max="4902" width="0" style="240" hidden="1" customWidth="1"/>
    <col min="4903" max="4903" width="9.85546875" style="240" customWidth="1"/>
    <col min="4904" max="4904" width="0" style="240" hidden="1" customWidth="1"/>
    <col min="4905" max="4905" width="12.5703125" style="240" bestFit="1" customWidth="1"/>
    <col min="4906" max="4906" width="0" style="240" hidden="1" customWidth="1"/>
    <col min="4907" max="5120" width="8.85546875" style="240"/>
    <col min="5121" max="5121" width="1.7109375" style="240" customWidth="1"/>
    <col min="5122" max="5122" width="3" style="240" customWidth="1"/>
    <col min="5123" max="5124" width="1.85546875" style="240" customWidth="1"/>
    <col min="5125" max="5125" width="55.85546875" style="240" customWidth="1"/>
    <col min="5126" max="5126" width="4.7109375" style="240" customWidth="1"/>
    <col min="5127" max="5127" width="16.28515625" style="240" customWidth="1"/>
    <col min="5128" max="5136" width="0" style="240" hidden="1" customWidth="1"/>
    <col min="5137" max="5137" width="15.7109375" style="240" customWidth="1"/>
    <col min="5138" max="5139" width="0" style="240" hidden="1" customWidth="1"/>
    <col min="5140" max="5141" width="16.28515625" style="240" customWidth="1"/>
    <col min="5142" max="5150" width="0" style="240" hidden="1" customWidth="1"/>
    <col min="5151" max="5151" width="16.140625" style="240" customWidth="1"/>
    <col min="5152" max="5153" width="0" style="240" hidden="1" customWidth="1"/>
    <col min="5154" max="5154" width="16.28515625" style="240" customWidth="1"/>
    <col min="5155" max="5155" width="3" style="240" customWidth="1"/>
    <col min="5156" max="5156" width="1.7109375" style="240" customWidth="1"/>
    <col min="5157" max="5158" width="0" style="240" hidden="1" customWidth="1"/>
    <col min="5159" max="5159" width="9.85546875" style="240" customWidth="1"/>
    <col min="5160" max="5160" width="0" style="240" hidden="1" customWidth="1"/>
    <col min="5161" max="5161" width="12.5703125" style="240" bestFit="1" customWidth="1"/>
    <col min="5162" max="5162" width="0" style="240" hidden="1" customWidth="1"/>
    <col min="5163" max="5376" width="8.85546875" style="240"/>
    <col min="5377" max="5377" width="1.7109375" style="240" customWidth="1"/>
    <col min="5378" max="5378" width="3" style="240" customWidth="1"/>
    <col min="5379" max="5380" width="1.85546875" style="240" customWidth="1"/>
    <col min="5381" max="5381" width="55.85546875" style="240" customWidth="1"/>
    <col min="5382" max="5382" width="4.7109375" style="240" customWidth="1"/>
    <col min="5383" max="5383" width="16.28515625" style="240" customWidth="1"/>
    <col min="5384" max="5392" width="0" style="240" hidden="1" customWidth="1"/>
    <col min="5393" max="5393" width="15.7109375" style="240" customWidth="1"/>
    <col min="5394" max="5395" width="0" style="240" hidden="1" customWidth="1"/>
    <col min="5396" max="5397" width="16.28515625" style="240" customWidth="1"/>
    <col min="5398" max="5406" width="0" style="240" hidden="1" customWidth="1"/>
    <col min="5407" max="5407" width="16.140625" style="240" customWidth="1"/>
    <col min="5408" max="5409" width="0" style="240" hidden="1" customWidth="1"/>
    <col min="5410" max="5410" width="16.28515625" style="240" customWidth="1"/>
    <col min="5411" max="5411" width="3" style="240" customWidth="1"/>
    <col min="5412" max="5412" width="1.7109375" style="240" customWidth="1"/>
    <col min="5413" max="5414" width="0" style="240" hidden="1" customWidth="1"/>
    <col min="5415" max="5415" width="9.85546875" style="240" customWidth="1"/>
    <col min="5416" max="5416" width="0" style="240" hidden="1" customWidth="1"/>
    <col min="5417" max="5417" width="12.5703125" style="240" bestFit="1" customWidth="1"/>
    <col min="5418" max="5418" width="0" style="240" hidden="1" customWidth="1"/>
    <col min="5419" max="5632" width="8.85546875" style="240"/>
    <col min="5633" max="5633" width="1.7109375" style="240" customWidth="1"/>
    <col min="5634" max="5634" width="3" style="240" customWidth="1"/>
    <col min="5635" max="5636" width="1.85546875" style="240" customWidth="1"/>
    <col min="5637" max="5637" width="55.85546875" style="240" customWidth="1"/>
    <col min="5638" max="5638" width="4.7109375" style="240" customWidth="1"/>
    <col min="5639" max="5639" width="16.28515625" style="240" customWidth="1"/>
    <col min="5640" max="5648" width="0" style="240" hidden="1" customWidth="1"/>
    <col min="5649" max="5649" width="15.7109375" style="240" customWidth="1"/>
    <col min="5650" max="5651" width="0" style="240" hidden="1" customWidth="1"/>
    <col min="5652" max="5653" width="16.28515625" style="240" customWidth="1"/>
    <col min="5654" max="5662" width="0" style="240" hidden="1" customWidth="1"/>
    <col min="5663" max="5663" width="16.140625" style="240" customWidth="1"/>
    <col min="5664" max="5665" width="0" style="240" hidden="1" customWidth="1"/>
    <col min="5666" max="5666" width="16.28515625" style="240" customWidth="1"/>
    <col min="5667" max="5667" width="3" style="240" customWidth="1"/>
    <col min="5668" max="5668" width="1.7109375" style="240" customWidth="1"/>
    <col min="5669" max="5670" width="0" style="240" hidden="1" customWidth="1"/>
    <col min="5671" max="5671" width="9.85546875" style="240" customWidth="1"/>
    <col min="5672" max="5672" width="0" style="240" hidden="1" customWidth="1"/>
    <col min="5673" max="5673" width="12.5703125" style="240" bestFit="1" customWidth="1"/>
    <col min="5674" max="5674" width="0" style="240" hidden="1" customWidth="1"/>
    <col min="5675" max="5888" width="8.85546875" style="240"/>
    <col min="5889" max="5889" width="1.7109375" style="240" customWidth="1"/>
    <col min="5890" max="5890" width="3" style="240" customWidth="1"/>
    <col min="5891" max="5892" width="1.85546875" style="240" customWidth="1"/>
    <col min="5893" max="5893" width="55.85546875" style="240" customWidth="1"/>
    <col min="5894" max="5894" width="4.7109375" style="240" customWidth="1"/>
    <col min="5895" max="5895" width="16.28515625" style="240" customWidth="1"/>
    <col min="5896" max="5904" width="0" style="240" hidden="1" customWidth="1"/>
    <col min="5905" max="5905" width="15.7109375" style="240" customWidth="1"/>
    <col min="5906" max="5907" width="0" style="240" hidden="1" customWidth="1"/>
    <col min="5908" max="5909" width="16.28515625" style="240" customWidth="1"/>
    <col min="5910" max="5918" width="0" style="240" hidden="1" customWidth="1"/>
    <col min="5919" max="5919" width="16.140625" style="240" customWidth="1"/>
    <col min="5920" max="5921" width="0" style="240" hidden="1" customWidth="1"/>
    <col min="5922" max="5922" width="16.28515625" style="240" customWidth="1"/>
    <col min="5923" max="5923" width="3" style="240" customWidth="1"/>
    <col min="5924" max="5924" width="1.7109375" style="240" customWidth="1"/>
    <col min="5925" max="5926" width="0" style="240" hidden="1" customWidth="1"/>
    <col min="5927" max="5927" width="9.85546875" style="240" customWidth="1"/>
    <col min="5928" max="5928" width="0" style="240" hidden="1" customWidth="1"/>
    <col min="5929" max="5929" width="12.5703125" style="240" bestFit="1" customWidth="1"/>
    <col min="5930" max="5930" width="0" style="240" hidden="1" customWidth="1"/>
    <col min="5931" max="6144" width="8.85546875" style="240"/>
    <col min="6145" max="6145" width="1.7109375" style="240" customWidth="1"/>
    <col min="6146" max="6146" width="3" style="240" customWidth="1"/>
    <col min="6147" max="6148" width="1.85546875" style="240" customWidth="1"/>
    <col min="6149" max="6149" width="55.85546875" style="240" customWidth="1"/>
    <col min="6150" max="6150" width="4.7109375" style="240" customWidth="1"/>
    <col min="6151" max="6151" width="16.28515625" style="240" customWidth="1"/>
    <col min="6152" max="6160" width="0" style="240" hidden="1" customWidth="1"/>
    <col min="6161" max="6161" width="15.7109375" style="240" customWidth="1"/>
    <col min="6162" max="6163" width="0" style="240" hidden="1" customWidth="1"/>
    <col min="6164" max="6165" width="16.28515625" style="240" customWidth="1"/>
    <col min="6166" max="6174" width="0" style="240" hidden="1" customWidth="1"/>
    <col min="6175" max="6175" width="16.140625" style="240" customWidth="1"/>
    <col min="6176" max="6177" width="0" style="240" hidden="1" customWidth="1"/>
    <col min="6178" max="6178" width="16.28515625" style="240" customWidth="1"/>
    <col min="6179" max="6179" width="3" style="240" customWidth="1"/>
    <col min="6180" max="6180" width="1.7109375" style="240" customWidth="1"/>
    <col min="6181" max="6182" width="0" style="240" hidden="1" customWidth="1"/>
    <col min="6183" max="6183" width="9.85546875" style="240" customWidth="1"/>
    <col min="6184" max="6184" width="0" style="240" hidden="1" customWidth="1"/>
    <col min="6185" max="6185" width="12.5703125" style="240" bestFit="1" customWidth="1"/>
    <col min="6186" max="6186" width="0" style="240" hidden="1" customWidth="1"/>
    <col min="6187" max="6400" width="8.85546875" style="240"/>
    <col min="6401" max="6401" width="1.7109375" style="240" customWidth="1"/>
    <col min="6402" max="6402" width="3" style="240" customWidth="1"/>
    <col min="6403" max="6404" width="1.85546875" style="240" customWidth="1"/>
    <col min="6405" max="6405" width="55.85546875" style="240" customWidth="1"/>
    <col min="6406" max="6406" width="4.7109375" style="240" customWidth="1"/>
    <col min="6407" max="6407" width="16.28515625" style="240" customWidth="1"/>
    <col min="6408" max="6416" width="0" style="240" hidden="1" customWidth="1"/>
    <col min="6417" max="6417" width="15.7109375" style="240" customWidth="1"/>
    <col min="6418" max="6419" width="0" style="240" hidden="1" customWidth="1"/>
    <col min="6420" max="6421" width="16.28515625" style="240" customWidth="1"/>
    <col min="6422" max="6430" width="0" style="240" hidden="1" customWidth="1"/>
    <col min="6431" max="6431" width="16.140625" style="240" customWidth="1"/>
    <col min="6432" max="6433" width="0" style="240" hidden="1" customWidth="1"/>
    <col min="6434" max="6434" width="16.28515625" style="240" customWidth="1"/>
    <col min="6435" max="6435" width="3" style="240" customWidth="1"/>
    <col min="6436" max="6436" width="1.7109375" style="240" customWidth="1"/>
    <col min="6437" max="6438" width="0" style="240" hidden="1" customWidth="1"/>
    <col min="6439" max="6439" width="9.85546875" style="240" customWidth="1"/>
    <col min="6440" max="6440" width="0" style="240" hidden="1" customWidth="1"/>
    <col min="6441" max="6441" width="12.5703125" style="240" bestFit="1" customWidth="1"/>
    <col min="6442" max="6442" width="0" style="240" hidden="1" customWidth="1"/>
    <col min="6443" max="6656" width="8.85546875" style="240"/>
    <col min="6657" max="6657" width="1.7109375" style="240" customWidth="1"/>
    <col min="6658" max="6658" width="3" style="240" customWidth="1"/>
    <col min="6659" max="6660" width="1.85546875" style="240" customWidth="1"/>
    <col min="6661" max="6661" width="55.85546875" style="240" customWidth="1"/>
    <col min="6662" max="6662" width="4.7109375" style="240" customWidth="1"/>
    <col min="6663" max="6663" width="16.28515625" style="240" customWidth="1"/>
    <col min="6664" max="6672" width="0" style="240" hidden="1" customWidth="1"/>
    <col min="6673" max="6673" width="15.7109375" style="240" customWidth="1"/>
    <col min="6674" max="6675" width="0" style="240" hidden="1" customWidth="1"/>
    <col min="6676" max="6677" width="16.28515625" style="240" customWidth="1"/>
    <col min="6678" max="6686" width="0" style="240" hidden="1" customWidth="1"/>
    <col min="6687" max="6687" width="16.140625" style="240" customWidth="1"/>
    <col min="6688" max="6689" width="0" style="240" hidden="1" customWidth="1"/>
    <col min="6690" max="6690" width="16.28515625" style="240" customWidth="1"/>
    <col min="6691" max="6691" width="3" style="240" customWidth="1"/>
    <col min="6692" max="6692" width="1.7109375" style="240" customWidth="1"/>
    <col min="6693" max="6694" width="0" style="240" hidden="1" customWidth="1"/>
    <col min="6695" max="6695" width="9.85546875" style="240" customWidth="1"/>
    <col min="6696" max="6696" width="0" style="240" hidden="1" customWidth="1"/>
    <col min="6697" max="6697" width="12.5703125" style="240" bestFit="1" customWidth="1"/>
    <col min="6698" max="6698" width="0" style="240" hidden="1" customWidth="1"/>
    <col min="6699" max="6912" width="8.85546875" style="240"/>
    <col min="6913" max="6913" width="1.7109375" style="240" customWidth="1"/>
    <col min="6914" max="6914" width="3" style="240" customWidth="1"/>
    <col min="6915" max="6916" width="1.85546875" style="240" customWidth="1"/>
    <col min="6917" max="6917" width="55.85546875" style="240" customWidth="1"/>
    <col min="6918" max="6918" width="4.7109375" style="240" customWidth="1"/>
    <col min="6919" max="6919" width="16.28515625" style="240" customWidth="1"/>
    <col min="6920" max="6928" width="0" style="240" hidden="1" customWidth="1"/>
    <col min="6929" max="6929" width="15.7109375" style="240" customWidth="1"/>
    <col min="6930" max="6931" width="0" style="240" hidden="1" customWidth="1"/>
    <col min="6932" max="6933" width="16.28515625" style="240" customWidth="1"/>
    <col min="6934" max="6942" width="0" style="240" hidden="1" customWidth="1"/>
    <col min="6943" max="6943" width="16.140625" style="240" customWidth="1"/>
    <col min="6944" max="6945" width="0" style="240" hidden="1" customWidth="1"/>
    <col min="6946" max="6946" width="16.28515625" style="240" customWidth="1"/>
    <col min="6947" max="6947" width="3" style="240" customWidth="1"/>
    <col min="6948" max="6948" width="1.7109375" style="240" customWidth="1"/>
    <col min="6949" max="6950" width="0" style="240" hidden="1" customWidth="1"/>
    <col min="6951" max="6951" width="9.85546875" style="240" customWidth="1"/>
    <col min="6952" max="6952" width="0" style="240" hidden="1" customWidth="1"/>
    <col min="6953" max="6953" width="12.5703125" style="240" bestFit="1" customWidth="1"/>
    <col min="6954" max="6954" width="0" style="240" hidden="1" customWidth="1"/>
    <col min="6955" max="7168" width="8.85546875" style="240"/>
    <col min="7169" max="7169" width="1.7109375" style="240" customWidth="1"/>
    <col min="7170" max="7170" width="3" style="240" customWidth="1"/>
    <col min="7171" max="7172" width="1.85546875" style="240" customWidth="1"/>
    <col min="7173" max="7173" width="55.85546875" style="240" customWidth="1"/>
    <col min="7174" max="7174" width="4.7109375" style="240" customWidth="1"/>
    <col min="7175" max="7175" width="16.28515625" style="240" customWidth="1"/>
    <col min="7176" max="7184" width="0" style="240" hidden="1" customWidth="1"/>
    <col min="7185" max="7185" width="15.7109375" style="240" customWidth="1"/>
    <col min="7186" max="7187" width="0" style="240" hidden="1" customWidth="1"/>
    <col min="7188" max="7189" width="16.28515625" style="240" customWidth="1"/>
    <col min="7190" max="7198" width="0" style="240" hidden="1" customWidth="1"/>
    <col min="7199" max="7199" width="16.140625" style="240" customWidth="1"/>
    <col min="7200" max="7201" width="0" style="240" hidden="1" customWidth="1"/>
    <col min="7202" max="7202" width="16.28515625" style="240" customWidth="1"/>
    <col min="7203" max="7203" width="3" style="240" customWidth="1"/>
    <col min="7204" max="7204" width="1.7109375" style="240" customWidth="1"/>
    <col min="7205" max="7206" width="0" style="240" hidden="1" customWidth="1"/>
    <col min="7207" max="7207" width="9.85546875" style="240" customWidth="1"/>
    <col min="7208" max="7208" width="0" style="240" hidden="1" customWidth="1"/>
    <col min="7209" max="7209" width="12.5703125" style="240" bestFit="1" customWidth="1"/>
    <col min="7210" max="7210" width="0" style="240" hidden="1" customWidth="1"/>
    <col min="7211" max="7424" width="8.85546875" style="240"/>
    <col min="7425" max="7425" width="1.7109375" style="240" customWidth="1"/>
    <col min="7426" max="7426" width="3" style="240" customWidth="1"/>
    <col min="7427" max="7428" width="1.85546875" style="240" customWidth="1"/>
    <col min="7429" max="7429" width="55.85546875" style="240" customWidth="1"/>
    <col min="7430" max="7430" width="4.7109375" style="240" customWidth="1"/>
    <col min="7431" max="7431" width="16.28515625" style="240" customWidth="1"/>
    <col min="7432" max="7440" width="0" style="240" hidden="1" customWidth="1"/>
    <col min="7441" max="7441" width="15.7109375" style="240" customWidth="1"/>
    <col min="7442" max="7443" width="0" style="240" hidden="1" customWidth="1"/>
    <col min="7444" max="7445" width="16.28515625" style="240" customWidth="1"/>
    <col min="7446" max="7454" width="0" style="240" hidden="1" customWidth="1"/>
    <col min="7455" max="7455" width="16.140625" style="240" customWidth="1"/>
    <col min="7456" max="7457" width="0" style="240" hidden="1" customWidth="1"/>
    <col min="7458" max="7458" width="16.28515625" style="240" customWidth="1"/>
    <col min="7459" max="7459" width="3" style="240" customWidth="1"/>
    <col min="7460" max="7460" width="1.7109375" style="240" customWidth="1"/>
    <col min="7461" max="7462" width="0" style="240" hidden="1" customWidth="1"/>
    <col min="7463" max="7463" width="9.85546875" style="240" customWidth="1"/>
    <col min="7464" max="7464" width="0" style="240" hidden="1" customWidth="1"/>
    <col min="7465" max="7465" width="12.5703125" style="240" bestFit="1" customWidth="1"/>
    <col min="7466" max="7466" width="0" style="240" hidden="1" customWidth="1"/>
    <col min="7467" max="7680" width="8.85546875" style="240"/>
    <col min="7681" max="7681" width="1.7109375" style="240" customWidth="1"/>
    <col min="7682" max="7682" width="3" style="240" customWidth="1"/>
    <col min="7683" max="7684" width="1.85546875" style="240" customWidth="1"/>
    <col min="7685" max="7685" width="55.85546875" style="240" customWidth="1"/>
    <col min="7686" max="7686" width="4.7109375" style="240" customWidth="1"/>
    <col min="7687" max="7687" width="16.28515625" style="240" customWidth="1"/>
    <col min="7688" max="7696" width="0" style="240" hidden="1" customWidth="1"/>
    <col min="7697" max="7697" width="15.7109375" style="240" customWidth="1"/>
    <col min="7698" max="7699" width="0" style="240" hidden="1" customWidth="1"/>
    <col min="7700" max="7701" width="16.28515625" style="240" customWidth="1"/>
    <col min="7702" max="7710" width="0" style="240" hidden="1" customWidth="1"/>
    <col min="7711" max="7711" width="16.140625" style="240" customWidth="1"/>
    <col min="7712" max="7713" width="0" style="240" hidden="1" customWidth="1"/>
    <col min="7714" max="7714" width="16.28515625" style="240" customWidth="1"/>
    <col min="7715" max="7715" width="3" style="240" customWidth="1"/>
    <col min="7716" max="7716" width="1.7109375" style="240" customWidth="1"/>
    <col min="7717" max="7718" width="0" style="240" hidden="1" customWidth="1"/>
    <col min="7719" max="7719" width="9.85546875" style="240" customWidth="1"/>
    <col min="7720" max="7720" width="0" style="240" hidden="1" customWidth="1"/>
    <col min="7721" max="7721" width="12.5703125" style="240" bestFit="1" customWidth="1"/>
    <col min="7722" max="7722" width="0" style="240" hidden="1" customWidth="1"/>
    <col min="7723" max="7936" width="8.85546875" style="240"/>
    <col min="7937" max="7937" width="1.7109375" style="240" customWidth="1"/>
    <col min="7938" max="7938" width="3" style="240" customWidth="1"/>
    <col min="7939" max="7940" width="1.85546875" style="240" customWidth="1"/>
    <col min="7941" max="7941" width="55.85546875" style="240" customWidth="1"/>
    <col min="7942" max="7942" width="4.7109375" style="240" customWidth="1"/>
    <col min="7943" max="7943" width="16.28515625" style="240" customWidth="1"/>
    <col min="7944" max="7952" width="0" style="240" hidden="1" customWidth="1"/>
    <col min="7953" max="7953" width="15.7109375" style="240" customWidth="1"/>
    <col min="7954" max="7955" width="0" style="240" hidden="1" customWidth="1"/>
    <col min="7956" max="7957" width="16.28515625" style="240" customWidth="1"/>
    <col min="7958" max="7966" width="0" style="240" hidden="1" customWidth="1"/>
    <col min="7967" max="7967" width="16.140625" style="240" customWidth="1"/>
    <col min="7968" max="7969" width="0" style="240" hidden="1" customWidth="1"/>
    <col min="7970" max="7970" width="16.28515625" style="240" customWidth="1"/>
    <col min="7971" max="7971" width="3" style="240" customWidth="1"/>
    <col min="7972" max="7972" width="1.7109375" style="240" customWidth="1"/>
    <col min="7973" max="7974" width="0" style="240" hidden="1" customWidth="1"/>
    <col min="7975" max="7975" width="9.85546875" style="240" customWidth="1"/>
    <col min="7976" max="7976" width="0" style="240" hidden="1" customWidth="1"/>
    <col min="7977" max="7977" width="12.5703125" style="240" bestFit="1" customWidth="1"/>
    <col min="7978" max="7978" width="0" style="240" hidden="1" customWidth="1"/>
    <col min="7979" max="8192" width="8.85546875" style="240"/>
    <col min="8193" max="8193" width="1.7109375" style="240" customWidth="1"/>
    <col min="8194" max="8194" width="3" style="240" customWidth="1"/>
    <col min="8195" max="8196" width="1.85546875" style="240" customWidth="1"/>
    <col min="8197" max="8197" width="55.85546875" style="240" customWidth="1"/>
    <col min="8198" max="8198" width="4.7109375" style="240" customWidth="1"/>
    <col min="8199" max="8199" width="16.28515625" style="240" customWidth="1"/>
    <col min="8200" max="8208" width="0" style="240" hidden="1" customWidth="1"/>
    <col min="8209" max="8209" width="15.7109375" style="240" customWidth="1"/>
    <col min="8210" max="8211" width="0" style="240" hidden="1" customWidth="1"/>
    <col min="8212" max="8213" width="16.28515625" style="240" customWidth="1"/>
    <col min="8214" max="8222" width="0" style="240" hidden="1" customWidth="1"/>
    <col min="8223" max="8223" width="16.140625" style="240" customWidth="1"/>
    <col min="8224" max="8225" width="0" style="240" hidden="1" customWidth="1"/>
    <col min="8226" max="8226" width="16.28515625" style="240" customWidth="1"/>
    <col min="8227" max="8227" width="3" style="240" customWidth="1"/>
    <col min="8228" max="8228" width="1.7109375" style="240" customWidth="1"/>
    <col min="8229" max="8230" width="0" style="240" hidden="1" customWidth="1"/>
    <col min="8231" max="8231" width="9.85546875" style="240" customWidth="1"/>
    <col min="8232" max="8232" width="0" style="240" hidden="1" customWidth="1"/>
    <col min="8233" max="8233" width="12.5703125" style="240" bestFit="1" customWidth="1"/>
    <col min="8234" max="8234" width="0" style="240" hidden="1" customWidth="1"/>
    <col min="8235" max="8448" width="8.85546875" style="240"/>
    <col min="8449" max="8449" width="1.7109375" style="240" customWidth="1"/>
    <col min="8450" max="8450" width="3" style="240" customWidth="1"/>
    <col min="8451" max="8452" width="1.85546875" style="240" customWidth="1"/>
    <col min="8453" max="8453" width="55.85546875" style="240" customWidth="1"/>
    <col min="8454" max="8454" width="4.7109375" style="240" customWidth="1"/>
    <col min="8455" max="8455" width="16.28515625" style="240" customWidth="1"/>
    <col min="8456" max="8464" width="0" style="240" hidden="1" customWidth="1"/>
    <col min="8465" max="8465" width="15.7109375" style="240" customWidth="1"/>
    <col min="8466" max="8467" width="0" style="240" hidden="1" customWidth="1"/>
    <col min="8468" max="8469" width="16.28515625" style="240" customWidth="1"/>
    <col min="8470" max="8478" width="0" style="240" hidden="1" customWidth="1"/>
    <col min="8479" max="8479" width="16.140625" style="240" customWidth="1"/>
    <col min="8480" max="8481" width="0" style="240" hidden="1" customWidth="1"/>
    <col min="8482" max="8482" width="16.28515625" style="240" customWidth="1"/>
    <col min="8483" max="8483" width="3" style="240" customWidth="1"/>
    <col min="8484" max="8484" width="1.7109375" style="240" customWidth="1"/>
    <col min="8485" max="8486" width="0" style="240" hidden="1" customWidth="1"/>
    <col min="8487" max="8487" width="9.85546875" style="240" customWidth="1"/>
    <col min="8488" max="8488" width="0" style="240" hidden="1" customWidth="1"/>
    <col min="8489" max="8489" width="12.5703125" style="240" bestFit="1" customWidth="1"/>
    <col min="8490" max="8490" width="0" style="240" hidden="1" customWidth="1"/>
    <col min="8491" max="8704" width="8.85546875" style="240"/>
    <col min="8705" max="8705" width="1.7109375" style="240" customWidth="1"/>
    <col min="8706" max="8706" width="3" style="240" customWidth="1"/>
    <col min="8707" max="8708" width="1.85546875" style="240" customWidth="1"/>
    <col min="8709" max="8709" width="55.85546875" style="240" customWidth="1"/>
    <col min="8710" max="8710" width="4.7109375" style="240" customWidth="1"/>
    <col min="8711" max="8711" width="16.28515625" style="240" customWidth="1"/>
    <col min="8712" max="8720" width="0" style="240" hidden="1" customWidth="1"/>
    <col min="8721" max="8721" width="15.7109375" style="240" customWidth="1"/>
    <col min="8722" max="8723" width="0" style="240" hidden="1" customWidth="1"/>
    <col min="8724" max="8725" width="16.28515625" style="240" customWidth="1"/>
    <col min="8726" max="8734" width="0" style="240" hidden="1" customWidth="1"/>
    <col min="8735" max="8735" width="16.140625" style="240" customWidth="1"/>
    <col min="8736" max="8737" width="0" style="240" hidden="1" customWidth="1"/>
    <col min="8738" max="8738" width="16.28515625" style="240" customWidth="1"/>
    <col min="8739" max="8739" width="3" style="240" customWidth="1"/>
    <col min="8740" max="8740" width="1.7109375" style="240" customWidth="1"/>
    <col min="8741" max="8742" width="0" style="240" hidden="1" customWidth="1"/>
    <col min="8743" max="8743" width="9.85546875" style="240" customWidth="1"/>
    <col min="8744" max="8744" width="0" style="240" hidden="1" customWidth="1"/>
    <col min="8745" max="8745" width="12.5703125" style="240" bestFit="1" customWidth="1"/>
    <col min="8746" max="8746" width="0" style="240" hidden="1" customWidth="1"/>
    <col min="8747" max="8960" width="8.85546875" style="240"/>
    <col min="8961" max="8961" width="1.7109375" style="240" customWidth="1"/>
    <col min="8962" max="8962" width="3" style="240" customWidth="1"/>
    <col min="8963" max="8964" width="1.85546875" style="240" customWidth="1"/>
    <col min="8965" max="8965" width="55.85546875" style="240" customWidth="1"/>
    <col min="8966" max="8966" width="4.7109375" style="240" customWidth="1"/>
    <col min="8967" max="8967" width="16.28515625" style="240" customWidth="1"/>
    <col min="8968" max="8976" width="0" style="240" hidden="1" customWidth="1"/>
    <col min="8977" max="8977" width="15.7109375" style="240" customWidth="1"/>
    <col min="8978" max="8979" width="0" style="240" hidden="1" customWidth="1"/>
    <col min="8980" max="8981" width="16.28515625" style="240" customWidth="1"/>
    <col min="8982" max="8990" width="0" style="240" hidden="1" customWidth="1"/>
    <col min="8991" max="8991" width="16.140625" style="240" customWidth="1"/>
    <col min="8992" max="8993" width="0" style="240" hidden="1" customWidth="1"/>
    <col min="8994" max="8994" width="16.28515625" style="240" customWidth="1"/>
    <col min="8995" max="8995" width="3" style="240" customWidth="1"/>
    <col min="8996" max="8996" width="1.7109375" style="240" customWidth="1"/>
    <col min="8997" max="8998" width="0" style="240" hidden="1" customWidth="1"/>
    <col min="8999" max="8999" width="9.85546875" style="240" customWidth="1"/>
    <col min="9000" max="9000" width="0" style="240" hidden="1" customWidth="1"/>
    <col min="9001" max="9001" width="12.5703125" style="240" bestFit="1" customWidth="1"/>
    <col min="9002" max="9002" width="0" style="240" hidden="1" customWidth="1"/>
    <col min="9003" max="9216" width="8.85546875" style="240"/>
    <col min="9217" max="9217" width="1.7109375" style="240" customWidth="1"/>
    <col min="9218" max="9218" width="3" style="240" customWidth="1"/>
    <col min="9219" max="9220" width="1.85546875" style="240" customWidth="1"/>
    <col min="9221" max="9221" width="55.85546875" style="240" customWidth="1"/>
    <col min="9222" max="9222" width="4.7109375" style="240" customWidth="1"/>
    <col min="9223" max="9223" width="16.28515625" style="240" customWidth="1"/>
    <col min="9224" max="9232" width="0" style="240" hidden="1" customWidth="1"/>
    <col min="9233" max="9233" width="15.7109375" style="240" customWidth="1"/>
    <col min="9234" max="9235" width="0" style="240" hidden="1" customWidth="1"/>
    <col min="9236" max="9237" width="16.28515625" style="240" customWidth="1"/>
    <col min="9238" max="9246" width="0" style="240" hidden="1" customWidth="1"/>
    <col min="9247" max="9247" width="16.140625" style="240" customWidth="1"/>
    <col min="9248" max="9249" width="0" style="240" hidden="1" customWidth="1"/>
    <col min="9250" max="9250" width="16.28515625" style="240" customWidth="1"/>
    <col min="9251" max="9251" width="3" style="240" customWidth="1"/>
    <col min="9252" max="9252" width="1.7109375" style="240" customWidth="1"/>
    <col min="9253" max="9254" width="0" style="240" hidden="1" customWidth="1"/>
    <col min="9255" max="9255" width="9.85546875" style="240" customWidth="1"/>
    <col min="9256" max="9256" width="0" style="240" hidden="1" customWidth="1"/>
    <col min="9257" max="9257" width="12.5703125" style="240" bestFit="1" customWidth="1"/>
    <col min="9258" max="9258" width="0" style="240" hidden="1" customWidth="1"/>
    <col min="9259" max="9472" width="8.85546875" style="240"/>
    <col min="9473" max="9473" width="1.7109375" style="240" customWidth="1"/>
    <col min="9474" max="9474" width="3" style="240" customWidth="1"/>
    <col min="9475" max="9476" width="1.85546875" style="240" customWidth="1"/>
    <col min="9477" max="9477" width="55.85546875" style="240" customWidth="1"/>
    <col min="9478" max="9478" width="4.7109375" style="240" customWidth="1"/>
    <col min="9479" max="9479" width="16.28515625" style="240" customWidth="1"/>
    <col min="9480" max="9488" width="0" style="240" hidden="1" customWidth="1"/>
    <col min="9489" max="9489" width="15.7109375" style="240" customWidth="1"/>
    <col min="9490" max="9491" width="0" style="240" hidden="1" customWidth="1"/>
    <col min="9492" max="9493" width="16.28515625" style="240" customWidth="1"/>
    <col min="9494" max="9502" width="0" style="240" hidden="1" customWidth="1"/>
    <col min="9503" max="9503" width="16.140625" style="240" customWidth="1"/>
    <col min="9504" max="9505" width="0" style="240" hidden="1" customWidth="1"/>
    <col min="9506" max="9506" width="16.28515625" style="240" customWidth="1"/>
    <col min="9507" max="9507" width="3" style="240" customWidth="1"/>
    <col min="9508" max="9508" width="1.7109375" style="240" customWidth="1"/>
    <col min="9509" max="9510" width="0" style="240" hidden="1" customWidth="1"/>
    <col min="9511" max="9511" width="9.85546875" style="240" customWidth="1"/>
    <col min="9512" max="9512" width="0" style="240" hidden="1" customWidth="1"/>
    <col min="9513" max="9513" width="12.5703125" style="240" bestFit="1" customWidth="1"/>
    <col min="9514" max="9514" width="0" style="240" hidden="1" customWidth="1"/>
    <col min="9515" max="9728" width="8.85546875" style="240"/>
    <col min="9729" max="9729" width="1.7109375" style="240" customWidth="1"/>
    <col min="9730" max="9730" width="3" style="240" customWidth="1"/>
    <col min="9731" max="9732" width="1.85546875" style="240" customWidth="1"/>
    <col min="9733" max="9733" width="55.85546875" style="240" customWidth="1"/>
    <col min="9734" max="9734" width="4.7109375" style="240" customWidth="1"/>
    <col min="9735" max="9735" width="16.28515625" style="240" customWidth="1"/>
    <col min="9736" max="9744" width="0" style="240" hidden="1" customWidth="1"/>
    <col min="9745" max="9745" width="15.7109375" style="240" customWidth="1"/>
    <col min="9746" max="9747" width="0" style="240" hidden="1" customWidth="1"/>
    <col min="9748" max="9749" width="16.28515625" style="240" customWidth="1"/>
    <col min="9750" max="9758" width="0" style="240" hidden="1" customWidth="1"/>
    <col min="9759" max="9759" width="16.140625" style="240" customWidth="1"/>
    <col min="9760" max="9761" width="0" style="240" hidden="1" customWidth="1"/>
    <col min="9762" max="9762" width="16.28515625" style="240" customWidth="1"/>
    <col min="9763" max="9763" width="3" style="240" customWidth="1"/>
    <col min="9764" max="9764" width="1.7109375" style="240" customWidth="1"/>
    <col min="9765" max="9766" width="0" style="240" hidden="1" customWidth="1"/>
    <col min="9767" max="9767" width="9.85546875" style="240" customWidth="1"/>
    <col min="9768" max="9768" width="0" style="240" hidden="1" customWidth="1"/>
    <col min="9769" max="9769" width="12.5703125" style="240" bestFit="1" customWidth="1"/>
    <col min="9770" max="9770" width="0" style="240" hidden="1" customWidth="1"/>
    <col min="9771" max="9984" width="8.85546875" style="240"/>
    <col min="9985" max="9985" width="1.7109375" style="240" customWidth="1"/>
    <col min="9986" max="9986" width="3" style="240" customWidth="1"/>
    <col min="9987" max="9988" width="1.85546875" style="240" customWidth="1"/>
    <col min="9989" max="9989" width="55.85546875" style="240" customWidth="1"/>
    <col min="9990" max="9990" width="4.7109375" style="240" customWidth="1"/>
    <col min="9991" max="9991" width="16.28515625" style="240" customWidth="1"/>
    <col min="9992" max="10000" width="0" style="240" hidden="1" customWidth="1"/>
    <col min="10001" max="10001" width="15.7109375" style="240" customWidth="1"/>
    <col min="10002" max="10003" width="0" style="240" hidden="1" customWidth="1"/>
    <col min="10004" max="10005" width="16.28515625" style="240" customWidth="1"/>
    <col min="10006" max="10014" width="0" style="240" hidden="1" customWidth="1"/>
    <col min="10015" max="10015" width="16.140625" style="240" customWidth="1"/>
    <col min="10016" max="10017" width="0" style="240" hidden="1" customWidth="1"/>
    <col min="10018" max="10018" width="16.28515625" style="240" customWidth="1"/>
    <col min="10019" max="10019" width="3" style="240" customWidth="1"/>
    <col min="10020" max="10020" width="1.7109375" style="240" customWidth="1"/>
    <col min="10021" max="10022" width="0" style="240" hidden="1" customWidth="1"/>
    <col min="10023" max="10023" width="9.85546875" style="240" customWidth="1"/>
    <col min="10024" max="10024" width="0" style="240" hidden="1" customWidth="1"/>
    <col min="10025" max="10025" width="12.5703125" style="240" bestFit="1" customWidth="1"/>
    <col min="10026" max="10026" width="0" style="240" hidden="1" customWidth="1"/>
    <col min="10027" max="10240" width="8.85546875" style="240"/>
    <col min="10241" max="10241" width="1.7109375" style="240" customWidth="1"/>
    <col min="10242" max="10242" width="3" style="240" customWidth="1"/>
    <col min="10243" max="10244" width="1.85546875" style="240" customWidth="1"/>
    <col min="10245" max="10245" width="55.85546875" style="240" customWidth="1"/>
    <col min="10246" max="10246" width="4.7109375" style="240" customWidth="1"/>
    <col min="10247" max="10247" width="16.28515625" style="240" customWidth="1"/>
    <col min="10248" max="10256" width="0" style="240" hidden="1" customWidth="1"/>
    <col min="10257" max="10257" width="15.7109375" style="240" customWidth="1"/>
    <col min="10258" max="10259" width="0" style="240" hidden="1" customWidth="1"/>
    <col min="10260" max="10261" width="16.28515625" style="240" customWidth="1"/>
    <col min="10262" max="10270" width="0" style="240" hidden="1" customWidth="1"/>
    <col min="10271" max="10271" width="16.140625" style="240" customWidth="1"/>
    <col min="10272" max="10273" width="0" style="240" hidden="1" customWidth="1"/>
    <col min="10274" max="10274" width="16.28515625" style="240" customWidth="1"/>
    <col min="10275" max="10275" width="3" style="240" customWidth="1"/>
    <col min="10276" max="10276" width="1.7109375" style="240" customWidth="1"/>
    <col min="10277" max="10278" width="0" style="240" hidden="1" customWidth="1"/>
    <col min="10279" max="10279" width="9.85546875" style="240" customWidth="1"/>
    <col min="10280" max="10280" width="0" style="240" hidden="1" customWidth="1"/>
    <col min="10281" max="10281" width="12.5703125" style="240" bestFit="1" customWidth="1"/>
    <col min="10282" max="10282" width="0" style="240" hidden="1" customWidth="1"/>
    <col min="10283" max="10496" width="8.85546875" style="240"/>
    <col min="10497" max="10497" width="1.7109375" style="240" customWidth="1"/>
    <col min="10498" max="10498" width="3" style="240" customWidth="1"/>
    <col min="10499" max="10500" width="1.85546875" style="240" customWidth="1"/>
    <col min="10501" max="10501" width="55.85546875" style="240" customWidth="1"/>
    <col min="10502" max="10502" width="4.7109375" style="240" customWidth="1"/>
    <col min="10503" max="10503" width="16.28515625" style="240" customWidth="1"/>
    <col min="10504" max="10512" width="0" style="240" hidden="1" customWidth="1"/>
    <col min="10513" max="10513" width="15.7109375" style="240" customWidth="1"/>
    <col min="10514" max="10515" width="0" style="240" hidden="1" customWidth="1"/>
    <col min="10516" max="10517" width="16.28515625" style="240" customWidth="1"/>
    <col min="10518" max="10526" width="0" style="240" hidden="1" customWidth="1"/>
    <col min="10527" max="10527" width="16.140625" style="240" customWidth="1"/>
    <col min="10528" max="10529" width="0" style="240" hidden="1" customWidth="1"/>
    <col min="10530" max="10530" width="16.28515625" style="240" customWidth="1"/>
    <col min="10531" max="10531" width="3" style="240" customWidth="1"/>
    <col min="10532" max="10532" width="1.7109375" style="240" customWidth="1"/>
    <col min="10533" max="10534" width="0" style="240" hidden="1" customWidth="1"/>
    <col min="10535" max="10535" width="9.85546875" style="240" customWidth="1"/>
    <col min="10536" max="10536" width="0" style="240" hidden="1" customWidth="1"/>
    <col min="10537" max="10537" width="12.5703125" style="240" bestFit="1" customWidth="1"/>
    <col min="10538" max="10538" width="0" style="240" hidden="1" customWidth="1"/>
    <col min="10539" max="10752" width="8.85546875" style="240"/>
    <col min="10753" max="10753" width="1.7109375" style="240" customWidth="1"/>
    <col min="10754" max="10754" width="3" style="240" customWidth="1"/>
    <col min="10755" max="10756" width="1.85546875" style="240" customWidth="1"/>
    <col min="10757" max="10757" width="55.85546875" style="240" customWidth="1"/>
    <col min="10758" max="10758" width="4.7109375" style="240" customWidth="1"/>
    <col min="10759" max="10759" width="16.28515625" style="240" customWidth="1"/>
    <col min="10760" max="10768" width="0" style="240" hidden="1" customWidth="1"/>
    <col min="10769" max="10769" width="15.7109375" style="240" customWidth="1"/>
    <col min="10770" max="10771" width="0" style="240" hidden="1" customWidth="1"/>
    <col min="10772" max="10773" width="16.28515625" style="240" customWidth="1"/>
    <col min="10774" max="10782" width="0" style="240" hidden="1" customWidth="1"/>
    <col min="10783" max="10783" width="16.140625" style="240" customWidth="1"/>
    <col min="10784" max="10785" width="0" style="240" hidden="1" customWidth="1"/>
    <col min="10786" max="10786" width="16.28515625" style="240" customWidth="1"/>
    <col min="10787" max="10787" width="3" style="240" customWidth="1"/>
    <col min="10788" max="10788" width="1.7109375" style="240" customWidth="1"/>
    <col min="10789" max="10790" width="0" style="240" hidden="1" customWidth="1"/>
    <col min="10791" max="10791" width="9.85546875" style="240" customWidth="1"/>
    <col min="10792" max="10792" width="0" style="240" hidden="1" customWidth="1"/>
    <col min="10793" max="10793" width="12.5703125" style="240" bestFit="1" customWidth="1"/>
    <col min="10794" max="10794" width="0" style="240" hidden="1" customWidth="1"/>
    <col min="10795" max="11008" width="8.85546875" style="240"/>
    <col min="11009" max="11009" width="1.7109375" style="240" customWidth="1"/>
    <col min="11010" max="11010" width="3" style="240" customWidth="1"/>
    <col min="11011" max="11012" width="1.85546875" style="240" customWidth="1"/>
    <col min="11013" max="11013" width="55.85546875" style="240" customWidth="1"/>
    <col min="11014" max="11014" width="4.7109375" style="240" customWidth="1"/>
    <col min="11015" max="11015" width="16.28515625" style="240" customWidth="1"/>
    <col min="11016" max="11024" width="0" style="240" hidden="1" customWidth="1"/>
    <col min="11025" max="11025" width="15.7109375" style="240" customWidth="1"/>
    <col min="11026" max="11027" width="0" style="240" hidden="1" customWidth="1"/>
    <col min="11028" max="11029" width="16.28515625" style="240" customWidth="1"/>
    <col min="11030" max="11038" width="0" style="240" hidden="1" customWidth="1"/>
    <col min="11039" max="11039" width="16.140625" style="240" customWidth="1"/>
    <col min="11040" max="11041" width="0" style="240" hidden="1" customWidth="1"/>
    <col min="11042" max="11042" width="16.28515625" style="240" customWidth="1"/>
    <col min="11043" max="11043" width="3" style="240" customWidth="1"/>
    <col min="11044" max="11044" width="1.7109375" style="240" customWidth="1"/>
    <col min="11045" max="11046" width="0" style="240" hidden="1" customWidth="1"/>
    <col min="11047" max="11047" width="9.85546875" style="240" customWidth="1"/>
    <col min="11048" max="11048" width="0" style="240" hidden="1" customWidth="1"/>
    <col min="11049" max="11049" width="12.5703125" style="240" bestFit="1" customWidth="1"/>
    <col min="11050" max="11050" width="0" style="240" hidden="1" customWidth="1"/>
    <col min="11051" max="11264" width="8.85546875" style="240"/>
    <col min="11265" max="11265" width="1.7109375" style="240" customWidth="1"/>
    <col min="11266" max="11266" width="3" style="240" customWidth="1"/>
    <col min="11267" max="11268" width="1.85546875" style="240" customWidth="1"/>
    <col min="11269" max="11269" width="55.85546875" style="240" customWidth="1"/>
    <col min="11270" max="11270" width="4.7109375" style="240" customWidth="1"/>
    <col min="11271" max="11271" width="16.28515625" style="240" customWidth="1"/>
    <col min="11272" max="11280" width="0" style="240" hidden="1" customWidth="1"/>
    <col min="11281" max="11281" width="15.7109375" style="240" customWidth="1"/>
    <col min="11282" max="11283" width="0" style="240" hidden="1" customWidth="1"/>
    <col min="11284" max="11285" width="16.28515625" style="240" customWidth="1"/>
    <col min="11286" max="11294" width="0" style="240" hidden="1" customWidth="1"/>
    <col min="11295" max="11295" width="16.140625" style="240" customWidth="1"/>
    <col min="11296" max="11297" width="0" style="240" hidden="1" customWidth="1"/>
    <col min="11298" max="11298" width="16.28515625" style="240" customWidth="1"/>
    <col min="11299" max="11299" width="3" style="240" customWidth="1"/>
    <col min="11300" max="11300" width="1.7109375" style="240" customWidth="1"/>
    <col min="11301" max="11302" width="0" style="240" hidden="1" customWidth="1"/>
    <col min="11303" max="11303" width="9.85546875" style="240" customWidth="1"/>
    <col min="11304" max="11304" width="0" style="240" hidden="1" customWidth="1"/>
    <col min="11305" max="11305" width="12.5703125" style="240" bestFit="1" customWidth="1"/>
    <col min="11306" max="11306" width="0" style="240" hidden="1" customWidth="1"/>
    <col min="11307" max="11520" width="8.85546875" style="240"/>
    <col min="11521" max="11521" width="1.7109375" style="240" customWidth="1"/>
    <col min="11522" max="11522" width="3" style="240" customWidth="1"/>
    <col min="11523" max="11524" width="1.85546875" style="240" customWidth="1"/>
    <col min="11525" max="11525" width="55.85546875" style="240" customWidth="1"/>
    <col min="11526" max="11526" width="4.7109375" style="240" customWidth="1"/>
    <col min="11527" max="11527" width="16.28515625" style="240" customWidth="1"/>
    <col min="11528" max="11536" width="0" style="240" hidden="1" customWidth="1"/>
    <col min="11537" max="11537" width="15.7109375" style="240" customWidth="1"/>
    <col min="11538" max="11539" width="0" style="240" hidden="1" customWidth="1"/>
    <col min="11540" max="11541" width="16.28515625" style="240" customWidth="1"/>
    <col min="11542" max="11550" width="0" style="240" hidden="1" customWidth="1"/>
    <col min="11551" max="11551" width="16.140625" style="240" customWidth="1"/>
    <col min="11552" max="11553" width="0" style="240" hidden="1" customWidth="1"/>
    <col min="11554" max="11554" width="16.28515625" style="240" customWidth="1"/>
    <col min="11555" max="11555" width="3" style="240" customWidth="1"/>
    <col min="11556" max="11556" width="1.7109375" style="240" customWidth="1"/>
    <col min="11557" max="11558" width="0" style="240" hidden="1" customWidth="1"/>
    <col min="11559" max="11559" width="9.85546875" style="240" customWidth="1"/>
    <col min="11560" max="11560" width="0" style="240" hidden="1" customWidth="1"/>
    <col min="11561" max="11561" width="12.5703125" style="240" bestFit="1" customWidth="1"/>
    <col min="11562" max="11562" width="0" style="240" hidden="1" customWidth="1"/>
    <col min="11563" max="11776" width="8.85546875" style="240"/>
    <col min="11777" max="11777" width="1.7109375" style="240" customWidth="1"/>
    <col min="11778" max="11778" width="3" style="240" customWidth="1"/>
    <col min="11779" max="11780" width="1.85546875" style="240" customWidth="1"/>
    <col min="11781" max="11781" width="55.85546875" style="240" customWidth="1"/>
    <col min="11782" max="11782" width="4.7109375" style="240" customWidth="1"/>
    <col min="11783" max="11783" width="16.28515625" style="240" customWidth="1"/>
    <col min="11784" max="11792" width="0" style="240" hidden="1" customWidth="1"/>
    <col min="11793" max="11793" width="15.7109375" style="240" customWidth="1"/>
    <col min="11794" max="11795" width="0" style="240" hidden="1" customWidth="1"/>
    <col min="11796" max="11797" width="16.28515625" style="240" customWidth="1"/>
    <col min="11798" max="11806" width="0" style="240" hidden="1" customWidth="1"/>
    <col min="11807" max="11807" width="16.140625" style="240" customWidth="1"/>
    <col min="11808" max="11809" width="0" style="240" hidden="1" customWidth="1"/>
    <col min="11810" max="11810" width="16.28515625" style="240" customWidth="1"/>
    <col min="11811" max="11811" width="3" style="240" customWidth="1"/>
    <col min="11812" max="11812" width="1.7109375" style="240" customWidth="1"/>
    <col min="11813" max="11814" width="0" style="240" hidden="1" customWidth="1"/>
    <col min="11815" max="11815" width="9.85546875" style="240" customWidth="1"/>
    <col min="11816" max="11816" width="0" style="240" hidden="1" customWidth="1"/>
    <col min="11817" max="11817" width="12.5703125" style="240" bestFit="1" customWidth="1"/>
    <col min="11818" max="11818" width="0" style="240" hidden="1" customWidth="1"/>
    <col min="11819" max="12032" width="8.85546875" style="240"/>
    <col min="12033" max="12033" width="1.7109375" style="240" customWidth="1"/>
    <col min="12034" max="12034" width="3" style="240" customWidth="1"/>
    <col min="12035" max="12036" width="1.85546875" style="240" customWidth="1"/>
    <col min="12037" max="12037" width="55.85546875" style="240" customWidth="1"/>
    <col min="12038" max="12038" width="4.7109375" style="240" customWidth="1"/>
    <col min="12039" max="12039" width="16.28515625" style="240" customWidth="1"/>
    <col min="12040" max="12048" width="0" style="240" hidden="1" customWidth="1"/>
    <col min="12049" max="12049" width="15.7109375" style="240" customWidth="1"/>
    <col min="12050" max="12051" width="0" style="240" hidden="1" customWidth="1"/>
    <col min="12052" max="12053" width="16.28515625" style="240" customWidth="1"/>
    <col min="12054" max="12062" width="0" style="240" hidden="1" customWidth="1"/>
    <col min="12063" max="12063" width="16.140625" style="240" customWidth="1"/>
    <col min="12064" max="12065" width="0" style="240" hidden="1" customWidth="1"/>
    <col min="12066" max="12066" width="16.28515625" style="240" customWidth="1"/>
    <col min="12067" max="12067" width="3" style="240" customWidth="1"/>
    <col min="12068" max="12068" width="1.7109375" style="240" customWidth="1"/>
    <col min="12069" max="12070" width="0" style="240" hidden="1" customWidth="1"/>
    <col min="12071" max="12071" width="9.85546875" style="240" customWidth="1"/>
    <col min="12072" max="12072" width="0" style="240" hidden="1" customWidth="1"/>
    <col min="12073" max="12073" width="12.5703125" style="240" bestFit="1" customWidth="1"/>
    <col min="12074" max="12074" width="0" style="240" hidden="1" customWidth="1"/>
    <col min="12075" max="12288" width="8.85546875" style="240"/>
    <col min="12289" max="12289" width="1.7109375" style="240" customWidth="1"/>
    <col min="12290" max="12290" width="3" style="240" customWidth="1"/>
    <col min="12291" max="12292" width="1.85546875" style="240" customWidth="1"/>
    <col min="12293" max="12293" width="55.85546875" style="240" customWidth="1"/>
    <col min="12294" max="12294" width="4.7109375" style="240" customWidth="1"/>
    <col min="12295" max="12295" width="16.28515625" style="240" customWidth="1"/>
    <col min="12296" max="12304" width="0" style="240" hidden="1" customWidth="1"/>
    <col min="12305" max="12305" width="15.7109375" style="240" customWidth="1"/>
    <col min="12306" max="12307" width="0" style="240" hidden="1" customWidth="1"/>
    <col min="12308" max="12309" width="16.28515625" style="240" customWidth="1"/>
    <col min="12310" max="12318" width="0" style="240" hidden="1" customWidth="1"/>
    <col min="12319" max="12319" width="16.140625" style="240" customWidth="1"/>
    <col min="12320" max="12321" width="0" style="240" hidden="1" customWidth="1"/>
    <col min="12322" max="12322" width="16.28515625" style="240" customWidth="1"/>
    <col min="12323" max="12323" width="3" style="240" customWidth="1"/>
    <col min="12324" max="12324" width="1.7109375" style="240" customWidth="1"/>
    <col min="12325" max="12326" width="0" style="240" hidden="1" customWidth="1"/>
    <col min="12327" max="12327" width="9.85546875" style="240" customWidth="1"/>
    <col min="12328" max="12328" width="0" style="240" hidden="1" customWidth="1"/>
    <col min="12329" max="12329" width="12.5703125" style="240" bestFit="1" customWidth="1"/>
    <col min="12330" max="12330" width="0" style="240" hidden="1" customWidth="1"/>
    <col min="12331" max="12544" width="8.85546875" style="240"/>
    <col min="12545" max="12545" width="1.7109375" style="240" customWidth="1"/>
    <col min="12546" max="12546" width="3" style="240" customWidth="1"/>
    <col min="12547" max="12548" width="1.85546875" style="240" customWidth="1"/>
    <col min="12549" max="12549" width="55.85546875" style="240" customWidth="1"/>
    <col min="12550" max="12550" width="4.7109375" style="240" customWidth="1"/>
    <col min="12551" max="12551" width="16.28515625" style="240" customWidth="1"/>
    <col min="12552" max="12560" width="0" style="240" hidden="1" customWidth="1"/>
    <col min="12561" max="12561" width="15.7109375" style="240" customWidth="1"/>
    <col min="12562" max="12563" width="0" style="240" hidden="1" customWidth="1"/>
    <col min="12564" max="12565" width="16.28515625" style="240" customWidth="1"/>
    <col min="12566" max="12574" width="0" style="240" hidden="1" customWidth="1"/>
    <col min="12575" max="12575" width="16.140625" style="240" customWidth="1"/>
    <col min="12576" max="12577" width="0" style="240" hidden="1" customWidth="1"/>
    <col min="12578" max="12578" width="16.28515625" style="240" customWidth="1"/>
    <col min="12579" max="12579" width="3" style="240" customWidth="1"/>
    <col min="12580" max="12580" width="1.7109375" style="240" customWidth="1"/>
    <col min="12581" max="12582" width="0" style="240" hidden="1" customWidth="1"/>
    <col min="12583" max="12583" width="9.85546875" style="240" customWidth="1"/>
    <col min="12584" max="12584" width="0" style="240" hidden="1" customWidth="1"/>
    <col min="12585" max="12585" width="12.5703125" style="240" bestFit="1" customWidth="1"/>
    <col min="12586" max="12586" width="0" style="240" hidden="1" customWidth="1"/>
    <col min="12587" max="12800" width="8.85546875" style="240"/>
    <col min="12801" max="12801" width="1.7109375" style="240" customWidth="1"/>
    <col min="12802" max="12802" width="3" style="240" customWidth="1"/>
    <col min="12803" max="12804" width="1.85546875" style="240" customWidth="1"/>
    <col min="12805" max="12805" width="55.85546875" style="240" customWidth="1"/>
    <col min="12806" max="12806" width="4.7109375" style="240" customWidth="1"/>
    <col min="12807" max="12807" width="16.28515625" style="240" customWidth="1"/>
    <col min="12808" max="12816" width="0" style="240" hidden="1" customWidth="1"/>
    <col min="12817" max="12817" width="15.7109375" style="240" customWidth="1"/>
    <col min="12818" max="12819" width="0" style="240" hidden="1" customWidth="1"/>
    <col min="12820" max="12821" width="16.28515625" style="240" customWidth="1"/>
    <col min="12822" max="12830" width="0" style="240" hidden="1" customWidth="1"/>
    <col min="12831" max="12831" width="16.140625" style="240" customWidth="1"/>
    <col min="12832" max="12833" width="0" style="240" hidden="1" customWidth="1"/>
    <col min="12834" max="12834" width="16.28515625" style="240" customWidth="1"/>
    <col min="12835" max="12835" width="3" style="240" customWidth="1"/>
    <col min="12836" max="12836" width="1.7109375" style="240" customWidth="1"/>
    <col min="12837" max="12838" width="0" style="240" hidden="1" customWidth="1"/>
    <col min="12839" max="12839" width="9.85546875" style="240" customWidth="1"/>
    <col min="12840" max="12840" width="0" style="240" hidden="1" customWidth="1"/>
    <col min="12841" max="12841" width="12.5703125" style="240" bestFit="1" customWidth="1"/>
    <col min="12842" max="12842" width="0" style="240" hidden="1" customWidth="1"/>
    <col min="12843" max="13056" width="8.85546875" style="240"/>
    <col min="13057" max="13057" width="1.7109375" style="240" customWidth="1"/>
    <col min="13058" max="13058" width="3" style="240" customWidth="1"/>
    <col min="13059" max="13060" width="1.85546875" style="240" customWidth="1"/>
    <col min="13061" max="13061" width="55.85546875" style="240" customWidth="1"/>
    <col min="13062" max="13062" width="4.7109375" style="240" customWidth="1"/>
    <col min="13063" max="13063" width="16.28515625" style="240" customWidth="1"/>
    <col min="13064" max="13072" width="0" style="240" hidden="1" customWidth="1"/>
    <col min="13073" max="13073" width="15.7109375" style="240" customWidth="1"/>
    <col min="13074" max="13075" width="0" style="240" hidden="1" customWidth="1"/>
    <col min="13076" max="13077" width="16.28515625" style="240" customWidth="1"/>
    <col min="13078" max="13086" width="0" style="240" hidden="1" customWidth="1"/>
    <col min="13087" max="13087" width="16.140625" style="240" customWidth="1"/>
    <col min="13088" max="13089" width="0" style="240" hidden="1" customWidth="1"/>
    <col min="13090" max="13090" width="16.28515625" style="240" customWidth="1"/>
    <col min="13091" max="13091" width="3" style="240" customWidth="1"/>
    <col min="13092" max="13092" width="1.7109375" style="240" customWidth="1"/>
    <col min="13093" max="13094" width="0" style="240" hidden="1" customWidth="1"/>
    <col min="13095" max="13095" width="9.85546875" style="240" customWidth="1"/>
    <col min="13096" max="13096" width="0" style="240" hidden="1" customWidth="1"/>
    <col min="13097" max="13097" width="12.5703125" style="240" bestFit="1" customWidth="1"/>
    <col min="13098" max="13098" width="0" style="240" hidden="1" customWidth="1"/>
    <col min="13099" max="13312" width="8.85546875" style="240"/>
    <col min="13313" max="13313" width="1.7109375" style="240" customWidth="1"/>
    <col min="13314" max="13314" width="3" style="240" customWidth="1"/>
    <col min="13315" max="13316" width="1.85546875" style="240" customWidth="1"/>
    <col min="13317" max="13317" width="55.85546875" style="240" customWidth="1"/>
    <col min="13318" max="13318" width="4.7109375" style="240" customWidth="1"/>
    <col min="13319" max="13319" width="16.28515625" style="240" customWidth="1"/>
    <col min="13320" max="13328" width="0" style="240" hidden="1" customWidth="1"/>
    <col min="13329" max="13329" width="15.7109375" style="240" customWidth="1"/>
    <col min="13330" max="13331" width="0" style="240" hidden="1" customWidth="1"/>
    <col min="13332" max="13333" width="16.28515625" style="240" customWidth="1"/>
    <col min="13334" max="13342" width="0" style="240" hidden="1" customWidth="1"/>
    <col min="13343" max="13343" width="16.140625" style="240" customWidth="1"/>
    <col min="13344" max="13345" width="0" style="240" hidden="1" customWidth="1"/>
    <col min="13346" max="13346" width="16.28515625" style="240" customWidth="1"/>
    <col min="13347" max="13347" width="3" style="240" customWidth="1"/>
    <col min="13348" max="13348" width="1.7109375" style="240" customWidth="1"/>
    <col min="13349" max="13350" width="0" style="240" hidden="1" customWidth="1"/>
    <col min="13351" max="13351" width="9.85546875" style="240" customWidth="1"/>
    <col min="13352" max="13352" width="0" style="240" hidden="1" customWidth="1"/>
    <col min="13353" max="13353" width="12.5703125" style="240" bestFit="1" customWidth="1"/>
    <col min="13354" max="13354" width="0" style="240" hidden="1" customWidth="1"/>
    <col min="13355" max="13568" width="8.85546875" style="240"/>
    <col min="13569" max="13569" width="1.7109375" style="240" customWidth="1"/>
    <col min="13570" max="13570" width="3" style="240" customWidth="1"/>
    <col min="13571" max="13572" width="1.85546875" style="240" customWidth="1"/>
    <col min="13573" max="13573" width="55.85546875" style="240" customWidth="1"/>
    <col min="13574" max="13574" width="4.7109375" style="240" customWidth="1"/>
    <col min="13575" max="13575" width="16.28515625" style="240" customWidth="1"/>
    <col min="13576" max="13584" width="0" style="240" hidden="1" customWidth="1"/>
    <col min="13585" max="13585" width="15.7109375" style="240" customWidth="1"/>
    <col min="13586" max="13587" width="0" style="240" hidden="1" customWidth="1"/>
    <col min="13588" max="13589" width="16.28515625" style="240" customWidth="1"/>
    <col min="13590" max="13598" width="0" style="240" hidden="1" customWidth="1"/>
    <col min="13599" max="13599" width="16.140625" style="240" customWidth="1"/>
    <col min="13600" max="13601" width="0" style="240" hidden="1" customWidth="1"/>
    <col min="13602" max="13602" width="16.28515625" style="240" customWidth="1"/>
    <col min="13603" max="13603" width="3" style="240" customWidth="1"/>
    <col min="13604" max="13604" width="1.7109375" style="240" customWidth="1"/>
    <col min="13605" max="13606" width="0" style="240" hidden="1" customWidth="1"/>
    <col min="13607" max="13607" width="9.85546875" style="240" customWidth="1"/>
    <col min="13608" max="13608" width="0" style="240" hidden="1" customWidth="1"/>
    <col min="13609" max="13609" width="12.5703125" style="240" bestFit="1" customWidth="1"/>
    <col min="13610" max="13610" width="0" style="240" hidden="1" customWidth="1"/>
    <col min="13611" max="13824" width="8.85546875" style="240"/>
    <col min="13825" max="13825" width="1.7109375" style="240" customWidth="1"/>
    <col min="13826" max="13826" width="3" style="240" customWidth="1"/>
    <col min="13827" max="13828" width="1.85546875" style="240" customWidth="1"/>
    <col min="13829" max="13829" width="55.85546875" style="240" customWidth="1"/>
    <col min="13830" max="13830" width="4.7109375" style="240" customWidth="1"/>
    <col min="13831" max="13831" width="16.28515625" style="240" customWidth="1"/>
    <col min="13832" max="13840" width="0" style="240" hidden="1" customWidth="1"/>
    <col min="13841" max="13841" width="15.7109375" style="240" customWidth="1"/>
    <col min="13842" max="13843" width="0" style="240" hidden="1" customWidth="1"/>
    <col min="13844" max="13845" width="16.28515625" style="240" customWidth="1"/>
    <col min="13846" max="13854" width="0" style="240" hidden="1" customWidth="1"/>
    <col min="13855" max="13855" width="16.140625" style="240" customWidth="1"/>
    <col min="13856" max="13857" width="0" style="240" hidden="1" customWidth="1"/>
    <col min="13858" max="13858" width="16.28515625" style="240" customWidth="1"/>
    <col min="13859" max="13859" width="3" style="240" customWidth="1"/>
    <col min="13860" max="13860" width="1.7109375" style="240" customWidth="1"/>
    <col min="13861" max="13862" width="0" style="240" hidden="1" customWidth="1"/>
    <col min="13863" max="13863" width="9.85546875" style="240" customWidth="1"/>
    <col min="13864" max="13864" width="0" style="240" hidden="1" customWidth="1"/>
    <col min="13865" max="13865" width="12.5703125" style="240" bestFit="1" customWidth="1"/>
    <col min="13866" max="13866" width="0" style="240" hidden="1" customWidth="1"/>
    <col min="13867" max="14080" width="8.85546875" style="240"/>
    <col min="14081" max="14081" width="1.7109375" style="240" customWidth="1"/>
    <col min="14082" max="14082" width="3" style="240" customWidth="1"/>
    <col min="14083" max="14084" width="1.85546875" style="240" customWidth="1"/>
    <col min="14085" max="14085" width="55.85546875" style="240" customWidth="1"/>
    <col min="14086" max="14086" width="4.7109375" style="240" customWidth="1"/>
    <col min="14087" max="14087" width="16.28515625" style="240" customWidth="1"/>
    <col min="14088" max="14096" width="0" style="240" hidden="1" customWidth="1"/>
    <col min="14097" max="14097" width="15.7109375" style="240" customWidth="1"/>
    <col min="14098" max="14099" width="0" style="240" hidden="1" customWidth="1"/>
    <col min="14100" max="14101" width="16.28515625" style="240" customWidth="1"/>
    <col min="14102" max="14110" width="0" style="240" hidden="1" customWidth="1"/>
    <col min="14111" max="14111" width="16.140625" style="240" customWidth="1"/>
    <col min="14112" max="14113" width="0" style="240" hidden="1" customWidth="1"/>
    <col min="14114" max="14114" width="16.28515625" style="240" customWidth="1"/>
    <col min="14115" max="14115" width="3" style="240" customWidth="1"/>
    <col min="14116" max="14116" width="1.7109375" style="240" customWidth="1"/>
    <col min="14117" max="14118" width="0" style="240" hidden="1" customWidth="1"/>
    <col min="14119" max="14119" width="9.85546875" style="240" customWidth="1"/>
    <col min="14120" max="14120" width="0" style="240" hidden="1" customWidth="1"/>
    <col min="14121" max="14121" width="12.5703125" style="240" bestFit="1" customWidth="1"/>
    <col min="14122" max="14122" width="0" style="240" hidden="1" customWidth="1"/>
    <col min="14123" max="14336" width="8.85546875" style="240"/>
    <col min="14337" max="14337" width="1.7109375" style="240" customWidth="1"/>
    <col min="14338" max="14338" width="3" style="240" customWidth="1"/>
    <col min="14339" max="14340" width="1.85546875" style="240" customWidth="1"/>
    <col min="14341" max="14341" width="55.85546875" style="240" customWidth="1"/>
    <col min="14342" max="14342" width="4.7109375" style="240" customWidth="1"/>
    <col min="14343" max="14343" width="16.28515625" style="240" customWidth="1"/>
    <col min="14344" max="14352" width="0" style="240" hidden="1" customWidth="1"/>
    <col min="14353" max="14353" width="15.7109375" style="240" customWidth="1"/>
    <col min="14354" max="14355" width="0" style="240" hidden="1" customWidth="1"/>
    <col min="14356" max="14357" width="16.28515625" style="240" customWidth="1"/>
    <col min="14358" max="14366" width="0" style="240" hidden="1" customWidth="1"/>
    <col min="14367" max="14367" width="16.140625" style="240" customWidth="1"/>
    <col min="14368" max="14369" width="0" style="240" hidden="1" customWidth="1"/>
    <col min="14370" max="14370" width="16.28515625" style="240" customWidth="1"/>
    <col min="14371" max="14371" width="3" style="240" customWidth="1"/>
    <col min="14372" max="14372" width="1.7109375" style="240" customWidth="1"/>
    <col min="14373" max="14374" width="0" style="240" hidden="1" customWidth="1"/>
    <col min="14375" max="14375" width="9.85546875" style="240" customWidth="1"/>
    <col min="14376" max="14376" width="0" style="240" hidden="1" customWidth="1"/>
    <col min="14377" max="14377" width="12.5703125" style="240" bestFit="1" customWidth="1"/>
    <col min="14378" max="14378" width="0" style="240" hidden="1" customWidth="1"/>
    <col min="14379" max="14592" width="8.85546875" style="240"/>
    <col min="14593" max="14593" width="1.7109375" style="240" customWidth="1"/>
    <col min="14594" max="14594" width="3" style="240" customWidth="1"/>
    <col min="14595" max="14596" width="1.85546875" style="240" customWidth="1"/>
    <col min="14597" max="14597" width="55.85546875" style="240" customWidth="1"/>
    <col min="14598" max="14598" width="4.7109375" style="240" customWidth="1"/>
    <col min="14599" max="14599" width="16.28515625" style="240" customWidth="1"/>
    <col min="14600" max="14608" width="0" style="240" hidden="1" customWidth="1"/>
    <col min="14609" max="14609" width="15.7109375" style="240" customWidth="1"/>
    <col min="14610" max="14611" width="0" style="240" hidden="1" customWidth="1"/>
    <col min="14612" max="14613" width="16.28515625" style="240" customWidth="1"/>
    <col min="14614" max="14622" width="0" style="240" hidden="1" customWidth="1"/>
    <col min="14623" max="14623" width="16.140625" style="240" customWidth="1"/>
    <col min="14624" max="14625" width="0" style="240" hidden="1" customWidth="1"/>
    <col min="14626" max="14626" width="16.28515625" style="240" customWidth="1"/>
    <col min="14627" max="14627" width="3" style="240" customWidth="1"/>
    <col min="14628" max="14628" width="1.7109375" style="240" customWidth="1"/>
    <col min="14629" max="14630" width="0" style="240" hidden="1" customWidth="1"/>
    <col min="14631" max="14631" width="9.85546875" style="240" customWidth="1"/>
    <col min="14632" max="14632" width="0" style="240" hidden="1" customWidth="1"/>
    <col min="14633" max="14633" width="12.5703125" style="240" bestFit="1" customWidth="1"/>
    <col min="14634" max="14634" width="0" style="240" hidden="1" customWidth="1"/>
    <col min="14635" max="14848" width="8.85546875" style="240"/>
    <col min="14849" max="14849" width="1.7109375" style="240" customWidth="1"/>
    <col min="14850" max="14850" width="3" style="240" customWidth="1"/>
    <col min="14851" max="14852" width="1.85546875" style="240" customWidth="1"/>
    <col min="14853" max="14853" width="55.85546875" style="240" customWidth="1"/>
    <col min="14854" max="14854" width="4.7109375" style="240" customWidth="1"/>
    <col min="14855" max="14855" width="16.28515625" style="240" customWidth="1"/>
    <col min="14856" max="14864" width="0" style="240" hidden="1" customWidth="1"/>
    <col min="14865" max="14865" width="15.7109375" style="240" customWidth="1"/>
    <col min="14866" max="14867" width="0" style="240" hidden="1" customWidth="1"/>
    <col min="14868" max="14869" width="16.28515625" style="240" customWidth="1"/>
    <col min="14870" max="14878" width="0" style="240" hidden="1" customWidth="1"/>
    <col min="14879" max="14879" width="16.140625" style="240" customWidth="1"/>
    <col min="14880" max="14881" width="0" style="240" hidden="1" customWidth="1"/>
    <col min="14882" max="14882" width="16.28515625" style="240" customWidth="1"/>
    <col min="14883" max="14883" width="3" style="240" customWidth="1"/>
    <col min="14884" max="14884" width="1.7109375" style="240" customWidth="1"/>
    <col min="14885" max="14886" width="0" style="240" hidden="1" customWidth="1"/>
    <col min="14887" max="14887" width="9.85546875" style="240" customWidth="1"/>
    <col min="14888" max="14888" width="0" style="240" hidden="1" customWidth="1"/>
    <col min="14889" max="14889" width="12.5703125" style="240" bestFit="1" customWidth="1"/>
    <col min="14890" max="14890" width="0" style="240" hidden="1" customWidth="1"/>
    <col min="14891" max="15104" width="8.85546875" style="240"/>
    <col min="15105" max="15105" width="1.7109375" style="240" customWidth="1"/>
    <col min="15106" max="15106" width="3" style="240" customWidth="1"/>
    <col min="15107" max="15108" width="1.85546875" style="240" customWidth="1"/>
    <col min="15109" max="15109" width="55.85546875" style="240" customWidth="1"/>
    <col min="15110" max="15110" width="4.7109375" style="240" customWidth="1"/>
    <col min="15111" max="15111" width="16.28515625" style="240" customWidth="1"/>
    <col min="15112" max="15120" width="0" style="240" hidden="1" customWidth="1"/>
    <col min="15121" max="15121" width="15.7109375" style="240" customWidth="1"/>
    <col min="15122" max="15123" width="0" style="240" hidden="1" customWidth="1"/>
    <col min="15124" max="15125" width="16.28515625" style="240" customWidth="1"/>
    <col min="15126" max="15134" width="0" style="240" hidden="1" customWidth="1"/>
    <col min="15135" max="15135" width="16.140625" style="240" customWidth="1"/>
    <col min="15136" max="15137" width="0" style="240" hidden="1" customWidth="1"/>
    <col min="15138" max="15138" width="16.28515625" style="240" customWidth="1"/>
    <col min="15139" max="15139" width="3" style="240" customWidth="1"/>
    <col min="15140" max="15140" width="1.7109375" style="240" customWidth="1"/>
    <col min="15141" max="15142" width="0" style="240" hidden="1" customWidth="1"/>
    <col min="15143" max="15143" width="9.85546875" style="240" customWidth="1"/>
    <col min="15144" max="15144" width="0" style="240" hidden="1" customWidth="1"/>
    <col min="15145" max="15145" width="12.5703125" style="240" bestFit="1" customWidth="1"/>
    <col min="15146" max="15146" width="0" style="240" hidden="1" customWidth="1"/>
    <col min="15147" max="15360" width="8.85546875" style="240"/>
    <col min="15361" max="15361" width="1.7109375" style="240" customWidth="1"/>
    <col min="15362" max="15362" width="3" style="240" customWidth="1"/>
    <col min="15363" max="15364" width="1.85546875" style="240" customWidth="1"/>
    <col min="15365" max="15365" width="55.85546875" style="240" customWidth="1"/>
    <col min="15366" max="15366" width="4.7109375" style="240" customWidth="1"/>
    <col min="15367" max="15367" width="16.28515625" style="240" customWidth="1"/>
    <col min="15368" max="15376" width="0" style="240" hidden="1" customWidth="1"/>
    <col min="15377" max="15377" width="15.7109375" style="240" customWidth="1"/>
    <col min="15378" max="15379" width="0" style="240" hidden="1" customWidth="1"/>
    <col min="15380" max="15381" width="16.28515625" style="240" customWidth="1"/>
    <col min="15382" max="15390" width="0" style="240" hidden="1" customWidth="1"/>
    <col min="15391" max="15391" width="16.140625" style="240" customWidth="1"/>
    <col min="15392" max="15393" width="0" style="240" hidden="1" customWidth="1"/>
    <col min="15394" max="15394" width="16.28515625" style="240" customWidth="1"/>
    <col min="15395" max="15395" width="3" style="240" customWidth="1"/>
    <col min="15396" max="15396" width="1.7109375" style="240" customWidth="1"/>
    <col min="15397" max="15398" width="0" style="240" hidden="1" customWidth="1"/>
    <col min="15399" max="15399" width="9.85546875" style="240" customWidth="1"/>
    <col min="15400" max="15400" width="0" style="240" hidden="1" customWidth="1"/>
    <col min="15401" max="15401" width="12.5703125" style="240" bestFit="1" customWidth="1"/>
    <col min="15402" max="15402" width="0" style="240" hidden="1" customWidth="1"/>
    <col min="15403" max="15616" width="8.85546875" style="240"/>
    <col min="15617" max="15617" width="1.7109375" style="240" customWidth="1"/>
    <col min="15618" max="15618" width="3" style="240" customWidth="1"/>
    <col min="15619" max="15620" width="1.85546875" style="240" customWidth="1"/>
    <col min="15621" max="15621" width="55.85546875" style="240" customWidth="1"/>
    <col min="15622" max="15622" width="4.7109375" style="240" customWidth="1"/>
    <col min="15623" max="15623" width="16.28515625" style="240" customWidth="1"/>
    <col min="15624" max="15632" width="0" style="240" hidden="1" customWidth="1"/>
    <col min="15633" max="15633" width="15.7109375" style="240" customWidth="1"/>
    <col min="15634" max="15635" width="0" style="240" hidden="1" customWidth="1"/>
    <col min="15636" max="15637" width="16.28515625" style="240" customWidth="1"/>
    <col min="15638" max="15646" width="0" style="240" hidden="1" customWidth="1"/>
    <col min="15647" max="15647" width="16.140625" style="240" customWidth="1"/>
    <col min="15648" max="15649" width="0" style="240" hidden="1" customWidth="1"/>
    <col min="15650" max="15650" width="16.28515625" style="240" customWidth="1"/>
    <col min="15651" max="15651" width="3" style="240" customWidth="1"/>
    <col min="15652" max="15652" width="1.7109375" style="240" customWidth="1"/>
    <col min="15653" max="15654" width="0" style="240" hidden="1" customWidth="1"/>
    <col min="15655" max="15655" width="9.85546875" style="240" customWidth="1"/>
    <col min="15656" max="15656" width="0" style="240" hidden="1" customWidth="1"/>
    <col min="15657" max="15657" width="12.5703125" style="240" bestFit="1" customWidth="1"/>
    <col min="15658" max="15658" width="0" style="240" hidden="1" customWidth="1"/>
    <col min="15659" max="15872" width="8.85546875" style="240"/>
    <col min="15873" max="15873" width="1.7109375" style="240" customWidth="1"/>
    <col min="15874" max="15874" width="3" style="240" customWidth="1"/>
    <col min="15875" max="15876" width="1.85546875" style="240" customWidth="1"/>
    <col min="15877" max="15877" width="55.85546875" style="240" customWidth="1"/>
    <col min="15878" max="15878" width="4.7109375" style="240" customWidth="1"/>
    <col min="15879" max="15879" width="16.28515625" style="240" customWidth="1"/>
    <col min="15880" max="15888" width="0" style="240" hidden="1" customWidth="1"/>
    <col min="15889" max="15889" width="15.7109375" style="240" customWidth="1"/>
    <col min="15890" max="15891" width="0" style="240" hidden="1" customWidth="1"/>
    <col min="15892" max="15893" width="16.28515625" style="240" customWidth="1"/>
    <col min="15894" max="15902" width="0" style="240" hidden="1" customWidth="1"/>
    <col min="15903" max="15903" width="16.140625" style="240" customWidth="1"/>
    <col min="15904" max="15905" width="0" style="240" hidden="1" customWidth="1"/>
    <col min="15906" max="15906" width="16.28515625" style="240" customWidth="1"/>
    <col min="15907" max="15907" width="3" style="240" customWidth="1"/>
    <col min="15908" max="15908" width="1.7109375" style="240" customWidth="1"/>
    <col min="15909" max="15910" width="0" style="240" hidden="1" customWidth="1"/>
    <col min="15911" max="15911" width="9.85546875" style="240" customWidth="1"/>
    <col min="15912" max="15912" width="0" style="240" hidden="1" customWidth="1"/>
    <col min="15913" max="15913" width="12.5703125" style="240" bestFit="1" customWidth="1"/>
    <col min="15914" max="15914" width="0" style="240" hidden="1" customWidth="1"/>
    <col min="15915" max="16128" width="8.85546875" style="240"/>
    <col min="16129" max="16129" width="1.7109375" style="240" customWidth="1"/>
    <col min="16130" max="16130" width="3" style="240" customWidth="1"/>
    <col min="16131" max="16132" width="1.85546875" style="240" customWidth="1"/>
    <col min="16133" max="16133" width="55.85546875" style="240" customWidth="1"/>
    <col min="16134" max="16134" width="4.7109375" style="240" customWidth="1"/>
    <col min="16135" max="16135" width="16.28515625" style="240" customWidth="1"/>
    <col min="16136" max="16144" width="0" style="240" hidden="1" customWidth="1"/>
    <col min="16145" max="16145" width="15.7109375" style="240" customWidth="1"/>
    <col min="16146" max="16147" width="0" style="240" hidden="1" customWidth="1"/>
    <col min="16148" max="16149" width="16.28515625" style="240" customWidth="1"/>
    <col min="16150" max="16158" width="0" style="240" hidden="1" customWidth="1"/>
    <col min="16159" max="16159" width="16.140625" style="240" customWidth="1"/>
    <col min="16160" max="16161" width="0" style="240" hidden="1" customWidth="1"/>
    <col min="16162" max="16162" width="16.28515625" style="240" customWidth="1"/>
    <col min="16163" max="16163" width="3" style="240" customWidth="1"/>
    <col min="16164" max="16164" width="1.7109375" style="240" customWidth="1"/>
    <col min="16165" max="16166" width="0" style="240" hidden="1" customWidth="1"/>
    <col min="16167" max="16167" width="9.85546875" style="240" customWidth="1"/>
    <col min="16168" max="16168" width="0" style="240" hidden="1" customWidth="1"/>
    <col min="16169" max="16169" width="12.5703125" style="240" bestFit="1" customWidth="1"/>
    <col min="16170" max="16170" width="0" style="240" hidden="1" customWidth="1"/>
    <col min="16171" max="16384" width="8.85546875" style="240"/>
  </cols>
  <sheetData>
    <row r="1" spans="2:41" x14ac:dyDescent="0.2">
      <c r="E1" s="1"/>
      <c r="F1" s="49"/>
      <c r="N1" s="550"/>
      <c r="O1" s="550"/>
      <c r="Q1" s="550"/>
      <c r="R1" s="551"/>
      <c r="T1" s="552"/>
    </row>
    <row r="2" spans="2:41" x14ac:dyDescent="0.2">
      <c r="K2" s="550"/>
      <c r="L2" s="551"/>
      <c r="M2" s="551"/>
      <c r="N2" s="550"/>
      <c r="O2" s="550"/>
      <c r="Q2" s="550"/>
      <c r="T2" s="554"/>
    </row>
    <row r="3" spans="2:41" x14ac:dyDescent="0.2">
      <c r="K3" s="290"/>
      <c r="L3" s="551"/>
      <c r="M3" s="555"/>
      <c r="N3" s="550"/>
      <c r="O3" s="551"/>
      <c r="P3" s="551"/>
      <c r="Q3" s="551"/>
      <c r="R3" s="551"/>
      <c r="S3" s="551"/>
      <c r="T3" s="551"/>
    </row>
    <row r="4" spans="2:41" x14ac:dyDescent="0.2">
      <c r="T4" s="1"/>
    </row>
    <row r="5" spans="2:41" ht="15.75" x14ac:dyDescent="0.25">
      <c r="C5" s="245" t="s">
        <v>513</v>
      </c>
      <c r="AK5" s="1"/>
    </row>
    <row r="6" spans="2:41" x14ac:dyDescent="0.2">
      <c r="B6" s="556"/>
      <c r="C6" s="237"/>
      <c r="D6" s="557"/>
      <c r="E6" s="557"/>
      <c r="F6" s="558"/>
      <c r="G6" s="235" t="s">
        <v>1</v>
      </c>
      <c r="H6" s="559"/>
      <c r="I6" s="559"/>
      <c r="J6" s="559"/>
      <c r="K6" s="559"/>
      <c r="L6" s="559"/>
      <c r="M6" s="559"/>
      <c r="N6" s="559"/>
      <c r="O6" s="559"/>
      <c r="P6" s="559"/>
      <c r="Q6" s="559"/>
      <c r="R6" s="559"/>
      <c r="S6" s="559"/>
      <c r="T6" s="560"/>
      <c r="U6" s="235" t="s">
        <v>2</v>
      </c>
      <c r="V6" s="559"/>
      <c r="W6" s="559"/>
      <c r="X6" s="559"/>
      <c r="Y6" s="559"/>
      <c r="Z6" s="559"/>
      <c r="AA6" s="559"/>
      <c r="AB6" s="559"/>
      <c r="AC6" s="559"/>
      <c r="AD6" s="559"/>
      <c r="AE6" s="559"/>
      <c r="AF6" s="559"/>
      <c r="AG6" s="559"/>
      <c r="AH6" s="561"/>
      <c r="AI6" s="223"/>
    </row>
    <row r="7" spans="2:41" ht="15.75" customHeight="1" x14ac:dyDescent="0.2">
      <c r="B7" s="556"/>
      <c r="C7" s="230"/>
      <c r="D7" s="242"/>
      <c r="E7" s="242"/>
      <c r="F7" s="248"/>
      <c r="G7" s="249" t="s">
        <v>3</v>
      </c>
      <c r="H7" s="261" t="s">
        <v>4</v>
      </c>
      <c r="I7" s="261" t="s">
        <v>5</v>
      </c>
      <c r="J7" s="261" t="s">
        <v>6</v>
      </c>
      <c r="K7" s="261" t="s">
        <v>7</v>
      </c>
      <c r="L7" s="249" t="s">
        <v>8</v>
      </c>
      <c r="M7" s="249" t="s">
        <v>9</v>
      </c>
      <c r="N7" s="261" t="s">
        <v>10</v>
      </c>
      <c r="O7" s="249" t="s">
        <v>11</v>
      </c>
      <c r="P7" s="261" t="s">
        <v>12</v>
      </c>
      <c r="Q7" s="249" t="s">
        <v>13</v>
      </c>
      <c r="R7" s="261" t="s">
        <v>14</v>
      </c>
      <c r="S7" s="249" t="s">
        <v>15</v>
      </c>
      <c r="T7" s="249" t="s">
        <v>16</v>
      </c>
      <c r="U7" s="249" t="s">
        <v>514</v>
      </c>
      <c r="V7" s="247" t="s">
        <v>4</v>
      </c>
      <c r="W7" s="261" t="s">
        <v>5</v>
      </c>
      <c r="X7" s="261" t="s">
        <v>6</v>
      </c>
      <c r="Y7" s="261" t="s">
        <v>7</v>
      </c>
      <c r="Z7" s="249" t="s">
        <v>8</v>
      </c>
      <c r="AA7" s="249" t="s">
        <v>9</v>
      </c>
      <c r="AB7" s="261" t="s">
        <v>10</v>
      </c>
      <c r="AC7" s="249" t="s">
        <v>11</v>
      </c>
      <c r="AD7" s="261" t="s">
        <v>12</v>
      </c>
      <c r="AE7" s="249" t="s">
        <v>13</v>
      </c>
      <c r="AF7" s="261" t="s">
        <v>14</v>
      </c>
      <c r="AG7" s="249" t="s">
        <v>15</v>
      </c>
      <c r="AH7" s="562" t="s">
        <v>16</v>
      </c>
      <c r="AI7" s="223"/>
      <c r="AK7" s="555"/>
    </row>
    <row r="8" spans="2:41" x14ac:dyDescent="0.2">
      <c r="B8" s="556"/>
      <c r="C8" s="563" t="s">
        <v>19</v>
      </c>
      <c r="D8" s="253"/>
      <c r="E8" s="253"/>
      <c r="F8" s="256"/>
      <c r="G8" s="564" t="s">
        <v>20</v>
      </c>
      <c r="H8" s="257"/>
      <c r="I8" s="565"/>
      <c r="J8" s="565"/>
      <c r="K8" s="565"/>
      <c r="L8" s="565"/>
      <c r="M8" s="565"/>
      <c r="N8" s="565"/>
      <c r="O8" s="565"/>
      <c r="P8" s="565"/>
      <c r="Q8" s="565"/>
      <c r="R8" s="565"/>
      <c r="S8" s="565"/>
      <c r="T8" s="565"/>
      <c r="U8" s="257" t="s">
        <v>515</v>
      </c>
      <c r="V8" s="255"/>
      <c r="W8" s="565"/>
      <c r="X8" s="565"/>
      <c r="Y8" s="565"/>
      <c r="Z8" s="477"/>
      <c r="AA8" s="565"/>
      <c r="AB8" s="565"/>
      <c r="AC8" s="565"/>
      <c r="AD8" s="565"/>
      <c r="AE8" s="565"/>
      <c r="AF8" s="565"/>
      <c r="AG8" s="565"/>
      <c r="AH8" s="566"/>
      <c r="AI8" s="223"/>
      <c r="AK8" s="49"/>
    </row>
    <row r="9" spans="2:41" x14ac:dyDescent="0.2">
      <c r="B9" s="556"/>
      <c r="C9" s="223"/>
      <c r="G9" s="567"/>
      <c r="H9" s="568"/>
      <c r="I9" s="568"/>
      <c r="J9" s="568"/>
      <c r="K9" s="568"/>
      <c r="L9" s="568"/>
      <c r="M9" s="568"/>
      <c r="N9" s="568"/>
      <c r="O9" s="568"/>
      <c r="P9" s="568"/>
      <c r="Q9" s="568"/>
      <c r="R9" s="568"/>
      <c r="S9" s="568"/>
      <c r="T9" s="568"/>
      <c r="U9" s="567"/>
      <c r="V9" s="567"/>
      <c r="W9" s="568"/>
      <c r="X9" s="568"/>
      <c r="Y9" s="568"/>
      <c r="Z9" s="567"/>
      <c r="AA9" s="568"/>
      <c r="AB9" s="568"/>
      <c r="AC9" s="568"/>
      <c r="AD9" s="568"/>
      <c r="AE9" s="568"/>
      <c r="AF9" s="568"/>
      <c r="AG9" s="568"/>
      <c r="AH9" s="569"/>
      <c r="AI9" s="223"/>
      <c r="AK9" s="49"/>
    </row>
    <row r="10" spans="2:41" x14ac:dyDescent="0.2">
      <c r="B10" s="556"/>
      <c r="C10" s="230" t="s">
        <v>516</v>
      </c>
      <c r="D10" s="242"/>
      <c r="E10" s="242"/>
      <c r="F10" s="570" t="s">
        <v>517</v>
      </c>
      <c r="G10" s="27">
        <v>1097931728.3315389</v>
      </c>
      <c r="H10" s="27">
        <v>61883148</v>
      </c>
      <c r="I10" s="27">
        <v>67969792</v>
      </c>
      <c r="J10" s="27">
        <v>108178496</v>
      </c>
      <c r="K10" s="27">
        <v>64025972</v>
      </c>
      <c r="L10" s="27">
        <v>103080516</v>
      </c>
      <c r="M10" s="27">
        <v>107688872</v>
      </c>
      <c r="N10" s="27">
        <v>83912369</v>
      </c>
      <c r="O10" s="27">
        <v>98129696</v>
      </c>
      <c r="P10" s="27">
        <v>180084076</v>
      </c>
      <c r="Q10" s="27">
        <v>84284663</v>
      </c>
      <c r="R10" s="27">
        <v>0</v>
      </c>
      <c r="S10" s="27">
        <v>0</v>
      </c>
      <c r="T10" s="27">
        <v>959237600</v>
      </c>
      <c r="U10" s="27">
        <v>1345204000.9348805</v>
      </c>
      <c r="V10" s="27">
        <v>73561295</v>
      </c>
      <c r="W10" s="27">
        <v>97483269</v>
      </c>
      <c r="X10" s="27">
        <v>147176620</v>
      </c>
      <c r="Y10" s="27">
        <v>74595465</v>
      </c>
      <c r="Z10" s="27">
        <v>118283601</v>
      </c>
      <c r="AA10" s="27">
        <v>118306077</v>
      </c>
      <c r="AB10" s="27">
        <v>84114639</v>
      </c>
      <c r="AC10" s="27">
        <v>95927507</v>
      </c>
      <c r="AD10" s="27">
        <v>160730055</v>
      </c>
      <c r="AE10" s="27">
        <v>91007790</v>
      </c>
      <c r="AF10" s="27">
        <v>144778040</v>
      </c>
      <c r="AG10" s="27">
        <v>139465249</v>
      </c>
      <c r="AH10" s="31">
        <v>1061186318</v>
      </c>
      <c r="AI10" s="571"/>
      <c r="AJ10" s="553"/>
      <c r="AK10" s="49">
        <v>-284017682.9348805</v>
      </c>
      <c r="AL10" s="1">
        <v>284243289</v>
      </c>
      <c r="AN10" s="555"/>
    </row>
    <row r="11" spans="2:41" x14ac:dyDescent="0.2">
      <c r="B11" s="556"/>
      <c r="C11" s="230"/>
      <c r="D11" s="242"/>
      <c r="E11" s="242"/>
      <c r="G11" s="30"/>
      <c r="H11" s="27"/>
      <c r="I11" s="27"/>
      <c r="J11" s="27"/>
      <c r="K11" s="27"/>
      <c r="L11" s="27"/>
      <c r="M11" s="27"/>
      <c r="N11" s="27"/>
      <c r="O11" s="27"/>
      <c r="P11" s="27"/>
      <c r="Q11" s="27"/>
      <c r="R11" s="27"/>
      <c r="S11" s="27"/>
      <c r="T11" s="27"/>
      <c r="U11" s="30"/>
      <c r="V11" s="27"/>
      <c r="W11" s="27"/>
      <c r="X11" s="27"/>
      <c r="Y11" s="27"/>
      <c r="Z11" s="27"/>
      <c r="AA11" s="27"/>
      <c r="AB11" s="27"/>
      <c r="AC11" s="27"/>
      <c r="AD11" s="27"/>
      <c r="AE11" s="27"/>
      <c r="AF11" s="27"/>
      <c r="AG11" s="27"/>
      <c r="AH11" s="31"/>
      <c r="AI11" s="571"/>
      <c r="AJ11" s="553"/>
      <c r="AK11" s="49"/>
      <c r="AL11" s="1"/>
    </row>
    <row r="12" spans="2:41" x14ac:dyDescent="0.2">
      <c r="B12" s="556"/>
      <c r="C12" s="230" t="s">
        <v>518</v>
      </c>
      <c r="D12" s="242"/>
      <c r="E12" s="242"/>
      <c r="F12" s="570" t="s">
        <v>519</v>
      </c>
      <c r="G12" s="30">
        <v>1805758440</v>
      </c>
      <c r="H12" s="30">
        <v>147198373</v>
      </c>
      <c r="I12" s="30">
        <v>119673094</v>
      </c>
      <c r="J12" s="30">
        <v>134004039</v>
      </c>
      <c r="K12" s="30">
        <v>159426148</v>
      </c>
      <c r="L12" s="30">
        <v>203163671</v>
      </c>
      <c r="M12" s="30">
        <v>140205112</v>
      </c>
      <c r="N12" s="30">
        <v>146876286</v>
      </c>
      <c r="O12" s="30">
        <v>120040467</v>
      </c>
      <c r="P12" s="30">
        <v>169099003</v>
      </c>
      <c r="Q12" s="30">
        <v>194286394</v>
      </c>
      <c r="R12" s="30">
        <v>0</v>
      </c>
      <c r="S12" s="30">
        <v>0</v>
      </c>
      <c r="T12" s="30">
        <v>1533972587</v>
      </c>
      <c r="U12" s="30">
        <v>1691133186.7</v>
      </c>
      <c r="V12" s="30">
        <v>146708471</v>
      </c>
      <c r="W12" s="30">
        <v>113365653</v>
      </c>
      <c r="X12" s="30">
        <v>109590360</v>
      </c>
      <c r="Y12" s="30">
        <v>182476850</v>
      </c>
      <c r="Z12" s="30">
        <v>161091293</v>
      </c>
      <c r="AA12" s="30">
        <v>123271268</v>
      </c>
      <c r="AB12" s="30">
        <v>126853795</v>
      </c>
      <c r="AC12" s="30">
        <v>129966318</v>
      </c>
      <c r="AD12" s="30">
        <v>164190216</v>
      </c>
      <c r="AE12" s="30">
        <v>141300316</v>
      </c>
      <c r="AF12" s="30">
        <v>148411068</v>
      </c>
      <c r="AG12" s="30">
        <v>142045883</v>
      </c>
      <c r="AH12" s="31">
        <v>1398814540</v>
      </c>
      <c r="AI12" s="571"/>
      <c r="AJ12" s="49">
        <v>1398735291</v>
      </c>
      <c r="AK12" s="572">
        <v>-292318646.70000005</v>
      </c>
      <c r="AL12" s="1">
        <v>290456951</v>
      </c>
      <c r="AN12" s="555"/>
    </row>
    <row r="13" spans="2:41" x14ac:dyDescent="0.2">
      <c r="B13" s="556"/>
      <c r="C13" s="223"/>
      <c r="G13" s="573"/>
      <c r="H13" s="574"/>
      <c r="I13" s="574"/>
      <c r="J13" s="574"/>
      <c r="K13" s="574"/>
      <c r="L13" s="574"/>
      <c r="M13" s="574"/>
      <c r="N13" s="155"/>
      <c r="O13" s="574"/>
      <c r="P13" s="574"/>
      <c r="Q13" s="574"/>
      <c r="R13" s="574"/>
      <c r="S13" s="574"/>
      <c r="T13" s="574"/>
      <c r="U13" s="575"/>
      <c r="V13" s="574"/>
      <c r="W13" s="574"/>
      <c r="X13" s="574"/>
      <c r="Y13" s="574"/>
      <c r="Z13" s="574"/>
      <c r="AA13" s="574"/>
      <c r="AB13" s="155"/>
      <c r="AC13" s="574"/>
      <c r="AD13" s="574"/>
      <c r="AE13" s="574"/>
      <c r="AF13" s="574"/>
      <c r="AG13" s="574"/>
      <c r="AH13" s="576"/>
      <c r="AI13" s="571"/>
      <c r="AJ13" s="553"/>
      <c r="AK13" s="49"/>
      <c r="AL13" s="1"/>
      <c r="AM13" s="49"/>
    </row>
    <row r="14" spans="2:41" x14ac:dyDescent="0.2">
      <c r="B14" s="556"/>
      <c r="C14" s="223"/>
      <c r="D14" s="240" t="s">
        <v>520</v>
      </c>
      <c r="F14" s="570" t="s">
        <v>521</v>
      </c>
      <c r="G14" s="573">
        <v>1025349737</v>
      </c>
      <c r="H14" s="573">
        <v>96157178.437030002</v>
      </c>
      <c r="I14" s="574">
        <v>70971442.12861</v>
      </c>
      <c r="J14" s="574">
        <v>65195759.902989998</v>
      </c>
      <c r="K14" s="574">
        <v>81267378</v>
      </c>
      <c r="L14" s="574">
        <v>122129101</v>
      </c>
      <c r="M14" s="574">
        <v>74871798</v>
      </c>
      <c r="N14" s="574">
        <v>98137525.447679996</v>
      </c>
      <c r="O14" s="574">
        <v>72413269</v>
      </c>
      <c r="P14" s="574">
        <v>92854411</v>
      </c>
      <c r="Q14" s="574">
        <v>114583554</v>
      </c>
      <c r="R14" s="574">
        <v>0</v>
      </c>
      <c r="S14" s="574">
        <v>0</v>
      </c>
      <c r="T14" s="155">
        <v>888581416.91631007</v>
      </c>
      <c r="U14" s="575">
        <v>945130248</v>
      </c>
      <c r="V14" s="573">
        <v>99111775</v>
      </c>
      <c r="W14" s="574">
        <v>65175332</v>
      </c>
      <c r="X14" s="574">
        <v>45269219</v>
      </c>
      <c r="Y14" s="574">
        <v>111091158</v>
      </c>
      <c r="Z14" s="574">
        <v>84998676</v>
      </c>
      <c r="AA14" s="574">
        <v>62652526</v>
      </c>
      <c r="AB14" s="574">
        <v>78309040</v>
      </c>
      <c r="AC14" s="574">
        <v>83881189</v>
      </c>
      <c r="AD14" s="574">
        <v>94439753</v>
      </c>
      <c r="AE14" s="574">
        <v>68500090</v>
      </c>
      <c r="AF14" s="574">
        <v>75007448</v>
      </c>
      <c r="AG14" s="574">
        <v>74846644</v>
      </c>
      <c r="AH14" s="577">
        <v>793428758</v>
      </c>
      <c r="AI14" s="571"/>
      <c r="AJ14" s="553"/>
      <c r="AK14" s="49">
        <v>-151701490</v>
      </c>
      <c r="AL14" s="1">
        <v>149854092</v>
      </c>
      <c r="AO14" s="555"/>
    </row>
    <row r="15" spans="2:41" x14ac:dyDescent="0.2">
      <c r="B15" s="556"/>
      <c r="C15" s="223"/>
      <c r="G15" s="573"/>
      <c r="H15" s="574"/>
      <c r="I15" s="574"/>
      <c r="J15" s="574"/>
      <c r="K15" s="574"/>
      <c r="L15" s="574"/>
      <c r="M15" s="574"/>
      <c r="N15" s="155"/>
      <c r="O15" s="574"/>
      <c r="P15" s="574"/>
      <c r="Q15" s="574"/>
      <c r="R15" s="574"/>
      <c r="S15" s="574"/>
      <c r="T15" s="574"/>
      <c r="U15" s="575"/>
      <c r="V15" s="574"/>
      <c r="W15" s="574"/>
      <c r="X15" s="574"/>
      <c r="Y15" s="574"/>
      <c r="Z15" s="574"/>
      <c r="AA15" s="574"/>
      <c r="AB15" s="155"/>
      <c r="AC15" s="574"/>
      <c r="AD15" s="574"/>
      <c r="AE15" s="574"/>
      <c r="AF15" s="574"/>
      <c r="AG15" s="574"/>
      <c r="AH15" s="576"/>
      <c r="AI15" s="571"/>
      <c r="AJ15" s="553"/>
      <c r="AK15" s="49"/>
      <c r="AL15" s="1"/>
      <c r="AO15" s="555"/>
    </row>
    <row r="16" spans="2:41" s="242" customFormat="1" x14ac:dyDescent="0.2">
      <c r="B16" s="578"/>
      <c r="C16" s="230"/>
      <c r="D16" s="242" t="s">
        <v>522</v>
      </c>
      <c r="F16" s="248"/>
      <c r="G16" s="579">
        <v>782517261</v>
      </c>
      <c r="H16" s="580">
        <v>51041194.562969998</v>
      </c>
      <c r="I16" s="580">
        <v>48701651.87139</v>
      </c>
      <c r="J16" s="580">
        <v>68808279.097010002</v>
      </c>
      <c r="K16" s="580">
        <v>78158770</v>
      </c>
      <c r="L16" s="580">
        <v>81034570</v>
      </c>
      <c r="M16" s="580">
        <v>65333314</v>
      </c>
      <c r="N16" s="27">
        <v>48738760.552320004</v>
      </c>
      <c r="O16" s="580">
        <v>47627198</v>
      </c>
      <c r="P16" s="580">
        <v>76244592</v>
      </c>
      <c r="Q16" s="580">
        <v>79702840</v>
      </c>
      <c r="R16" s="580">
        <v>0</v>
      </c>
      <c r="S16" s="580">
        <v>0</v>
      </c>
      <c r="T16" s="580">
        <v>645391170.08368993</v>
      </c>
      <c r="U16" s="580">
        <v>746002938.70000005</v>
      </c>
      <c r="V16" s="580">
        <v>47596696</v>
      </c>
      <c r="W16" s="580">
        <v>48190321</v>
      </c>
      <c r="X16" s="580">
        <v>64321141</v>
      </c>
      <c r="Y16" s="580">
        <v>71385692</v>
      </c>
      <c r="Z16" s="580">
        <v>76092617</v>
      </c>
      <c r="AA16" s="580">
        <v>60618742</v>
      </c>
      <c r="AB16" s="27">
        <v>48544755</v>
      </c>
      <c r="AC16" s="580">
        <v>46113766</v>
      </c>
      <c r="AD16" s="580">
        <v>69642875</v>
      </c>
      <c r="AE16" s="580">
        <v>72799928</v>
      </c>
      <c r="AF16" s="580">
        <v>73403620</v>
      </c>
      <c r="AG16" s="580">
        <v>67199202</v>
      </c>
      <c r="AH16" s="581">
        <v>605306533</v>
      </c>
      <c r="AI16" s="582"/>
      <c r="AJ16" s="248"/>
      <c r="AK16" s="49">
        <v>-140696405.70000005</v>
      </c>
      <c r="AL16" s="1">
        <v>140602822</v>
      </c>
    </row>
    <row r="17" spans="2:42" x14ac:dyDescent="0.2">
      <c r="B17" s="556"/>
      <c r="C17" s="223"/>
      <c r="E17" s="240" t="s">
        <v>523</v>
      </c>
      <c r="F17" s="583"/>
      <c r="G17" s="573">
        <v>233027798</v>
      </c>
      <c r="H17" s="574">
        <v>4206399.5629699994</v>
      </c>
      <c r="I17" s="574">
        <v>1879102.8713900005</v>
      </c>
      <c r="J17" s="574">
        <v>22441442.097009998</v>
      </c>
      <c r="K17" s="574">
        <v>31925505</v>
      </c>
      <c r="L17" s="574">
        <v>31148936</v>
      </c>
      <c r="M17" s="574">
        <v>20070544</v>
      </c>
      <c r="N17" s="155">
        <v>3518743.5523200016</v>
      </c>
      <c r="O17" s="574">
        <v>1599356</v>
      </c>
      <c r="P17" s="574">
        <v>25702350</v>
      </c>
      <c r="Q17" s="574">
        <v>33320221</v>
      </c>
      <c r="R17" s="574">
        <v>0</v>
      </c>
      <c r="S17" s="574">
        <v>0</v>
      </c>
      <c r="T17" s="155">
        <v>175812600.08368999</v>
      </c>
      <c r="U17" s="155">
        <v>204769349.69999999</v>
      </c>
      <c r="V17" s="574">
        <v>3596440</v>
      </c>
      <c r="W17" s="574">
        <v>4188052</v>
      </c>
      <c r="X17" s="574">
        <v>20309211</v>
      </c>
      <c r="Y17" s="574">
        <v>27304283</v>
      </c>
      <c r="Z17" s="574">
        <v>27624724</v>
      </c>
      <c r="AA17" s="574">
        <v>16591374</v>
      </c>
      <c r="AB17" s="155">
        <v>4518126</v>
      </c>
      <c r="AC17" s="574">
        <v>2237241</v>
      </c>
      <c r="AD17" s="574">
        <v>21222195</v>
      </c>
      <c r="AE17" s="574">
        <v>28812513</v>
      </c>
      <c r="AF17" s="574">
        <v>29395974</v>
      </c>
      <c r="AG17" s="574">
        <v>19094393</v>
      </c>
      <c r="AH17" s="577">
        <v>156404159</v>
      </c>
      <c r="AI17" s="571"/>
      <c r="AJ17" s="553"/>
      <c r="AK17" s="49">
        <v>-48365190.699999988</v>
      </c>
      <c r="AL17" s="1">
        <v>48490367</v>
      </c>
      <c r="AM17" s="1"/>
    </row>
    <row r="18" spans="2:42" x14ac:dyDescent="0.2">
      <c r="B18" s="556"/>
      <c r="C18" s="223"/>
      <c r="E18" s="240" t="s">
        <v>524</v>
      </c>
      <c r="F18" s="49"/>
      <c r="G18" s="573">
        <v>520717021</v>
      </c>
      <c r="H18" s="574">
        <v>44872627</v>
      </c>
      <c r="I18" s="574">
        <v>44872627</v>
      </c>
      <c r="J18" s="574">
        <v>44872627</v>
      </c>
      <c r="K18" s="574">
        <v>44872627</v>
      </c>
      <c r="L18" s="574">
        <v>44872627</v>
      </c>
      <c r="M18" s="574">
        <v>44872627</v>
      </c>
      <c r="N18" s="155">
        <v>44872627</v>
      </c>
      <c r="O18" s="574">
        <v>44872627</v>
      </c>
      <c r="P18" s="574">
        <v>44872672</v>
      </c>
      <c r="Q18" s="574">
        <v>44872627</v>
      </c>
      <c r="R18" s="574">
        <v>0</v>
      </c>
      <c r="S18" s="574">
        <v>0</v>
      </c>
      <c r="T18" s="155">
        <v>448726315</v>
      </c>
      <c r="U18" s="155">
        <v>505553753</v>
      </c>
      <c r="V18" s="574">
        <v>42129484</v>
      </c>
      <c r="W18" s="574">
        <v>42129482</v>
      </c>
      <c r="X18" s="574">
        <v>42129482</v>
      </c>
      <c r="Y18" s="574">
        <v>42129482</v>
      </c>
      <c r="Z18" s="574">
        <v>42129480</v>
      </c>
      <c r="AA18" s="574">
        <v>42129480</v>
      </c>
      <c r="AB18" s="155">
        <v>42129479</v>
      </c>
      <c r="AC18" s="574">
        <v>42129479</v>
      </c>
      <c r="AD18" s="574">
        <v>42129478</v>
      </c>
      <c r="AE18" s="574">
        <v>42129477</v>
      </c>
      <c r="AF18" s="574">
        <v>42129475</v>
      </c>
      <c r="AG18" s="574">
        <v>42129475</v>
      </c>
      <c r="AH18" s="577">
        <v>421294803</v>
      </c>
      <c r="AI18" s="571"/>
      <c r="AJ18" s="553"/>
      <c r="AK18" s="49">
        <v>-84258950</v>
      </c>
      <c r="AL18" s="1">
        <v>84258950</v>
      </c>
      <c r="AM18" s="1"/>
      <c r="AN18" s="1"/>
    </row>
    <row r="19" spans="2:42" ht="14.45" customHeight="1" x14ac:dyDescent="0.2">
      <c r="B19" s="556"/>
      <c r="C19" s="223"/>
      <c r="E19" s="240" t="s">
        <v>525</v>
      </c>
      <c r="G19" s="573">
        <v>14026878</v>
      </c>
      <c r="H19" s="574">
        <v>0</v>
      </c>
      <c r="I19" s="574">
        <v>0</v>
      </c>
      <c r="J19" s="574">
        <v>0</v>
      </c>
      <c r="K19" s="574">
        <v>0</v>
      </c>
      <c r="L19" s="574">
        <v>4675628</v>
      </c>
      <c r="M19" s="574">
        <v>0</v>
      </c>
      <c r="N19" s="155">
        <v>0</v>
      </c>
      <c r="O19" s="574">
        <v>0</v>
      </c>
      <c r="P19" s="574">
        <v>4675628</v>
      </c>
      <c r="Q19" s="574">
        <v>0</v>
      </c>
      <c r="R19" s="574">
        <v>0</v>
      </c>
      <c r="S19" s="574">
        <v>0</v>
      </c>
      <c r="T19" s="155">
        <v>9351256</v>
      </c>
      <c r="U19" s="155">
        <v>13166793</v>
      </c>
      <c r="V19" s="574">
        <v>0</v>
      </c>
      <c r="W19" s="574">
        <v>0</v>
      </c>
      <c r="X19" s="574">
        <v>0</v>
      </c>
      <c r="Y19" s="574">
        <v>0</v>
      </c>
      <c r="Z19" s="574">
        <v>4388931</v>
      </c>
      <c r="AA19" s="574">
        <v>0</v>
      </c>
      <c r="AB19" s="155">
        <v>0</v>
      </c>
      <c r="AC19" s="574">
        <v>0</v>
      </c>
      <c r="AD19" s="574">
        <v>4388931</v>
      </c>
      <c r="AE19" s="574">
        <v>0</v>
      </c>
      <c r="AF19" s="574">
        <v>0</v>
      </c>
      <c r="AG19" s="574">
        <v>4388931</v>
      </c>
      <c r="AH19" s="577">
        <v>8777862</v>
      </c>
      <c r="AI19" s="571"/>
      <c r="AJ19" s="553"/>
      <c r="AK19" s="49">
        <v>-4388931</v>
      </c>
      <c r="AL19" s="1">
        <v>4388931</v>
      </c>
      <c r="AM19" s="1"/>
      <c r="AP19" s="240">
        <v>1000</v>
      </c>
    </row>
    <row r="20" spans="2:42" ht="14.45" customHeight="1" x14ac:dyDescent="0.2">
      <c r="B20" s="556"/>
      <c r="C20" s="223"/>
      <c r="E20" s="240" t="s">
        <v>526</v>
      </c>
      <c r="G20" s="573">
        <v>10174611</v>
      </c>
      <c r="H20" s="574">
        <v>1617743</v>
      </c>
      <c r="I20" s="574">
        <v>1617741</v>
      </c>
      <c r="J20" s="574">
        <v>1118322</v>
      </c>
      <c r="K20" s="574">
        <v>1017741</v>
      </c>
      <c r="L20" s="574">
        <v>0</v>
      </c>
      <c r="M20" s="574">
        <v>0</v>
      </c>
      <c r="N20" s="155">
        <v>217362</v>
      </c>
      <c r="O20" s="574">
        <v>795000</v>
      </c>
      <c r="P20" s="574">
        <v>584142</v>
      </c>
      <c r="Q20" s="574">
        <v>1184144</v>
      </c>
      <c r="R20" s="574">
        <v>0</v>
      </c>
      <c r="S20" s="574">
        <v>0</v>
      </c>
      <c r="T20" s="155">
        <v>8152195</v>
      </c>
      <c r="U20" s="155">
        <v>18283844</v>
      </c>
      <c r="V20" s="574">
        <v>1563208</v>
      </c>
      <c r="W20" s="574">
        <v>1563208</v>
      </c>
      <c r="X20" s="574">
        <v>1563209</v>
      </c>
      <c r="Y20" s="574">
        <v>1563209</v>
      </c>
      <c r="Z20" s="574">
        <v>1563209</v>
      </c>
      <c r="AA20" s="574">
        <v>1563209</v>
      </c>
      <c r="AB20" s="155">
        <v>1563209</v>
      </c>
      <c r="AC20" s="574">
        <v>1381004</v>
      </c>
      <c r="AD20" s="574">
        <v>1563210</v>
      </c>
      <c r="AE20" s="574">
        <v>1563210</v>
      </c>
      <c r="AF20" s="574">
        <v>1563210</v>
      </c>
      <c r="AG20" s="574">
        <v>1270749</v>
      </c>
      <c r="AH20" s="577">
        <v>15449885</v>
      </c>
      <c r="AI20" s="571"/>
      <c r="AJ20" s="553"/>
      <c r="AK20" s="49">
        <v>-2833959</v>
      </c>
      <c r="AL20" s="1">
        <v>2833959</v>
      </c>
      <c r="AM20" s="1"/>
    </row>
    <row r="21" spans="2:42" x14ac:dyDescent="0.2">
      <c r="B21" s="556"/>
      <c r="C21" s="223"/>
      <c r="E21" s="240" t="s">
        <v>527</v>
      </c>
      <c r="G21" s="573">
        <v>4570953</v>
      </c>
      <c r="H21" s="574">
        <v>344425</v>
      </c>
      <c r="I21" s="574">
        <v>332181</v>
      </c>
      <c r="J21" s="574">
        <v>375888</v>
      </c>
      <c r="K21" s="574">
        <v>342897</v>
      </c>
      <c r="L21" s="574">
        <v>337379</v>
      </c>
      <c r="M21" s="574">
        <v>390143</v>
      </c>
      <c r="N21" s="155">
        <v>130028</v>
      </c>
      <c r="O21" s="574">
        <v>360215</v>
      </c>
      <c r="P21" s="574">
        <v>409800</v>
      </c>
      <c r="Q21" s="574">
        <v>325848</v>
      </c>
      <c r="R21" s="574">
        <v>0</v>
      </c>
      <c r="S21" s="574">
        <v>0</v>
      </c>
      <c r="T21" s="155">
        <v>3348804</v>
      </c>
      <c r="U21" s="155">
        <v>4229199</v>
      </c>
      <c r="V21" s="574">
        <v>307564</v>
      </c>
      <c r="W21" s="574">
        <v>309579</v>
      </c>
      <c r="X21" s="574">
        <v>319239</v>
      </c>
      <c r="Y21" s="574">
        <v>388718</v>
      </c>
      <c r="Z21" s="574">
        <v>386273</v>
      </c>
      <c r="AA21" s="574">
        <v>334679</v>
      </c>
      <c r="AB21" s="155">
        <v>333941</v>
      </c>
      <c r="AC21" s="574">
        <v>366042</v>
      </c>
      <c r="AD21" s="574">
        <v>339061</v>
      </c>
      <c r="AE21" s="574">
        <v>294728</v>
      </c>
      <c r="AF21" s="574">
        <v>314961</v>
      </c>
      <c r="AG21" s="574">
        <v>315654</v>
      </c>
      <c r="AH21" s="577">
        <v>3379824</v>
      </c>
      <c r="AI21" s="571"/>
      <c r="AJ21" s="553"/>
      <c r="AK21" s="49">
        <v>-849375</v>
      </c>
      <c r="AL21" s="1">
        <v>630615</v>
      </c>
      <c r="AM21" s="1"/>
    </row>
    <row r="22" spans="2:42" x14ac:dyDescent="0.2">
      <c r="B22" s="556"/>
      <c r="D22" s="242"/>
      <c r="G22" s="579"/>
      <c r="H22" s="580"/>
      <c r="I22" s="580"/>
      <c r="J22" s="580"/>
      <c r="K22" s="580"/>
      <c r="L22" s="580"/>
      <c r="M22" s="580"/>
      <c r="N22" s="27"/>
      <c r="O22" s="580"/>
      <c r="P22" s="580"/>
      <c r="Q22" s="580"/>
      <c r="R22" s="580"/>
      <c r="S22" s="580"/>
      <c r="T22" s="580"/>
      <c r="U22" s="30"/>
      <c r="V22" s="580"/>
      <c r="W22" s="580"/>
      <c r="X22" s="580"/>
      <c r="Y22" s="580"/>
      <c r="Z22" s="580"/>
      <c r="AA22" s="580"/>
      <c r="AB22" s="27"/>
      <c r="AC22" s="580"/>
      <c r="AD22" s="580"/>
      <c r="AE22" s="580"/>
      <c r="AF22" s="580"/>
      <c r="AG22" s="580"/>
      <c r="AH22" s="581"/>
      <c r="AI22" s="571"/>
      <c r="AJ22" s="553"/>
      <c r="AK22" s="49"/>
      <c r="AL22" s="1"/>
    </row>
    <row r="23" spans="2:42" hidden="1" x14ac:dyDescent="0.2">
      <c r="B23" s="556"/>
      <c r="F23" s="570"/>
      <c r="G23" s="573"/>
      <c r="H23" s="574"/>
      <c r="I23" s="574"/>
      <c r="J23" s="574"/>
      <c r="K23" s="574"/>
      <c r="L23" s="574"/>
      <c r="M23" s="574"/>
      <c r="N23" s="155"/>
      <c r="O23" s="574"/>
      <c r="P23" s="574"/>
      <c r="Q23" s="574"/>
      <c r="R23" s="574"/>
      <c r="S23" s="574"/>
      <c r="T23" s="574"/>
      <c r="U23" s="575"/>
      <c r="V23" s="574"/>
      <c r="W23" s="574"/>
      <c r="X23" s="574"/>
      <c r="Y23" s="574"/>
      <c r="Z23" s="574"/>
      <c r="AA23" s="574"/>
      <c r="AB23" s="155"/>
      <c r="AC23" s="574"/>
      <c r="AD23" s="574"/>
      <c r="AE23" s="574"/>
      <c r="AF23" s="574"/>
      <c r="AG23" s="574"/>
      <c r="AH23" s="576"/>
      <c r="AI23" s="571"/>
      <c r="AJ23" s="553"/>
      <c r="AK23" s="49">
        <v>0</v>
      </c>
      <c r="AL23" s="1">
        <v>0</v>
      </c>
    </row>
    <row r="24" spans="2:42" x14ac:dyDescent="0.2">
      <c r="B24" s="556"/>
      <c r="D24" s="240" t="s">
        <v>251</v>
      </c>
      <c r="G24" s="573">
        <v>-2108558</v>
      </c>
      <c r="H24" s="574">
        <v>0</v>
      </c>
      <c r="I24" s="574">
        <v>0</v>
      </c>
      <c r="J24" s="574">
        <v>0</v>
      </c>
      <c r="K24" s="574">
        <v>0</v>
      </c>
      <c r="L24" s="574">
        <v>0</v>
      </c>
      <c r="M24" s="574">
        <v>0</v>
      </c>
      <c r="N24" s="155">
        <v>0</v>
      </c>
      <c r="O24" s="574">
        <v>0</v>
      </c>
      <c r="P24" s="574">
        <v>0</v>
      </c>
      <c r="Q24" s="574">
        <v>0</v>
      </c>
      <c r="R24" s="574"/>
      <c r="S24" s="574"/>
      <c r="T24" s="574">
        <v>0</v>
      </c>
      <c r="U24" s="575">
        <v>0</v>
      </c>
      <c r="V24" s="574">
        <v>0</v>
      </c>
      <c r="W24" s="574">
        <v>0</v>
      </c>
      <c r="X24" s="574">
        <v>0</v>
      </c>
      <c r="Y24" s="574">
        <v>0</v>
      </c>
      <c r="Z24" s="574">
        <v>0</v>
      </c>
      <c r="AA24" s="574">
        <v>0</v>
      </c>
      <c r="AB24" s="155">
        <v>0</v>
      </c>
      <c r="AC24" s="574">
        <v>0</v>
      </c>
      <c r="AD24" s="574">
        <v>0</v>
      </c>
      <c r="AE24" s="574">
        <v>0</v>
      </c>
      <c r="AF24" s="574"/>
      <c r="AG24" s="574"/>
      <c r="AH24" s="576">
        <v>0</v>
      </c>
      <c r="AI24" s="571"/>
      <c r="AJ24" s="553"/>
      <c r="AK24" s="49">
        <v>0</v>
      </c>
      <c r="AL24" s="1">
        <v>0</v>
      </c>
    </row>
    <row r="25" spans="2:42" s="242" customFormat="1" x14ac:dyDescent="0.2">
      <c r="B25" s="578"/>
      <c r="D25" s="270"/>
      <c r="E25" s="240"/>
      <c r="F25" s="553"/>
      <c r="G25" s="573"/>
      <c r="H25" s="580"/>
      <c r="I25" s="580"/>
      <c r="J25" s="580"/>
      <c r="K25" s="580"/>
      <c r="L25" s="580"/>
      <c r="M25" s="574"/>
      <c r="N25" s="27"/>
      <c r="O25" s="574"/>
      <c r="P25" s="574"/>
      <c r="Q25" s="574"/>
      <c r="R25" s="580"/>
      <c r="S25" s="580"/>
      <c r="T25" s="155"/>
      <c r="U25" s="155"/>
      <c r="V25" s="580"/>
      <c r="W25" s="580"/>
      <c r="X25" s="580"/>
      <c r="Y25" s="580"/>
      <c r="Z25" s="580"/>
      <c r="AA25" s="574"/>
      <c r="AB25" s="27"/>
      <c r="AC25" s="574"/>
      <c r="AD25" s="574"/>
      <c r="AE25" s="574"/>
      <c r="AF25" s="580"/>
      <c r="AG25" s="580"/>
      <c r="AH25" s="155"/>
      <c r="AI25" s="582"/>
      <c r="AJ25" s="248"/>
      <c r="AK25" s="49"/>
      <c r="AL25" s="1"/>
    </row>
    <row r="26" spans="2:42" s="242" customFormat="1" x14ac:dyDescent="0.2">
      <c r="B26" s="578"/>
      <c r="C26" s="230"/>
      <c r="E26" s="14"/>
      <c r="F26" s="248"/>
      <c r="G26" s="584"/>
      <c r="H26" s="585"/>
      <c r="I26" s="585"/>
      <c r="J26" s="585"/>
      <c r="K26" s="585"/>
      <c r="L26" s="585"/>
      <c r="M26" s="585"/>
      <c r="N26" s="585"/>
      <c r="O26" s="585"/>
      <c r="P26" s="585"/>
      <c r="Q26" s="585"/>
      <c r="R26" s="585"/>
      <c r="S26" s="585"/>
      <c r="T26" s="585"/>
      <c r="U26" s="584"/>
      <c r="V26" s="585"/>
      <c r="W26" s="585"/>
      <c r="X26" s="585"/>
      <c r="Y26" s="585"/>
      <c r="Z26" s="585"/>
      <c r="AA26" s="585"/>
      <c r="AB26" s="585"/>
      <c r="AC26" s="585"/>
      <c r="AD26" s="585"/>
      <c r="AE26" s="585"/>
      <c r="AF26" s="585"/>
      <c r="AG26" s="585"/>
      <c r="AH26" s="586"/>
      <c r="AI26" s="582"/>
      <c r="AJ26" s="248"/>
      <c r="AK26" s="49"/>
      <c r="AL26" s="1"/>
    </row>
    <row r="27" spans="2:42" s="242" customFormat="1" x14ac:dyDescent="0.2">
      <c r="B27" s="578"/>
      <c r="C27" s="230"/>
      <c r="F27" s="248"/>
      <c r="G27" s="30"/>
      <c r="H27" s="27"/>
      <c r="I27" s="27"/>
      <c r="J27" s="27"/>
      <c r="K27" s="27"/>
      <c r="L27" s="27"/>
      <c r="M27" s="27"/>
      <c r="N27" s="27"/>
      <c r="O27" s="27"/>
      <c r="P27" s="27"/>
      <c r="Q27" s="27"/>
      <c r="R27" s="27"/>
      <c r="S27" s="27"/>
      <c r="T27" s="27"/>
      <c r="U27" s="30"/>
      <c r="V27" s="27"/>
      <c r="W27" s="27"/>
      <c r="X27" s="27"/>
      <c r="Y27" s="27"/>
      <c r="Z27" s="27"/>
      <c r="AA27" s="27"/>
      <c r="AB27" s="27"/>
      <c r="AC27" s="27"/>
      <c r="AD27" s="27"/>
      <c r="AE27" s="27"/>
      <c r="AF27" s="27"/>
      <c r="AG27" s="27"/>
      <c r="AH27" s="31"/>
      <c r="AI27" s="582"/>
      <c r="AJ27" s="248"/>
      <c r="AK27" s="49"/>
      <c r="AL27" s="1"/>
    </row>
    <row r="28" spans="2:42" s="242" customFormat="1" x14ac:dyDescent="0.2">
      <c r="B28" s="578"/>
      <c r="C28" s="230" t="s">
        <v>528</v>
      </c>
      <c r="F28" s="248"/>
      <c r="G28" s="30">
        <v>-707826711.66846108</v>
      </c>
      <c r="H28" s="27">
        <v>-85315225</v>
      </c>
      <c r="I28" s="27">
        <v>-51703302</v>
      </c>
      <c r="J28" s="27">
        <v>-25825543</v>
      </c>
      <c r="K28" s="27">
        <v>-95400176</v>
      </c>
      <c r="L28" s="27">
        <v>-100083155</v>
      </c>
      <c r="M28" s="27">
        <v>-32516240</v>
      </c>
      <c r="N28" s="27">
        <v>-62963917</v>
      </c>
      <c r="O28" s="27">
        <v>-21910771</v>
      </c>
      <c r="P28" s="27">
        <v>10985073</v>
      </c>
      <c r="Q28" s="27">
        <v>-110001731</v>
      </c>
      <c r="R28" s="27">
        <v>0</v>
      </c>
      <c r="S28" s="27">
        <v>0</v>
      </c>
      <c r="T28" s="27">
        <v>-574734987</v>
      </c>
      <c r="U28" s="27">
        <v>-345929185.76511955</v>
      </c>
      <c r="V28" s="27">
        <v>-73147176</v>
      </c>
      <c r="W28" s="27">
        <v>-15882384</v>
      </c>
      <c r="X28" s="27">
        <v>37586260</v>
      </c>
      <c r="Y28" s="27">
        <v>-107881385</v>
      </c>
      <c r="Z28" s="27">
        <v>-42807692</v>
      </c>
      <c r="AA28" s="27">
        <v>-4965191</v>
      </c>
      <c r="AB28" s="27">
        <v>-42739156</v>
      </c>
      <c r="AC28" s="27">
        <v>-34038811</v>
      </c>
      <c r="AD28" s="27">
        <v>-3460161</v>
      </c>
      <c r="AE28" s="27">
        <v>-50292526</v>
      </c>
      <c r="AF28" s="27">
        <v>-3633028</v>
      </c>
      <c r="AG28" s="27">
        <v>-2580634</v>
      </c>
      <c r="AH28" s="31">
        <v>-337628222</v>
      </c>
      <c r="AI28" s="582"/>
      <c r="AJ28" s="248"/>
      <c r="AK28" s="49">
        <v>8300963.7651195526</v>
      </c>
      <c r="AL28" s="1">
        <v>-6213662</v>
      </c>
    </row>
    <row r="29" spans="2:42" s="242" customFormat="1" x14ac:dyDescent="0.2">
      <c r="B29" s="578"/>
      <c r="C29" s="230"/>
      <c r="E29" s="14"/>
      <c r="F29" s="248"/>
      <c r="G29" s="30"/>
      <c r="H29" s="27"/>
      <c r="I29" s="27"/>
      <c r="J29" s="27"/>
      <c r="K29" s="27"/>
      <c r="L29" s="27"/>
      <c r="M29" s="27"/>
      <c r="N29" s="27"/>
      <c r="O29" s="27"/>
      <c r="P29" s="27"/>
      <c r="Q29" s="27"/>
      <c r="R29" s="27"/>
      <c r="S29" s="27"/>
      <c r="T29" s="27"/>
      <c r="U29" s="30"/>
      <c r="V29" s="27"/>
      <c r="W29" s="27"/>
      <c r="X29" s="27"/>
      <c r="Y29" s="27"/>
      <c r="Z29" s="27"/>
      <c r="AA29" s="27"/>
      <c r="AB29" s="27"/>
      <c r="AC29" s="27"/>
      <c r="AD29" s="27"/>
      <c r="AE29" s="27"/>
      <c r="AF29" s="27"/>
      <c r="AG29" s="27"/>
      <c r="AH29" s="31"/>
      <c r="AI29" s="582"/>
      <c r="AJ29" s="248"/>
      <c r="AK29" s="49"/>
      <c r="AL29" s="1"/>
    </row>
    <row r="30" spans="2:42" s="242" customFormat="1" x14ac:dyDescent="0.2">
      <c r="C30" s="230" t="s">
        <v>529</v>
      </c>
      <c r="F30" s="570"/>
      <c r="G30" s="30">
        <v>707826711.66846108</v>
      </c>
      <c r="H30" s="27">
        <v>85315225</v>
      </c>
      <c r="I30" s="27">
        <v>51703301.999999993</v>
      </c>
      <c r="J30" s="27">
        <v>25825543</v>
      </c>
      <c r="K30" s="27">
        <v>95400176</v>
      </c>
      <c r="L30" s="27">
        <v>100083155</v>
      </c>
      <c r="M30" s="27">
        <v>32516240</v>
      </c>
      <c r="N30" s="27">
        <v>62963917</v>
      </c>
      <c r="O30" s="27">
        <v>21910771</v>
      </c>
      <c r="P30" s="27">
        <v>-10985073</v>
      </c>
      <c r="Q30" s="27">
        <v>110001731</v>
      </c>
      <c r="R30" s="27">
        <v>378365248</v>
      </c>
      <c r="S30" s="27">
        <v>0</v>
      </c>
      <c r="T30" s="27">
        <v>574734987</v>
      </c>
      <c r="U30" s="27">
        <v>345929185.76511955</v>
      </c>
      <c r="V30" s="27">
        <v>73147176</v>
      </c>
      <c r="W30" s="27">
        <v>15882384</v>
      </c>
      <c r="X30" s="27">
        <v>-37586260</v>
      </c>
      <c r="Y30" s="27">
        <v>107881385</v>
      </c>
      <c r="Z30" s="27">
        <v>42807692</v>
      </c>
      <c r="AA30" s="27">
        <v>4965191</v>
      </c>
      <c r="AB30" s="27">
        <v>42739156</v>
      </c>
      <c r="AC30" s="27">
        <v>34038811</v>
      </c>
      <c r="AD30" s="27">
        <v>3460161</v>
      </c>
      <c r="AE30" s="27">
        <v>50292526</v>
      </c>
      <c r="AF30" s="27">
        <v>3633028</v>
      </c>
      <c r="AG30" s="27">
        <v>4667987.7651195526</v>
      </c>
      <c r="AH30" s="31">
        <v>337628222</v>
      </c>
      <c r="AI30" s="582"/>
      <c r="AJ30" s="248"/>
      <c r="AK30" s="49">
        <v>-8300963.7651195526</v>
      </c>
      <c r="AL30" s="1">
        <v>8301015.7651195526</v>
      </c>
      <c r="AN30" s="14">
        <v>0</v>
      </c>
    </row>
    <row r="31" spans="2:42" s="242" customFormat="1" x14ac:dyDescent="0.2">
      <c r="C31" s="230"/>
      <c r="F31" s="248"/>
      <c r="G31" s="584"/>
      <c r="H31" s="585"/>
      <c r="I31" s="585"/>
      <c r="J31" s="585"/>
      <c r="K31" s="585"/>
      <c r="L31" s="585"/>
      <c r="M31" s="585"/>
      <c r="N31" s="585"/>
      <c r="O31" s="585"/>
      <c r="P31" s="585"/>
      <c r="Q31" s="585"/>
      <c r="R31" s="585"/>
      <c r="S31" s="585"/>
      <c r="T31" s="585"/>
      <c r="U31" s="584"/>
      <c r="V31" s="585"/>
      <c r="W31" s="585"/>
      <c r="X31" s="585"/>
      <c r="Y31" s="585"/>
      <c r="Z31" s="585"/>
      <c r="AA31" s="585"/>
      <c r="AB31" s="585"/>
      <c r="AC31" s="585"/>
      <c r="AD31" s="585"/>
      <c r="AE31" s="585"/>
      <c r="AF31" s="585"/>
      <c r="AG31" s="585"/>
      <c r="AH31" s="586"/>
      <c r="AI31" s="582"/>
      <c r="AJ31" s="248"/>
      <c r="AK31" s="49"/>
      <c r="AL31" s="1"/>
      <c r="AO31" s="14"/>
    </row>
    <row r="32" spans="2:42" s="242" customFormat="1" x14ac:dyDescent="0.2">
      <c r="C32" s="230"/>
      <c r="F32" s="248"/>
      <c r="G32" s="30"/>
      <c r="H32" s="27"/>
      <c r="I32" s="27"/>
      <c r="J32" s="27"/>
      <c r="K32" s="27"/>
      <c r="L32" s="27"/>
      <c r="M32" s="27"/>
      <c r="N32" s="27"/>
      <c r="O32" s="27"/>
      <c r="P32" s="27"/>
      <c r="Q32" s="27"/>
      <c r="R32" s="27"/>
      <c r="S32" s="27"/>
      <c r="T32" s="27"/>
      <c r="U32" s="30"/>
      <c r="V32" s="27"/>
      <c r="W32" s="27"/>
      <c r="X32" s="27"/>
      <c r="Y32" s="27"/>
      <c r="Z32" s="27"/>
      <c r="AA32" s="27"/>
      <c r="AB32" s="27"/>
      <c r="AC32" s="27"/>
      <c r="AD32" s="27"/>
      <c r="AE32" s="27"/>
      <c r="AF32" s="27"/>
      <c r="AG32" s="27"/>
      <c r="AH32" s="31"/>
      <c r="AI32" s="582"/>
      <c r="AJ32" s="248"/>
      <c r="AK32" s="49"/>
      <c r="AL32" s="1"/>
    </row>
    <row r="33" spans="3:40" s="242" customFormat="1" x14ac:dyDescent="0.2">
      <c r="C33" s="230" t="s">
        <v>295</v>
      </c>
      <c r="F33" s="248"/>
      <c r="G33" s="30">
        <v>143000000</v>
      </c>
      <c r="H33" s="27">
        <v>37582688</v>
      </c>
      <c r="I33" s="27">
        <v>16125619</v>
      </c>
      <c r="J33" s="27">
        <v>11567828</v>
      </c>
      <c r="K33" s="27">
        <v>26289577</v>
      </c>
      <c r="L33" s="27">
        <v>-5974831</v>
      </c>
      <c r="M33" s="27">
        <v>1315362</v>
      </c>
      <c r="N33" s="27">
        <v>31098565</v>
      </c>
      <c r="O33" s="27">
        <v>295423</v>
      </c>
      <c r="P33" s="27">
        <v>-33015782</v>
      </c>
      <c r="Q33" s="27">
        <v>15701292</v>
      </c>
      <c r="R33" s="27">
        <v>0</v>
      </c>
      <c r="S33" s="27">
        <v>0</v>
      </c>
      <c r="T33" s="27">
        <v>100985741</v>
      </c>
      <c r="U33" s="30">
        <v>36077502</v>
      </c>
      <c r="V33" s="27">
        <v>32089095</v>
      </c>
      <c r="W33" s="27">
        <v>12375928</v>
      </c>
      <c r="X33" s="27">
        <v>21645154</v>
      </c>
      <c r="Y33" s="27">
        <v>4387554</v>
      </c>
      <c r="Z33" s="27">
        <v>10613091</v>
      </c>
      <c r="AA33" s="27">
        <v>-17323880</v>
      </c>
      <c r="AB33" s="27">
        <v>7778423</v>
      </c>
      <c r="AC33" s="27">
        <v>6126860</v>
      </c>
      <c r="AD33" s="27">
        <v>-16508019</v>
      </c>
      <c r="AE33" s="27">
        <v>13250851</v>
      </c>
      <c r="AF33" s="27">
        <v>-2500139</v>
      </c>
      <c r="AG33" s="27">
        <v>-35857416</v>
      </c>
      <c r="AH33" s="31">
        <v>74435057</v>
      </c>
      <c r="AI33" s="582"/>
      <c r="AJ33" s="248"/>
      <c r="AK33" s="49">
        <v>38357555</v>
      </c>
      <c r="AL33" s="1">
        <v>-38357555</v>
      </c>
    </row>
    <row r="34" spans="3:40" s="242" customFormat="1" x14ac:dyDescent="0.2">
      <c r="C34" s="230"/>
      <c r="F34" s="248"/>
      <c r="G34" s="30"/>
      <c r="H34" s="27"/>
      <c r="I34" s="27"/>
      <c r="J34" s="27"/>
      <c r="K34" s="27"/>
      <c r="L34" s="27"/>
      <c r="M34" s="27"/>
      <c r="N34" s="27"/>
      <c r="O34" s="27"/>
      <c r="P34" s="27"/>
      <c r="Q34" s="27"/>
      <c r="R34" s="27"/>
      <c r="S34" s="27"/>
      <c r="T34" s="27"/>
      <c r="U34" s="30"/>
      <c r="V34" s="27"/>
      <c r="W34" s="27"/>
      <c r="X34" s="27"/>
      <c r="Y34" s="27"/>
      <c r="Z34" s="27"/>
      <c r="AA34" s="27"/>
      <c r="AB34" s="27"/>
      <c r="AC34" s="27"/>
      <c r="AD34" s="27"/>
      <c r="AE34" s="27"/>
      <c r="AF34" s="27"/>
      <c r="AG34" s="27"/>
      <c r="AH34" s="31"/>
      <c r="AI34" s="582"/>
      <c r="AJ34" s="248"/>
      <c r="AK34" s="49"/>
      <c r="AL34" s="1"/>
    </row>
    <row r="35" spans="3:40" s="242" customFormat="1" x14ac:dyDescent="0.2">
      <c r="C35" s="230" t="s">
        <v>303</v>
      </c>
      <c r="F35" s="248"/>
      <c r="G35" s="30">
        <v>410035000</v>
      </c>
      <c r="H35" s="70">
        <v>32850713</v>
      </c>
      <c r="I35" s="70">
        <v>40638036.743999995</v>
      </c>
      <c r="J35" s="70">
        <v>43402900</v>
      </c>
      <c r="K35" s="70">
        <v>60600922</v>
      </c>
      <c r="L35" s="70">
        <v>37229982</v>
      </c>
      <c r="M35" s="70">
        <v>50427153</v>
      </c>
      <c r="N35" s="70">
        <v>50571945</v>
      </c>
      <c r="O35" s="70">
        <v>39211461</v>
      </c>
      <c r="P35" s="70">
        <v>45711722</v>
      </c>
      <c r="Q35" s="70">
        <v>34673258</v>
      </c>
      <c r="R35" s="70">
        <v>0</v>
      </c>
      <c r="S35" s="70">
        <v>0</v>
      </c>
      <c r="T35" s="27">
        <v>435318092.74399996</v>
      </c>
      <c r="U35" s="30">
        <v>286021581</v>
      </c>
      <c r="V35" s="70">
        <v>19134410</v>
      </c>
      <c r="W35" s="70">
        <v>24383035</v>
      </c>
      <c r="X35" s="70">
        <v>19205091</v>
      </c>
      <c r="Y35" s="70">
        <v>22800224</v>
      </c>
      <c r="Z35" s="70">
        <v>28165310</v>
      </c>
      <c r="AA35" s="70">
        <v>29107369</v>
      </c>
      <c r="AB35" s="70">
        <v>30927020</v>
      </c>
      <c r="AC35" s="70">
        <v>30718792</v>
      </c>
      <c r="AD35" s="70">
        <v>23853310</v>
      </c>
      <c r="AE35" s="70">
        <v>3150815</v>
      </c>
      <c r="AF35" s="70">
        <v>29159155</v>
      </c>
      <c r="AG35" s="70">
        <v>25417050</v>
      </c>
      <c r="AH35" s="31">
        <v>231445376</v>
      </c>
      <c r="AI35" s="582"/>
      <c r="AJ35" s="248"/>
      <c r="AK35" s="587">
        <v>-54576205</v>
      </c>
      <c r="AL35" s="1">
        <v>54576205</v>
      </c>
    </row>
    <row r="36" spans="3:40" x14ac:dyDescent="0.2">
      <c r="C36" s="223"/>
      <c r="G36" s="79"/>
      <c r="H36" s="76"/>
      <c r="I36" s="76"/>
      <c r="J36" s="76"/>
      <c r="K36" s="76"/>
      <c r="L36" s="76"/>
      <c r="M36" s="76"/>
      <c r="N36" s="76"/>
      <c r="O36" s="76"/>
      <c r="P36" s="76"/>
      <c r="Q36" s="76"/>
      <c r="R36" s="76"/>
      <c r="S36" s="76"/>
      <c r="T36" s="76"/>
      <c r="U36" s="79"/>
      <c r="V36" s="76"/>
      <c r="W36" s="76"/>
      <c r="X36" s="76"/>
      <c r="Y36" s="76"/>
      <c r="Z36" s="76"/>
      <c r="AA36" s="76"/>
      <c r="AB36" s="76"/>
      <c r="AC36" s="76"/>
      <c r="AD36" s="76"/>
      <c r="AE36" s="76"/>
      <c r="AF36" s="76"/>
      <c r="AG36" s="76"/>
      <c r="AH36" s="80"/>
      <c r="AI36" s="571"/>
      <c r="AJ36" s="553"/>
      <c r="AK36" s="49"/>
      <c r="AL36" s="1"/>
    </row>
    <row r="37" spans="3:40" x14ac:dyDescent="0.2">
      <c r="C37" s="223"/>
      <c r="D37" s="240" t="s">
        <v>530</v>
      </c>
      <c r="G37" s="79">
        <v>410035000</v>
      </c>
      <c r="H37" s="76">
        <v>32850713</v>
      </c>
      <c r="I37" s="76">
        <v>40638036.743999995</v>
      </c>
      <c r="J37" s="76">
        <v>43402900</v>
      </c>
      <c r="K37" s="76">
        <v>60600922</v>
      </c>
      <c r="L37" s="76">
        <v>37229982</v>
      </c>
      <c r="M37" s="76">
        <v>50427153</v>
      </c>
      <c r="N37" s="76">
        <v>50571945</v>
      </c>
      <c r="O37" s="76">
        <v>39125584</v>
      </c>
      <c r="P37" s="76">
        <v>45797599</v>
      </c>
      <c r="Q37" s="76">
        <v>34673258</v>
      </c>
      <c r="R37" s="76">
        <v>0</v>
      </c>
      <c r="S37" s="76">
        <v>0</v>
      </c>
      <c r="T37" s="155">
        <v>435318092.74399996</v>
      </c>
      <c r="U37" s="79">
        <v>286310871</v>
      </c>
      <c r="V37" s="76">
        <v>19134410</v>
      </c>
      <c r="W37" s="76">
        <v>24672325</v>
      </c>
      <c r="X37" s="76">
        <v>19205091</v>
      </c>
      <c r="Y37" s="76">
        <v>22800224</v>
      </c>
      <c r="Z37" s="76">
        <v>28165310</v>
      </c>
      <c r="AA37" s="76">
        <v>29107369</v>
      </c>
      <c r="AB37" s="76">
        <v>30927020</v>
      </c>
      <c r="AC37" s="76">
        <v>30718792</v>
      </c>
      <c r="AD37" s="76">
        <v>23853310</v>
      </c>
      <c r="AE37" s="76">
        <v>3150815</v>
      </c>
      <c r="AF37" s="76">
        <v>29159155</v>
      </c>
      <c r="AG37" s="76">
        <v>25417050</v>
      </c>
      <c r="AH37" s="577">
        <v>231734666</v>
      </c>
      <c r="AI37" s="571"/>
      <c r="AJ37" s="553"/>
      <c r="AK37" s="587">
        <v>-54576205</v>
      </c>
      <c r="AL37" s="1">
        <v>54576205</v>
      </c>
    </row>
    <row r="38" spans="3:40" x14ac:dyDescent="0.2">
      <c r="C38" s="223"/>
      <c r="E38" s="240" t="s">
        <v>531</v>
      </c>
      <c r="G38" s="575">
        <v>514767000</v>
      </c>
      <c r="H38" s="155">
        <v>38350619</v>
      </c>
      <c r="I38" s="155">
        <v>45031287.743999995</v>
      </c>
      <c r="J38" s="155">
        <v>49600848</v>
      </c>
      <c r="K38" s="155">
        <v>69933031</v>
      </c>
      <c r="L38" s="155">
        <v>44319358</v>
      </c>
      <c r="M38" s="155">
        <v>61486843</v>
      </c>
      <c r="N38" s="155">
        <v>59931421</v>
      </c>
      <c r="O38" s="155">
        <v>46634910</v>
      </c>
      <c r="P38" s="155">
        <v>52191398</v>
      </c>
      <c r="Q38" s="155">
        <v>39060638</v>
      </c>
      <c r="R38" s="155">
        <v>0</v>
      </c>
      <c r="S38" s="155">
        <v>0</v>
      </c>
      <c r="T38" s="155">
        <v>506540353.74399996</v>
      </c>
      <c r="U38" s="575">
        <v>335517549</v>
      </c>
      <c r="V38" s="155">
        <v>20725876</v>
      </c>
      <c r="W38" s="155">
        <v>26579251</v>
      </c>
      <c r="X38" s="155">
        <v>21124207</v>
      </c>
      <c r="Y38" s="155">
        <v>24760828</v>
      </c>
      <c r="Z38" s="155">
        <v>30904734</v>
      </c>
      <c r="AA38" s="155">
        <v>32089447</v>
      </c>
      <c r="AB38" s="155">
        <v>33970885</v>
      </c>
      <c r="AC38" s="155">
        <v>34588835</v>
      </c>
      <c r="AD38" s="155">
        <v>26476333</v>
      </c>
      <c r="AE38" s="155">
        <v>21562772</v>
      </c>
      <c r="AF38" s="155">
        <v>32267535</v>
      </c>
      <c r="AG38" s="155">
        <v>30466846</v>
      </c>
      <c r="AH38" s="577">
        <v>272783168</v>
      </c>
      <c r="AI38" s="571"/>
      <c r="AJ38" s="553"/>
      <c r="AK38" s="587">
        <v>-62734381</v>
      </c>
      <c r="AL38" s="1">
        <v>62734381</v>
      </c>
    </row>
    <row r="39" spans="3:40" x14ac:dyDescent="0.2">
      <c r="C39" s="223"/>
      <c r="E39" s="240" t="s">
        <v>532</v>
      </c>
      <c r="G39" s="575">
        <v>-52267000</v>
      </c>
      <c r="H39" s="155">
        <v>-4299769</v>
      </c>
      <c r="I39" s="155">
        <v>-4058204</v>
      </c>
      <c r="J39" s="155">
        <v>-6085389</v>
      </c>
      <c r="K39" s="155">
        <v>-8992564</v>
      </c>
      <c r="L39" s="155">
        <v>-6877121</v>
      </c>
      <c r="M39" s="155">
        <v>-10836667</v>
      </c>
      <c r="N39" s="155">
        <v>-9026146</v>
      </c>
      <c r="O39" s="155">
        <v>-7195171</v>
      </c>
      <c r="P39" s="155">
        <v>-6333842</v>
      </c>
      <c r="Q39" s="155">
        <v>-3989426</v>
      </c>
      <c r="R39" s="155">
        <v>0</v>
      </c>
      <c r="S39" s="155">
        <v>0</v>
      </c>
      <c r="T39" s="155">
        <v>-67694299</v>
      </c>
      <c r="U39" s="575">
        <v>-29779023</v>
      </c>
      <c r="V39" s="155">
        <v>-1256954</v>
      </c>
      <c r="W39" s="155">
        <v>-1652532</v>
      </c>
      <c r="X39" s="155">
        <v>-1668026</v>
      </c>
      <c r="Y39" s="155">
        <v>-1721005</v>
      </c>
      <c r="Z39" s="155">
        <v>-2422421</v>
      </c>
      <c r="AA39" s="155">
        <v>-2517677</v>
      </c>
      <c r="AB39" s="155">
        <v>-2852893</v>
      </c>
      <c r="AC39" s="155">
        <v>-3497342</v>
      </c>
      <c r="AD39" s="155">
        <v>-2287072</v>
      </c>
      <c r="AE39" s="155">
        <v>-2282238</v>
      </c>
      <c r="AF39" s="155">
        <v>-2868557</v>
      </c>
      <c r="AG39" s="155">
        <v>-4752306</v>
      </c>
      <c r="AH39" s="577">
        <v>-22158160</v>
      </c>
      <c r="AI39" s="571"/>
      <c r="AJ39" s="553"/>
      <c r="AK39" s="587">
        <v>7620863</v>
      </c>
      <c r="AL39" s="1">
        <v>-7620863</v>
      </c>
    </row>
    <row r="40" spans="3:40" hidden="1" x14ac:dyDescent="0.2">
      <c r="C40" s="223"/>
      <c r="E40" s="240" t="s">
        <v>533</v>
      </c>
      <c r="G40" s="575"/>
      <c r="H40" s="155"/>
      <c r="I40" s="155"/>
      <c r="J40" s="155"/>
      <c r="K40" s="155"/>
      <c r="L40" s="155"/>
      <c r="M40" s="155"/>
      <c r="N40" s="155"/>
      <c r="O40" s="155"/>
      <c r="P40" s="155"/>
      <c r="Q40" s="155"/>
      <c r="R40" s="155"/>
      <c r="S40" s="155"/>
      <c r="T40" s="155"/>
      <c r="U40" s="575"/>
      <c r="V40" s="155"/>
      <c r="W40" s="155"/>
      <c r="X40" s="155"/>
      <c r="Y40" s="155"/>
      <c r="Z40" s="155"/>
      <c r="AA40" s="155"/>
      <c r="AB40" s="155"/>
      <c r="AC40" s="155"/>
      <c r="AD40" s="155"/>
      <c r="AE40" s="155"/>
      <c r="AF40" s="155"/>
      <c r="AG40" s="155"/>
      <c r="AH40" s="577">
        <v>0</v>
      </c>
      <c r="AI40" s="571"/>
      <c r="AJ40" s="553"/>
      <c r="AK40" s="49"/>
      <c r="AL40" s="1"/>
    </row>
    <row r="41" spans="3:40" x14ac:dyDescent="0.2">
      <c r="C41" s="223"/>
      <c r="E41" s="240" t="s">
        <v>469</v>
      </c>
      <c r="G41" s="575">
        <v>-52465000</v>
      </c>
      <c r="H41" s="155">
        <v>-1200137</v>
      </c>
      <c r="I41" s="155">
        <v>-335047</v>
      </c>
      <c r="J41" s="155">
        <v>-112559</v>
      </c>
      <c r="K41" s="155">
        <v>-339545</v>
      </c>
      <c r="L41" s="155">
        <v>-212255</v>
      </c>
      <c r="M41" s="155">
        <v>-223023</v>
      </c>
      <c r="N41" s="155">
        <v>-333330</v>
      </c>
      <c r="O41" s="155">
        <v>-314155</v>
      </c>
      <c r="P41" s="155">
        <v>-59957</v>
      </c>
      <c r="Q41" s="155">
        <v>-397954</v>
      </c>
      <c r="R41" s="155">
        <v>0</v>
      </c>
      <c r="S41" s="155">
        <v>0</v>
      </c>
      <c r="T41" s="155">
        <v>-3527962</v>
      </c>
      <c r="U41" s="575">
        <v>-19427655</v>
      </c>
      <c r="V41" s="155">
        <v>-334512</v>
      </c>
      <c r="W41" s="155">
        <v>-254394</v>
      </c>
      <c r="X41" s="155">
        <v>-251090</v>
      </c>
      <c r="Y41" s="155">
        <v>-239599</v>
      </c>
      <c r="Z41" s="155">
        <v>-317003</v>
      </c>
      <c r="AA41" s="155">
        <v>-464401</v>
      </c>
      <c r="AB41" s="155">
        <v>-190972</v>
      </c>
      <c r="AC41" s="155">
        <v>-372701</v>
      </c>
      <c r="AD41" s="155">
        <v>-335951</v>
      </c>
      <c r="AE41" s="155">
        <v>-16129719</v>
      </c>
      <c r="AF41" s="155">
        <v>-239823</v>
      </c>
      <c r="AG41" s="155">
        <v>-297490</v>
      </c>
      <c r="AH41" s="577">
        <v>-18890342</v>
      </c>
      <c r="AI41" s="571"/>
      <c r="AJ41" s="553"/>
      <c r="AK41" s="49">
        <v>537313</v>
      </c>
      <c r="AL41" s="1">
        <v>-537313</v>
      </c>
    </row>
    <row r="42" spans="3:40" hidden="1" x14ac:dyDescent="0.2">
      <c r="C42" s="223"/>
      <c r="E42" s="240" t="s">
        <v>534</v>
      </c>
      <c r="G42" s="575">
        <v>0</v>
      </c>
      <c r="H42" s="155">
        <v>0</v>
      </c>
      <c r="I42" s="155">
        <v>0</v>
      </c>
      <c r="J42" s="155">
        <v>0</v>
      </c>
      <c r="K42" s="155">
        <v>0</v>
      </c>
      <c r="L42" s="155">
        <v>0</v>
      </c>
      <c r="M42" s="155">
        <v>0</v>
      </c>
      <c r="N42" s="155">
        <v>0</v>
      </c>
      <c r="O42" s="155">
        <v>0</v>
      </c>
      <c r="P42" s="155">
        <v>0</v>
      </c>
      <c r="Q42" s="155">
        <v>0</v>
      </c>
      <c r="R42" s="155">
        <v>0</v>
      </c>
      <c r="S42" s="155">
        <v>0</v>
      </c>
      <c r="T42" s="155">
        <v>0</v>
      </c>
      <c r="U42" s="575">
        <v>0</v>
      </c>
      <c r="V42" s="155">
        <v>0</v>
      </c>
      <c r="W42" s="155">
        <v>0</v>
      </c>
      <c r="X42" s="155">
        <v>0</v>
      </c>
      <c r="Y42" s="155">
        <v>0</v>
      </c>
      <c r="Z42" s="155">
        <v>0</v>
      </c>
      <c r="AA42" s="155">
        <v>0</v>
      </c>
      <c r="AB42" s="155">
        <v>0</v>
      </c>
      <c r="AC42" s="155">
        <v>0</v>
      </c>
      <c r="AD42" s="155">
        <v>0</v>
      </c>
      <c r="AE42" s="155">
        <v>0</v>
      </c>
      <c r="AF42" s="155">
        <v>0</v>
      </c>
      <c r="AG42" s="155">
        <v>0</v>
      </c>
      <c r="AH42" s="577">
        <v>0</v>
      </c>
      <c r="AI42" s="571"/>
      <c r="AJ42" s="553"/>
      <c r="AK42" s="49">
        <v>0</v>
      </c>
      <c r="AL42" s="1">
        <v>0</v>
      </c>
    </row>
    <row r="43" spans="3:40" x14ac:dyDescent="0.2">
      <c r="C43" s="223"/>
      <c r="G43" s="575"/>
      <c r="H43" s="155"/>
      <c r="I43" s="155"/>
      <c r="J43" s="155"/>
      <c r="K43" s="155"/>
      <c r="L43" s="155"/>
      <c r="M43" s="155"/>
      <c r="N43" s="155"/>
      <c r="O43" s="155"/>
      <c r="P43" s="155"/>
      <c r="Q43" s="155"/>
      <c r="R43" s="155"/>
      <c r="S43" s="155"/>
      <c r="T43" s="155"/>
      <c r="U43" s="575"/>
      <c r="V43" s="155"/>
      <c r="W43" s="155"/>
      <c r="X43" s="155"/>
      <c r="Y43" s="155"/>
      <c r="Z43" s="155"/>
      <c r="AA43" s="155"/>
      <c r="AB43" s="155"/>
      <c r="AC43" s="155"/>
      <c r="AD43" s="155"/>
      <c r="AE43" s="155"/>
      <c r="AF43" s="155"/>
      <c r="AG43" s="155"/>
      <c r="AH43" s="577"/>
      <c r="AI43" s="571"/>
      <c r="AJ43" s="553"/>
      <c r="AK43" s="49"/>
      <c r="AL43" s="1"/>
    </row>
    <row r="44" spans="3:40" x14ac:dyDescent="0.2">
      <c r="C44" s="223"/>
      <c r="D44" s="240" t="s">
        <v>535</v>
      </c>
      <c r="G44" s="575">
        <v>0</v>
      </c>
      <c r="H44" s="76">
        <v>0</v>
      </c>
      <c r="I44" s="76">
        <v>0</v>
      </c>
      <c r="J44" s="76">
        <v>0</v>
      </c>
      <c r="K44" s="76">
        <v>0</v>
      </c>
      <c r="L44" s="76">
        <v>0</v>
      </c>
      <c r="M44" s="76">
        <v>0</v>
      </c>
      <c r="N44" s="76">
        <v>0</v>
      </c>
      <c r="O44" s="76">
        <v>0</v>
      </c>
      <c r="P44" s="76">
        <v>0</v>
      </c>
      <c r="Q44" s="76">
        <v>0</v>
      </c>
      <c r="R44" s="76">
        <v>0</v>
      </c>
      <c r="S44" s="76">
        <v>0</v>
      </c>
      <c r="T44" s="155">
        <v>0</v>
      </c>
      <c r="U44" s="575">
        <v>-289290</v>
      </c>
      <c r="V44" s="76">
        <v>0</v>
      </c>
      <c r="W44" s="76">
        <v>-289290</v>
      </c>
      <c r="X44" s="76">
        <v>0</v>
      </c>
      <c r="Y44" s="76">
        <v>0</v>
      </c>
      <c r="Z44" s="76">
        <v>0</v>
      </c>
      <c r="AA44" s="76">
        <v>0</v>
      </c>
      <c r="AB44" s="76">
        <v>0</v>
      </c>
      <c r="AC44" s="76">
        <v>0</v>
      </c>
      <c r="AD44" s="76">
        <v>0</v>
      </c>
      <c r="AE44" s="76">
        <v>0</v>
      </c>
      <c r="AF44" s="76">
        <v>0</v>
      </c>
      <c r="AG44" s="76">
        <v>0</v>
      </c>
      <c r="AH44" s="577">
        <v>-289290</v>
      </c>
      <c r="AI44" s="571"/>
      <c r="AJ44" s="553"/>
      <c r="AK44" s="49">
        <v>0</v>
      </c>
      <c r="AL44" s="1">
        <v>0</v>
      </c>
    </row>
    <row r="45" spans="3:40" x14ac:dyDescent="0.2">
      <c r="C45" s="223"/>
      <c r="E45" s="240" t="s">
        <v>531</v>
      </c>
      <c r="G45" s="575">
        <v>0</v>
      </c>
      <c r="H45" s="155">
        <v>0</v>
      </c>
      <c r="I45" s="155">
        <v>0</v>
      </c>
      <c r="J45" s="155">
        <v>0</v>
      </c>
      <c r="K45" s="155">
        <v>0</v>
      </c>
      <c r="L45" s="155">
        <v>0</v>
      </c>
      <c r="M45" s="155">
        <v>0</v>
      </c>
      <c r="N45" s="155">
        <v>0</v>
      </c>
      <c r="O45" s="155">
        <v>0</v>
      </c>
      <c r="P45" s="155">
        <v>0</v>
      </c>
      <c r="Q45" s="155">
        <v>0</v>
      </c>
      <c r="R45" s="155">
        <v>0</v>
      </c>
      <c r="S45" s="155">
        <v>0</v>
      </c>
      <c r="T45" s="155">
        <v>0</v>
      </c>
      <c r="U45" s="575">
        <v>14152656</v>
      </c>
      <c r="V45" s="155">
        <v>0</v>
      </c>
      <c r="W45" s="155">
        <v>14152656</v>
      </c>
      <c r="X45" s="155">
        <v>0</v>
      </c>
      <c r="Y45" s="155">
        <v>0</v>
      </c>
      <c r="Z45" s="155">
        <v>0</v>
      </c>
      <c r="AA45" s="155">
        <v>0</v>
      </c>
      <c r="AB45" s="155">
        <v>0</v>
      </c>
      <c r="AC45" s="155">
        <v>0</v>
      </c>
      <c r="AD45" s="155">
        <v>0</v>
      </c>
      <c r="AE45" s="155">
        <v>0</v>
      </c>
      <c r="AF45" s="155">
        <v>0</v>
      </c>
      <c r="AG45" s="155">
        <v>0</v>
      </c>
      <c r="AH45" s="577">
        <v>14152656</v>
      </c>
      <c r="AI45" s="571"/>
      <c r="AJ45" s="553"/>
      <c r="AK45" s="49">
        <v>0</v>
      </c>
      <c r="AL45" s="1">
        <v>0</v>
      </c>
    </row>
    <row r="46" spans="3:40" x14ac:dyDescent="0.2">
      <c r="C46" s="223"/>
      <c r="E46" s="240" t="s">
        <v>532</v>
      </c>
      <c r="G46" s="575">
        <v>0</v>
      </c>
      <c r="H46" s="155">
        <v>0</v>
      </c>
      <c r="I46" s="155">
        <v>0</v>
      </c>
      <c r="J46" s="155">
        <v>0</v>
      </c>
      <c r="K46" s="155">
        <v>0</v>
      </c>
      <c r="L46" s="155">
        <v>0</v>
      </c>
      <c r="M46" s="155">
        <v>0</v>
      </c>
      <c r="N46" s="155">
        <v>0</v>
      </c>
      <c r="O46" s="155">
        <v>0</v>
      </c>
      <c r="P46" s="155">
        <v>0</v>
      </c>
      <c r="Q46" s="155">
        <v>0</v>
      </c>
      <c r="R46" s="155">
        <v>0</v>
      </c>
      <c r="S46" s="155">
        <v>0</v>
      </c>
      <c r="T46" s="155">
        <v>0</v>
      </c>
      <c r="U46" s="575">
        <v>-1646946</v>
      </c>
      <c r="V46" s="155">
        <v>0</v>
      </c>
      <c r="W46" s="155">
        <v>-1646946</v>
      </c>
      <c r="X46" s="155">
        <v>0</v>
      </c>
      <c r="Y46" s="155">
        <v>0</v>
      </c>
      <c r="Z46" s="155">
        <v>0</v>
      </c>
      <c r="AA46" s="155">
        <v>0</v>
      </c>
      <c r="AB46" s="155">
        <v>0</v>
      </c>
      <c r="AC46" s="155">
        <v>0</v>
      </c>
      <c r="AD46" s="155">
        <v>0</v>
      </c>
      <c r="AE46" s="155">
        <v>0</v>
      </c>
      <c r="AF46" s="155">
        <v>0</v>
      </c>
      <c r="AG46" s="155">
        <v>0</v>
      </c>
      <c r="AH46" s="577">
        <v>-1646946</v>
      </c>
      <c r="AI46" s="571"/>
      <c r="AJ46" s="553"/>
      <c r="AK46" s="49">
        <v>0</v>
      </c>
      <c r="AL46" s="1">
        <v>0</v>
      </c>
      <c r="AN46" s="1"/>
    </row>
    <row r="47" spans="3:40" x14ac:dyDescent="0.2">
      <c r="C47" s="223"/>
      <c r="E47" s="240" t="s">
        <v>536</v>
      </c>
      <c r="G47" s="575">
        <v>0</v>
      </c>
      <c r="H47" s="155">
        <v>0</v>
      </c>
      <c r="I47" s="155">
        <v>0</v>
      </c>
      <c r="J47" s="155">
        <v>0</v>
      </c>
      <c r="K47" s="155">
        <v>0</v>
      </c>
      <c r="L47" s="155">
        <v>0</v>
      </c>
      <c r="M47" s="155">
        <v>0</v>
      </c>
      <c r="N47" s="155">
        <v>0</v>
      </c>
      <c r="O47" s="155">
        <v>0</v>
      </c>
      <c r="P47" s="155">
        <v>0</v>
      </c>
      <c r="Q47" s="155">
        <v>0</v>
      </c>
      <c r="R47" s="155">
        <v>0</v>
      </c>
      <c r="S47" s="155">
        <v>0</v>
      </c>
      <c r="T47" s="155">
        <v>0</v>
      </c>
      <c r="U47" s="575">
        <v>-12795000</v>
      </c>
      <c r="V47" s="155">
        <v>0</v>
      </c>
      <c r="W47" s="155">
        <v>-12795000</v>
      </c>
      <c r="X47" s="155">
        <v>0</v>
      </c>
      <c r="Y47" s="155">
        <v>0</v>
      </c>
      <c r="Z47" s="155">
        <v>0</v>
      </c>
      <c r="AA47" s="155">
        <v>0</v>
      </c>
      <c r="AB47" s="155">
        <v>0</v>
      </c>
      <c r="AC47" s="155">
        <v>0</v>
      </c>
      <c r="AD47" s="155">
        <v>0</v>
      </c>
      <c r="AE47" s="155">
        <v>0</v>
      </c>
      <c r="AF47" s="155">
        <v>0</v>
      </c>
      <c r="AG47" s="155">
        <v>0</v>
      </c>
      <c r="AH47" s="577">
        <v>-12795000</v>
      </c>
      <c r="AI47" s="571"/>
      <c r="AJ47" s="553"/>
      <c r="AK47" s="49">
        <v>0</v>
      </c>
      <c r="AL47" s="1">
        <v>0</v>
      </c>
    </row>
    <row r="48" spans="3:40" x14ac:dyDescent="0.2">
      <c r="C48" s="223"/>
      <c r="G48" s="575"/>
      <c r="H48" s="155"/>
      <c r="I48" s="155"/>
      <c r="J48" s="155"/>
      <c r="K48" s="155"/>
      <c r="L48" s="155"/>
      <c r="M48" s="155"/>
      <c r="N48" s="155"/>
      <c r="O48" s="155"/>
      <c r="P48" s="155"/>
      <c r="Q48" s="155"/>
      <c r="R48" s="155"/>
      <c r="S48" s="155"/>
      <c r="T48" s="155"/>
      <c r="U48" s="575"/>
      <c r="V48" s="155"/>
      <c r="W48" s="155"/>
      <c r="X48" s="155"/>
      <c r="Y48" s="155"/>
      <c r="Z48" s="155"/>
      <c r="AA48" s="155"/>
      <c r="AB48" s="155"/>
      <c r="AC48" s="155"/>
      <c r="AD48" s="155"/>
      <c r="AE48" s="155"/>
      <c r="AF48" s="155"/>
      <c r="AG48" s="155"/>
      <c r="AH48" s="577"/>
      <c r="AI48" s="571"/>
      <c r="AJ48" s="553"/>
      <c r="AK48" s="49"/>
      <c r="AL48" s="1"/>
    </row>
    <row r="49" spans="3:38" x14ac:dyDescent="0.2">
      <c r="C49" s="223"/>
      <c r="D49" s="240" t="s">
        <v>537</v>
      </c>
      <c r="G49" s="575">
        <v>0</v>
      </c>
      <c r="H49" s="76">
        <v>0</v>
      </c>
      <c r="I49" s="76">
        <v>0</v>
      </c>
      <c r="J49" s="76">
        <v>0</v>
      </c>
      <c r="K49" s="76">
        <v>0</v>
      </c>
      <c r="L49" s="76">
        <v>0</v>
      </c>
      <c r="M49" s="76">
        <v>0</v>
      </c>
      <c r="N49" s="76">
        <v>0</v>
      </c>
      <c r="O49" s="76">
        <v>85877</v>
      </c>
      <c r="P49" s="76">
        <v>-85877</v>
      </c>
      <c r="Q49" s="76">
        <v>0</v>
      </c>
      <c r="R49" s="76">
        <v>0</v>
      </c>
      <c r="S49" s="76">
        <v>0</v>
      </c>
      <c r="T49" s="155">
        <v>0</v>
      </c>
      <c r="U49" s="575">
        <v>0</v>
      </c>
      <c r="V49" s="76">
        <v>0</v>
      </c>
      <c r="W49" s="76">
        <v>0</v>
      </c>
      <c r="X49" s="76">
        <v>0</v>
      </c>
      <c r="Y49" s="76">
        <v>0</v>
      </c>
      <c r="Z49" s="76">
        <v>0</v>
      </c>
      <c r="AA49" s="76">
        <v>0</v>
      </c>
      <c r="AB49" s="76">
        <v>0</v>
      </c>
      <c r="AC49" s="76">
        <v>0</v>
      </c>
      <c r="AD49" s="76">
        <v>0</v>
      </c>
      <c r="AE49" s="76">
        <v>0</v>
      </c>
      <c r="AF49" s="76">
        <v>0</v>
      </c>
      <c r="AG49" s="76">
        <v>0</v>
      </c>
      <c r="AH49" s="577">
        <v>0</v>
      </c>
      <c r="AI49" s="571"/>
      <c r="AJ49" s="553"/>
      <c r="AK49" s="49">
        <v>0</v>
      </c>
      <c r="AL49" s="1">
        <v>0</v>
      </c>
    </row>
    <row r="50" spans="3:38" x14ac:dyDescent="0.2">
      <c r="C50" s="223"/>
      <c r="E50" s="240" t="s">
        <v>538</v>
      </c>
      <c r="G50" s="575">
        <v>0</v>
      </c>
      <c r="H50" s="155">
        <v>487336</v>
      </c>
      <c r="I50" s="155">
        <v>29682</v>
      </c>
      <c r="J50" s="155">
        <v>28489</v>
      </c>
      <c r="K50" s="155">
        <v>0</v>
      </c>
      <c r="L50" s="155">
        <v>41191</v>
      </c>
      <c r="M50" s="155">
        <v>18552</v>
      </c>
      <c r="N50" s="155">
        <v>0</v>
      </c>
      <c r="O50" s="155">
        <v>85877</v>
      </c>
      <c r="P50" s="155">
        <v>204461</v>
      </c>
      <c r="Q50" s="155">
        <v>132680</v>
      </c>
      <c r="R50" s="155">
        <v>0</v>
      </c>
      <c r="S50" s="155">
        <v>0</v>
      </c>
      <c r="T50" s="155">
        <v>1028268</v>
      </c>
      <c r="U50" s="575">
        <v>4361282</v>
      </c>
      <c r="V50" s="155">
        <v>3109689</v>
      </c>
      <c r="W50" s="155">
        <v>0</v>
      </c>
      <c r="X50" s="155">
        <v>0</v>
      </c>
      <c r="Y50" s="155">
        <v>0</v>
      </c>
      <c r="Z50" s="155">
        <v>289217</v>
      </c>
      <c r="AA50" s="155">
        <v>235010</v>
      </c>
      <c r="AB50" s="155">
        <v>0</v>
      </c>
      <c r="AC50" s="155">
        <v>64127</v>
      </c>
      <c r="AD50" s="155">
        <v>0</v>
      </c>
      <c r="AE50" s="155">
        <v>0</v>
      </c>
      <c r="AF50" s="155">
        <v>0</v>
      </c>
      <c r="AG50" s="155">
        <v>663239</v>
      </c>
      <c r="AH50" s="577">
        <v>3698043</v>
      </c>
      <c r="AI50" s="571"/>
      <c r="AJ50" s="553"/>
      <c r="AK50" s="49">
        <v>-663239</v>
      </c>
      <c r="AL50" s="1">
        <v>663239</v>
      </c>
    </row>
    <row r="51" spans="3:38" x14ac:dyDescent="0.2">
      <c r="C51" s="223"/>
      <c r="E51" s="240" t="s">
        <v>539</v>
      </c>
      <c r="G51" s="575">
        <v>0</v>
      </c>
      <c r="H51" s="155">
        <v>-487336</v>
      </c>
      <c r="I51" s="155">
        <v>-29682</v>
      </c>
      <c r="J51" s="155">
        <v>-28489</v>
      </c>
      <c r="K51" s="155">
        <v>0</v>
      </c>
      <c r="L51" s="155">
        <v>-41191</v>
      </c>
      <c r="M51" s="155">
        <v>-18552</v>
      </c>
      <c r="N51" s="155">
        <v>0</v>
      </c>
      <c r="O51" s="155">
        <v>0</v>
      </c>
      <c r="P51" s="155">
        <v>-290338</v>
      </c>
      <c r="Q51" s="155">
        <v>-132680</v>
      </c>
      <c r="R51" s="155">
        <v>0</v>
      </c>
      <c r="S51" s="155">
        <v>0</v>
      </c>
      <c r="T51" s="155">
        <v>-1028268</v>
      </c>
      <c r="U51" s="575">
        <v>-4361282</v>
      </c>
      <c r="V51" s="155">
        <v>-3109689</v>
      </c>
      <c r="W51" s="155">
        <v>0</v>
      </c>
      <c r="X51" s="155">
        <v>0</v>
      </c>
      <c r="Y51" s="155">
        <v>0</v>
      </c>
      <c r="Z51" s="155">
        <v>-289217</v>
      </c>
      <c r="AA51" s="155">
        <v>-235010</v>
      </c>
      <c r="AB51" s="155">
        <v>0</v>
      </c>
      <c r="AC51" s="155">
        <v>-64127</v>
      </c>
      <c r="AD51" s="155">
        <v>0</v>
      </c>
      <c r="AE51" s="155">
        <v>0</v>
      </c>
      <c r="AF51" s="155">
        <v>0</v>
      </c>
      <c r="AG51" s="155">
        <v>-663239</v>
      </c>
      <c r="AH51" s="577">
        <v>-3698043</v>
      </c>
      <c r="AI51" s="571"/>
      <c r="AJ51" s="553"/>
      <c r="AK51" s="49">
        <v>663239</v>
      </c>
      <c r="AL51" s="1">
        <v>-663239</v>
      </c>
    </row>
    <row r="52" spans="3:38" x14ac:dyDescent="0.2">
      <c r="C52" s="223"/>
      <c r="G52" s="575"/>
      <c r="H52" s="155"/>
      <c r="I52" s="155"/>
      <c r="J52" s="155"/>
      <c r="K52" s="155"/>
      <c r="L52" s="155"/>
      <c r="M52" s="155"/>
      <c r="N52" s="155"/>
      <c r="O52" s="155"/>
      <c r="P52" s="155"/>
      <c r="Q52" s="155"/>
      <c r="R52" s="155"/>
      <c r="S52" s="155"/>
      <c r="T52" s="155"/>
      <c r="U52" s="575"/>
      <c r="V52" s="155"/>
      <c r="W52" s="155"/>
      <c r="X52" s="155"/>
      <c r="Y52" s="155"/>
      <c r="Z52" s="155"/>
      <c r="AA52" s="155"/>
      <c r="AB52" s="155"/>
      <c r="AC52" s="155"/>
      <c r="AD52" s="155"/>
      <c r="AE52" s="155"/>
      <c r="AF52" s="155"/>
      <c r="AG52" s="155"/>
      <c r="AH52" s="577"/>
      <c r="AI52" s="571"/>
      <c r="AJ52" s="553"/>
      <c r="AK52" s="49"/>
      <c r="AL52" s="1"/>
    </row>
    <row r="53" spans="3:38" ht="12.75" hidden="1" customHeight="1" x14ac:dyDescent="0.2">
      <c r="C53" s="223"/>
      <c r="D53" s="240" t="s">
        <v>540</v>
      </c>
      <c r="G53" s="198">
        <v>0</v>
      </c>
      <c r="H53" s="124">
        <v>0</v>
      </c>
      <c r="I53" s="124">
        <v>0</v>
      </c>
      <c r="J53" s="124">
        <v>0</v>
      </c>
      <c r="K53" s="124">
        <v>0</v>
      </c>
      <c r="L53" s="124">
        <v>0</v>
      </c>
      <c r="M53" s="124">
        <v>0</v>
      </c>
      <c r="N53" s="124">
        <v>0</v>
      </c>
      <c r="O53" s="124">
        <v>0</v>
      </c>
      <c r="P53" s="124">
        <v>0</v>
      </c>
      <c r="Q53" s="124">
        <v>0</v>
      </c>
      <c r="R53" s="124">
        <v>0</v>
      </c>
      <c r="S53" s="124">
        <v>0</v>
      </c>
      <c r="T53" s="124">
        <v>0</v>
      </c>
      <c r="U53" s="198">
        <v>0</v>
      </c>
      <c r="V53" s="124">
        <v>0</v>
      </c>
      <c r="W53" s="124">
        <v>0</v>
      </c>
      <c r="X53" s="124">
        <v>0</v>
      </c>
      <c r="Y53" s="124">
        <v>0</v>
      </c>
      <c r="Z53" s="124">
        <v>0</v>
      </c>
      <c r="AA53" s="124">
        <v>0</v>
      </c>
      <c r="AB53" s="124">
        <v>0</v>
      </c>
      <c r="AC53" s="124">
        <v>0</v>
      </c>
      <c r="AD53" s="124">
        <v>0</v>
      </c>
      <c r="AE53" s="124">
        <v>0</v>
      </c>
      <c r="AF53" s="124">
        <v>0</v>
      </c>
      <c r="AG53" s="124">
        <v>0</v>
      </c>
      <c r="AH53" s="588">
        <v>0</v>
      </c>
      <c r="AI53" s="571"/>
      <c r="AJ53" s="553"/>
      <c r="AK53" s="49">
        <v>0</v>
      </c>
      <c r="AL53" s="1">
        <v>0</v>
      </c>
    </row>
    <row r="54" spans="3:38" ht="12.75" hidden="1" customHeight="1" x14ac:dyDescent="0.2">
      <c r="C54" s="223"/>
      <c r="E54" s="240" t="s">
        <v>531</v>
      </c>
      <c r="G54" s="198">
        <v>0</v>
      </c>
      <c r="H54" s="124">
        <v>0</v>
      </c>
      <c r="I54" s="124">
        <v>0</v>
      </c>
      <c r="J54" s="124">
        <v>0</v>
      </c>
      <c r="K54" s="124">
        <v>0</v>
      </c>
      <c r="L54" s="124">
        <v>0</v>
      </c>
      <c r="M54" s="124">
        <v>0</v>
      </c>
      <c r="N54" s="124">
        <v>0</v>
      </c>
      <c r="O54" s="124">
        <v>0</v>
      </c>
      <c r="P54" s="124">
        <v>0</v>
      </c>
      <c r="Q54" s="124">
        <v>0</v>
      </c>
      <c r="R54" s="124">
        <v>0</v>
      </c>
      <c r="S54" s="124">
        <v>0</v>
      </c>
      <c r="T54" s="155">
        <v>0</v>
      </c>
      <c r="U54" s="198">
        <v>0</v>
      </c>
      <c r="V54" s="124">
        <v>0</v>
      </c>
      <c r="W54" s="124">
        <v>0</v>
      </c>
      <c r="X54" s="124">
        <v>0</v>
      </c>
      <c r="Y54" s="124">
        <v>0</v>
      </c>
      <c r="Z54" s="124">
        <v>0</v>
      </c>
      <c r="AA54" s="124">
        <v>0</v>
      </c>
      <c r="AB54" s="124">
        <v>0</v>
      </c>
      <c r="AC54" s="124">
        <v>0</v>
      </c>
      <c r="AD54" s="124">
        <v>0</v>
      </c>
      <c r="AE54" s="124">
        <v>0</v>
      </c>
      <c r="AF54" s="124">
        <v>0</v>
      </c>
      <c r="AG54" s="124">
        <v>0</v>
      </c>
      <c r="AH54" s="577">
        <v>0</v>
      </c>
      <c r="AI54" s="571"/>
      <c r="AJ54" s="553"/>
      <c r="AK54" s="49">
        <v>0</v>
      </c>
      <c r="AL54" s="1">
        <v>0</v>
      </c>
    </row>
    <row r="55" spans="3:38" ht="12.75" hidden="1" customHeight="1" x14ac:dyDescent="0.2">
      <c r="C55" s="223"/>
      <c r="G55" s="575"/>
      <c r="H55" s="155"/>
      <c r="I55" s="155"/>
      <c r="J55" s="155"/>
      <c r="K55" s="155"/>
      <c r="L55" s="155"/>
      <c r="M55" s="155"/>
      <c r="N55" s="155"/>
      <c r="O55" s="155"/>
      <c r="P55" s="155"/>
      <c r="Q55" s="155"/>
      <c r="R55" s="155"/>
      <c r="S55" s="155"/>
      <c r="T55" s="155"/>
      <c r="U55" s="575"/>
      <c r="V55" s="155"/>
      <c r="W55" s="155"/>
      <c r="X55" s="155"/>
      <c r="Y55" s="155"/>
      <c r="Z55" s="155"/>
      <c r="AA55" s="155"/>
      <c r="AB55" s="155"/>
      <c r="AC55" s="155"/>
      <c r="AD55" s="155"/>
      <c r="AE55" s="155"/>
      <c r="AF55" s="155"/>
      <c r="AG55" s="155"/>
      <c r="AH55" s="577"/>
      <c r="AI55" s="571"/>
      <c r="AJ55" s="553"/>
      <c r="AK55" s="49">
        <v>0</v>
      </c>
      <c r="AL55" s="1">
        <v>0</v>
      </c>
    </row>
    <row r="56" spans="3:38" s="242" customFormat="1" x14ac:dyDescent="0.2">
      <c r="C56" s="230" t="s">
        <v>319</v>
      </c>
      <c r="F56" s="248"/>
      <c r="G56" s="30">
        <v>106956000</v>
      </c>
      <c r="H56" s="27">
        <v>-777665</v>
      </c>
      <c r="I56" s="27">
        <v>-4931986</v>
      </c>
      <c r="J56" s="27">
        <v>-8699700</v>
      </c>
      <c r="K56" s="27">
        <v>86911584</v>
      </c>
      <c r="L56" s="27">
        <v>0</v>
      </c>
      <c r="M56" s="27">
        <v>0</v>
      </c>
      <c r="N56" s="27">
        <v>5008164</v>
      </c>
      <c r="O56" s="27">
        <v>-6967</v>
      </c>
      <c r="P56" s="27">
        <v>0</v>
      </c>
      <c r="Q56" s="27">
        <v>0</v>
      </c>
      <c r="R56" s="27">
        <v>0</v>
      </c>
      <c r="S56" s="27">
        <v>0</v>
      </c>
      <c r="T56" s="27">
        <v>77503430</v>
      </c>
      <c r="U56" s="30">
        <v>24823043</v>
      </c>
      <c r="V56" s="27">
        <v>-628449</v>
      </c>
      <c r="W56" s="27">
        <v>-25247385</v>
      </c>
      <c r="X56" s="27">
        <v>0</v>
      </c>
      <c r="Y56" s="27">
        <v>0</v>
      </c>
      <c r="Z56" s="27">
        <v>0</v>
      </c>
      <c r="AA56" s="27">
        <v>76052000</v>
      </c>
      <c r="AB56" s="27">
        <v>-654491</v>
      </c>
      <c r="AC56" s="27">
        <v>-6365</v>
      </c>
      <c r="AD56" s="27">
        <v>0</v>
      </c>
      <c r="AE56" s="27">
        <v>0</v>
      </c>
      <c r="AF56" s="27">
        <v>0</v>
      </c>
      <c r="AG56" s="27">
        <v>-24692267</v>
      </c>
      <c r="AH56" s="31">
        <v>49515310</v>
      </c>
      <c r="AI56" s="582"/>
      <c r="AJ56" s="248"/>
      <c r="AK56" s="49">
        <v>24692267</v>
      </c>
      <c r="AL56" s="1">
        <v>-24692267</v>
      </c>
    </row>
    <row r="57" spans="3:38" x14ac:dyDescent="0.2">
      <c r="C57" s="223"/>
      <c r="G57" s="575"/>
      <c r="H57" s="155"/>
      <c r="I57" s="155"/>
      <c r="J57" s="155"/>
      <c r="K57" s="155"/>
      <c r="L57" s="155"/>
      <c r="M57" s="155"/>
      <c r="N57" s="155"/>
      <c r="O57" s="155"/>
      <c r="P57" s="155"/>
      <c r="Q57" s="155"/>
      <c r="R57" s="155"/>
      <c r="S57" s="155"/>
      <c r="T57" s="155"/>
      <c r="U57" s="575"/>
      <c r="V57" s="155"/>
      <c r="W57" s="155"/>
      <c r="X57" s="155"/>
      <c r="Y57" s="155"/>
      <c r="Z57" s="155"/>
      <c r="AA57" s="155"/>
      <c r="AB57" s="155"/>
      <c r="AC57" s="155"/>
      <c r="AD57" s="155"/>
      <c r="AE57" s="155"/>
      <c r="AF57" s="155"/>
      <c r="AG57" s="155"/>
      <c r="AH57" s="577"/>
      <c r="AI57" s="571"/>
      <c r="AJ57" s="553"/>
      <c r="AK57" s="49"/>
      <c r="AL57" s="1"/>
    </row>
    <row r="58" spans="3:38" x14ac:dyDescent="0.2">
      <c r="C58" s="223"/>
      <c r="D58" s="240" t="s">
        <v>530</v>
      </c>
      <c r="G58" s="575">
        <v>106956000</v>
      </c>
      <c r="H58" s="575">
        <v>-777665</v>
      </c>
      <c r="I58" s="575">
        <v>-4931986</v>
      </c>
      <c r="J58" s="575">
        <v>-8699700</v>
      </c>
      <c r="K58" s="575">
        <v>86911584</v>
      </c>
      <c r="L58" s="575">
        <v>0</v>
      </c>
      <c r="M58" s="575">
        <v>0</v>
      </c>
      <c r="N58" s="575">
        <v>5008164</v>
      </c>
      <c r="O58" s="575">
        <v>-6967</v>
      </c>
      <c r="P58" s="575">
        <v>0</v>
      </c>
      <c r="Q58" s="575">
        <v>0</v>
      </c>
      <c r="R58" s="575">
        <v>0</v>
      </c>
      <c r="S58" s="575">
        <v>0</v>
      </c>
      <c r="T58" s="575">
        <v>77503430</v>
      </c>
      <c r="U58" s="575">
        <v>24823043</v>
      </c>
      <c r="V58" s="575">
        <v>-628449</v>
      </c>
      <c r="W58" s="575">
        <v>-25247385</v>
      </c>
      <c r="X58" s="575">
        <v>0</v>
      </c>
      <c r="Y58" s="575">
        <v>0</v>
      </c>
      <c r="Z58" s="575">
        <v>0</v>
      </c>
      <c r="AA58" s="575">
        <v>76052000</v>
      </c>
      <c r="AB58" s="575">
        <v>-654491</v>
      </c>
      <c r="AC58" s="575">
        <v>-6365</v>
      </c>
      <c r="AD58" s="575">
        <v>0</v>
      </c>
      <c r="AE58" s="575">
        <v>0</v>
      </c>
      <c r="AF58" s="575">
        <v>0</v>
      </c>
      <c r="AG58" s="575">
        <v>-24692267</v>
      </c>
      <c r="AH58" s="577">
        <v>49515310</v>
      </c>
      <c r="AI58" s="571"/>
      <c r="AJ58" s="553"/>
      <c r="AK58" s="49">
        <v>24692267</v>
      </c>
      <c r="AL58" s="1">
        <v>-24692267</v>
      </c>
    </row>
    <row r="59" spans="3:38" x14ac:dyDescent="0.2">
      <c r="C59" s="223"/>
      <c r="E59" s="240" t="s">
        <v>531</v>
      </c>
      <c r="G59" s="575">
        <v>121373000</v>
      </c>
      <c r="H59" s="155">
        <v>0</v>
      </c>
      <c r="I59" s="155">
        <v>0</v>
      </c>
      <c r="J59" s="155">
        <v>0</v>
      </c>
      <c r="K59" s="155">
        <v>86911584</v>
      </c>
      <c r="L59" s="155">
        <v>0</v>
      </c>
      <c r="M59" s="155">
        <v>0</v>
      </c>
      <c r="N59" s="155">
        <v>5008164</v>
      </c>
      <c r="O59" s="155">
        <v>0</v>
      </c>
      <c r="P59" s="155">
        <v>0</v>
      </c>
      <c r="Q59" s="155">
        <v>0</v>
      </c>
      <c r="R59" s="155">
        <v>0</v>
      </c>
      <c r="S59" s="155">
        <v>0</v>
      </c>
      <c r="T59" s="155">
        <v>91919748</v>
      </c>
      <c r="U59" s="575">
        <v>76052000</v>
      </c>
      <c r="V59" s="155">
        <v>0</v>
      </c>
      <c r="W59" s="155">
        <v>0</v>
      </c>
      <c r="X59" s="155">
        <v>0</v>
      </c>
      <c r="Y59" s="155">
        <v>0</v>
      </c>
      <c r="Z59" s="155">
        <v>0</v>
      </c>
      <c r="AA59" s="155">
        <v>76052000</v>
      </c>
      <c r="AB59" s="155">
        <v>0</v>
      </c>
      <c r="AC59" s="155">
        <v>0</v>
      </c>
      <c r="AD59" s="155">
        <v>0</v>
      </c>
      <c r="AE59" s="155">
        <v>0</v>
      </c>
      <c r="AF59" s="155">
        <v>0</v>
      </c>
      <c r="AG59" s="155">
        <v>0</v>
      </c>
      <c r="AH59" s="577">
        <v>76052000</v>
      </c>
      <c r="AI59" s="571"/>
      <c r="AJ59" s="553"/>
      <c r="AK59" s="49">
        <v>0</v>
      </c>
      <c r="AL59" s="1">
        <v>0</v>
      </c>
    </row>
    <row r="60" spans="3:38" hidden="1" x14ac:dyDescent="0.2">
      <c r="C60" s="223"/>
      <c r="E60" s="240" t="s">
        <v>532</v>
      </c>
      <c r="G60" s="575">
        <v>0</v>
      </c>
      <c r="H60" s="155">
        <v>0</v>
      </c>
      <c r="I60" s="155">
        <v>0</v>
      </c>
      <c r="J60" s="155">
        <v>0</v>
      </c>
      <c r="K60" s="155">
        <v>0</v>
      </c>
      <c r="L60" s="155">
        <v>0</v>
      </c>
      <c r="M60" s="155">
        <v>0</v>
      </c>
      <c r="N60" s="155">
        <v>0</v>
      </c>
      <c r="O60" s="155">
        <v>0</v>
      </c>
      <c r="P60" s="155">
        <v>0</v>
      </c>
      <c r="Q60" s="155">
        <v>0</v>
      </c>
      <c r="R60" s="155">
        <v>0</v>
      </c>
      <c r="S60" s="155">
        <v>0</v>
      </c>
      <c r="T60" s="155">
        <v>0</v>
      </c>
      <c r="U60" s="575">
        <v>0</v>
      </c>
      <c r="V60" s="155">
        <v>0</v>
      </c>
      <c r="W60" s="155">
        <v>0</v>
      </c>
      <c r="X60" s="155">
        <v>0</v>
      </c>
      <c r="Y60" s="155">
        <v>0</v>
      </c>
      <c r="Z60" s="155">
        <v>0</v>
      </c>
      <c r="AA60" s="155">
        <v>0</v>
      </c>
      <c r="AB60" s="155">
        <v>0</v>
      </c>
      <c r="AC60" s="155">
        <v>0</v>
      </c>
      <c r="AD60" s="155">
        <v>0</v>
      </c>
      <c r="AE60" s="155">
        <v>0</v>
      </c>
      <c r="AF60" s="155">
        <v>0</v>
      </c>
      <c r="AG60" s="155">
        <v>0</v>
      </c>
      <c r="AH60" s="577">
        <v>0</v>
      </c>
      <c r="AI60" s="571"/>
      <c r="AJ60" s="553"/>
      <c r="AK60" s="49">
        <v>0</v>
      </c>
      <c r="AL60" s="1">
        <v>0</v>
      </c>
    </row>
    <row r="61" spans="3:38" x14ac:dyDescent="0.2">
      <c r="C61" s="223"/>
      <c r="E61" s="240" t="s">
        <v>469</v>
      </c>
      <c r="G61" s="575"/>
      <c r="H61" s="155"/>
      <c r="I61" s="155"/>
      <c r="J61" s="155"/>
      <c r="K61" s="155"/>
      <c r="L61" s="155"/>
      <c r="M61" s="155"/>
      <c r="N61" s="155"/>
      <c r="O61" s="155"/>
      <c r="P61" s="155"/>
      <c r="Q61" s="155"/>
      <c r="R61" s="155"/>
      <c r="S61" s="155"/>
      <c r="T61" s="155"/>
      <c r="U61" s="575"/>
      <c r="V61" s="155"/>
      <c r="W61" s="155"/>
      <c r="X61" s="155"/>
      <c r="Y61" s="155"/>
      <c r="Z61" s="155"/>
      <c r="AA61" s="155"/>
      <c r="AB61" s="155"/>
      <c r="AC61" s="155"/>
      <c r="AD61" s="155"/>
      <c r="AE61" s="155"/>
      <c r="AF61" s="155"/>
      <c r="AG61" s="155"/>
      <c r="AH61" s="577"/>
      <c r="AI61" s="571"/>
      <c r="AJ61" s="553"/>
      <c r="AK61" s="49"/>
      <c r="AL61" s="1"/>
    </row>
    <row r="62" spans="3:38" x14ac:dyDescent="0.2">
      <c r="C62" s="223"/>
      <c r="E62" s="589" t="s">
        <v>541</v>
      </c>
      <c r="G62" s="575">
        <v>-7961000</v>
      </c>
      <c r="H62" s="155">
        <v>-391647</v>
      </c>
      <c r="I62" s="155">
        <v>-1962723</v>
      </c>
      <c r="J62" s="155">
        <v>-5604275</v>
      </c>
      <c r="K62" s="155">
        <v>0</v>
      </c>
      <c r="L62" s="155">
        <v>0</v>
      </c>
      <c r="M62" s="155">
        <v>0</v>
      </c>
      <c r="N62" s="155">
        <v>0</v>
      </c>
      <c r="O62" s="155">
        <v>-1940</v>
      </c>
      <c r="P62" s="155">
        <v>0</v>
      </c>
      <c r="Q62" s="155">
        <v>0</v>
      </c>
      <c r="R62" s="155">
        <v>0</v>
      </c>
      <c r="S62" s="155">
        <v>0</v>
      </c>
      <c r="T62" s="155">
        <v>-7960585</v>
      </c>
      <c r="U62" s="575">
        <v>-26952291</v>
      </c>
      <c r="V62" s="155">
        <v>-391647</v>
      </c>
      <c r="W62" s="155">
        <v>-14120864</v>
      </c>
      <c r="X62" s="155">
        <v>0</v>
      </c>
      <c r="Y62" s="155">
        <v>0</v>
      </c>
      <c r="Z62" s="155">
        <v>0</v>
      </c>
      <c r="AA62" s="155">
        <v>0</v>
      </c>
      <c r="AB62" s="155">
        <v>-391647</v>
      </c>
      <c r="AC62" s="155">
        <v>-1940</v>
      </c>
      <c r="AD62" s="155">
        <v>0</v>
      </c>
      <c r="AE62" s="155">
        <v>0</v>
      </c>
      <c r="AF62" s="155">
        <v>0</v>
      </c>
      <c r="AG62" s="155">
        <v>-12046193</v>
      </c>
      <c r="AH62" s="577">
        <v>-14906098</v>
      </c>
      <c r="AI62" s="571"/>
      <c r="AJ62" s="553"/>
      <c r="AK62" s="49">
        <v>12046193</v>
      </c>
      <c r="AL62" s="1">
        <v>-12046193</v>
      </c>
    </row>
    <row r="63" spans="3:38" x14ac:dyDescent="0.2">
      <c r="C63" s="223"/>
      <c r="E63" s="589" t="s">
        <v>542</v>
      </c>
      <c r="F63" s="583"/>
      <c r="G63" s="575">
        <v>-6456000</v>
      </c>
      <c r="H63" s="155">
        <v>-386018</v>
      </c>
      <c r="I63" s="155">
        <v>-2969263</v>
      </c>
      <c r="J63" s="155">
        <v>-3095425</v>
      </c>
      <c r="K63" s="155">
        <v>0</v>
      </c>
      <c r="L63" s="155">
        <v>0</v>
      </c>
      <c r="M63" s="155">
        <v>0</v>
      </c>
      <c r="N63" s="155">
        <v>0</v>
      </c>
      <c r="O63" s="155">
        <v>-5027</v>
      </c>
      <c r="P63" s="155">
        <v>0</v>
      </c>
      <c r="Q63" s="155">
        <v>0</v>
      </c>
      <c r="R63" s="155">
        <v>0</v>
      </c>
      <c r="S63" s="155">
        <v>0</v>
      </c>
      <c r="T63" s="155">
        <v>-6455733</v>
      </c>
      <c r="U63" s="575">
        <v>-24276666</v>
      </c>
      <c r="V63" s="155">
        <v>-236802</v>
      </c>
      <c r="W63" s="155">
        <v>-11126521</v>
      </c>
      <c r="X63" s="155">
        <v>0</v>
      </c>
      <c r="Y63" s="155">
        <v>0</v>
      </c>
      <c r="Z63" s="155">
        <v>0</v>
      </c>
      <c r="AA63" s="155">
        <v>0</v>
      </c>
      <c r="AB63" s="155">
        <v>-262844</v>
      </c>
      <c r="AC63" s="155">
        <v>-4425</v>
      </c>
      <c r="AD63" s="155">
        <v>0</v>
      </c>
      <c r="AE63" s="155">
        <v>0</v>
      </c>
      <c r="AF63" s="155">
        <v>0</v>
      </c>
      <c r="AG63" s="155">
        <v>-12646074</v>
      </c>
      <c r="AH63" s="577">
        <v>-11630592</v>
      </c>
      <c r="AI63" s="571"/>
      <c r="AJ63" s="553"/>
      <c r="AK63" s="49">
        <v>12646074</v>
      </c>
      <c r="AL63" s="1">
        <v>-12646074</v>
      </c>
    </row>
    <row r="64" spans="3:38" x14ac:dyDescent="0.2">
      <c r="C64" s="223"/>
      <c r="E64" s="589"/>
      <c r="F64" s="583"/>
      <c r="G64" s="575"/>
      <c r="H64" s="155"/>
      <c r="I64" s="155"/>
      <c r="J64" s="155"/>
      <c r="K64" s="155"/>
      <c r="L64" s="155"/>
      <c r="M64" s="155"/>
      <c r="N64" s="155"/>
      <c r="O64" s="155"/>
      <c r="P64" s="155"/>
      <c r="Q64" s="155"/>
      <c r="R64" s="155"/>
      <c r="S64" s="155"/>
      <c r="T64" s="155"/>
      <c r="U64" s="575"/>
      <c r="V64" s="155"/>
      <c r="W64" s="155"/>
      <c r="X64" s="155"/>
      <c r="Y64" s="155"/>
      <c r="Z64" s="155"/>
      <c r="AA64" s="155"/>
      <c r="AB64" s="155"/>
      <c r="AC64" s="155"/>
      <c r="AD64" s="155"/>
      <c r="AE64" s="155"/>
      <c r="AF64" s="155"/>
      <c r="AG64" s="155"/>
      <c r="AH64" s="577"/>
      <c r="AI64" s="571"/>
      <c r="AJ64" s="553"/>
      <c r="AK64" s="49"/>
      <c r="AL64" s="1"/>
    </row>
    <row r="65" spans="3:38" hidden="1" x14ac:dyDescent="0.2">
      <c r="C65" s="223"/>
      <c r="D65" s="240" t="s">
        <v>535</v>
      </c>
      <c r="F65" s="583"/>
      <c r="G65" s="575">
        <v>0</v>
      </c>
      <c r="H65" s="575">
        <v>0</v>
      </c>
      <c r="I65" s="575">
        <v>0</v>
      </c>
      <c r="J65" s="575">
        <v>0</v>
      </c>
      <c r="K65" s="575">
        <v>0</v>
      </c>
      <c r="L65" s="575">
        <v>0</v>
      </c>
      <c r="M65" s="575">
        <v>0</v>
      </c>
      <c r="N65" s="575">
        <v>0</v>
      </c>
      <c r="O65" s="575">
        <v>0</v>
      </c>
      <c r="P65" s="575">
        <v>0</v>
      </c>
      <c r="Q65" s="575">
        <v>0</v>
      </c>
      <c r="R65" s="575">
        <v>0</v>
      </c>
      <c r="S65" s="575">
        <v>0</v>
      </c>
      <c r="T65" s="155">
        <v>0</v>
      </c>
      <c r="U65" s="575">
        <v>0</v>
      </c>
      <c r="V65" s="575">
        <v>0</v>
      </c>
      <c r="W65" s="575">
        <v>0</v>
      </c>
      <c r="X65" s="575">
        <v>0</v>
      </c>
      <c r="Y65" s="575">
        <v>0</v>
      </c>
      <c r="Z65" s="575">
        <v>0</v>
      </c>
      <c r="AA65" s="575">
        <v>0</v>
      </c>
      <c r="AB65" s="575">
        <v>0</v>
      </c>
      <c r="AC65" s="575">
        <v>0</v>
      </c>
      <c r="AD65" s="575">
        <v>0</v>
      </c>
      <c r="AE65" s="575">
        <v>0</v>
      </c>
      <c r="AF65" s="575">
        <v>0</v>
      </c>
      <c r="AG65" s="575">
        <v>0</v>
      </c>
      <c r="AH65" s="577">
        <v>0</v>
      </c>
      <c r="AI65" s="571"/>
      <c r="AJ65" s="553"/>
      <c r="AK65" s="49">
        <v>0</v>
      </c>
      <c r="AL65" s="1">
        <v>0</v>
      </c>
    </row>
    <row r="66" spans="3:38" hidden="1" x14ac:dyDescent="0.2">
      <c r="C66" s="223"/>
      <c r="E66" s="240" t="s">
        <v>531</v>
      </c>
      <c r="F66" s="583"/>
      <c r="G66" s="575">
        <v>0</v>
      </c>
      <c r="H66" s="575">
        <v>0</v>
      </c>
      <c r="I66" s="575">
        <v>0</v>
      </c>
      <c r="J66" s="575">
        <v>0</v>
      </c>
      <c r="K66" s="575">
        <v>0</v>
      </c>
      <c r="L66" s="575">
        <v>0</v>
      </c>
      <c r="M66" s="575">
        <v>0</v>
      </c>
      <c r="N66" s="575">
        <v>0</v>
      </c>
      <c r="O66" s="575">
        <v>0</v>
      </c>
      <c r="P66" s="575">
        <v>0</v>
      </c>
      <c r="Q66" s="575">
        <v>0</v>
      </c>
      <c r="R66" s="575">
        <v>0</v>
      </c>
      <c r="S66" s="575">
        <v>0</v>
      </c>
      <c r="T66" s="155">
        <v>0</v>
      </c>
      <c r="U66" s="575">
        <v>0</v>
      </c>
      <c r="V66" s="575">
        <v>0</v>
      </c>
      <c r="W66" s="575">
        <v>0</v>
      </c>
      <c r="X66" s="575">
        <v>0</v>
      </c>
      <c r="Y66" s="575">
        <v>0</v>
      </c>
      <c r="Z66" s="575">
        <v>0</v>
      </c>
      <c r="AA66" s="575">
        <v>0</v>
      </c>
      <c r="AB66" s="575">
        <v>0</v>
      </c>
      <c r="AC66" s="575">
        <v>0</v>
      </c>
      <c r="AD66" s="575">
        <v>0</v>
      </c>
      <c r="AE66" s="575">
        <v>0</v>
      </c>
      <c r="AF66" s="575">
        <v>0</v>
      </c>
      <c r="AG66" s="575">
        <v>0</v>
      </c>
      <c r="AH66" s="577">
        <v>0</v>
      </c>
      <c r="AI66" s="571"/>
      <c r="AJ66" s="553"/>
      <c r="AK66" s="49">
        <v>0</v>
      </c>
      <c r="AL66" s="1">
        <v>0</v>
      </c>
    </row>
    <row r="67" spans="3:38" hidden="1" x14ac:dyDescent="0.2">
      <c r="C67" s="223"/>
      <c r="E67" s="240" t="s">
        <v>532</v>
      </c>
      <c r="F67" s="583"/>
      <c r="G67" s="575">
        <v>0</v>
      </c>
      <c r="H67" s="575">
        <v>0</v>
      </c>
      <c r="I67" s="575">
        <v>0</v>
      </c>
      <c r="J67" s="575">
        <v>0</v>
      </c>
      <c r="K67" s="575">
        <v>0</v>
      </c>
      <c r="L67" s="575">
        <v>0</v>
      </c>
      <c r="M67" s="575">
        <v>0</v>
      </c>
      <c r="N67" s="575">
        <v>0</v>
      </c>
      <c r="O67" s="575">
        <v>0</v>
      </c>
      <c r="P67" s="575">
        <v>0</v>
      </c>
      <c r="Q67" s="575">
        <v>0</v>
      </c>
      <c r="R67" s="575">
        <v>0</v>
      </c>
      <c r="S67" s="575">
        <v>0</v>
      </c>
      <c r="T67" s="155">
        <v>0</v>
      </c>
      <c r="U67" s="575">
        <v>0</v>
      </c>
      <c r="V67" s="575">
        <v>0</v>
      </c>
      <c r="W67" s="575">
        <v>0</v>
      </c>
      <c r="X67" s="575">
        <v>0</v>
      </c>
      <c r="Y67" s="575">
        <v>0</v>
      </c>
      <c r="Z67" s="575">
        <v>0</v>
      </c>
      <c r="AA67" s="575">
        <v>0</v>
      </c>
      <c r="AB67" s="575">
        <v>0</v>
      </c>
      <c r="AC67" s="575">
        <v>0</v>
      </c>
      <c r="AD67" s="575">
        <v>0</v>
      </c>
      <c r="AE67" s="575">
        <v>0</v>
      </c>
      <c r="AF67" s="575">
        <v>0</v>
      </c>
      <c r="AG67" s="575">
        <v>0</v>
      </c>
      <c r="AH67" s="577">
        <v>0</v>
      </c>
      <c r="AI67" s="571"/>
      <c r="AJ67" s="553"/>
      <c r="AK67" s="49">
        <v>0</v>
      </c>
      <c r="AL67" s="1">
        <v>0</v>
      </c>
    </row>
    <row r="68" spans="3:38" hidden="1" x14ac:dyDescent="0.2">
      <c r="C68" s="223"/>
      <c r="E68" s="240" t="s">
        <v>543</v>
      </c>
      <c r="F68" s="583"/>
      <c r="G68" s="575"/>
      <c r="H68" s="575"/>
      <c r="I68" s="575"/>
      <c r="J68" s="575"/>
      <c r="K68" s="575"/>
      <c r="L68" s="575"/>
      <c r="M68" s="575"/>
      <c r="N68" s="575"/>
      <c r="O68" s="575"/>
      <c r="P68" s="575"/>
      <c r="Q68" s="575"/>
      <c r="R68" s="575"/>
      <c r="S68" s="575"/>
      <c r="T68" s="155"/>
      <c r="U68" s="575"/>
      <c r="V68" s="575"/>
      <c r="W68" s="575"/>
      <c r="X68" s="575"/>
      <c r="Y68" s="575"/>
      <c r="Z68" s="575"/>
      <c r="AA68" s="575"/>
      <c r="AB68" s="575"/>
      <c r="AC68" s="575"/>
      <c r="AD68" s="575"/>
      <c r="AE68" s="575"/>
      <c r="AF68" s="575"/>
      <c r="AG68" s="575"/>
      <c r="AH68" s="577"/>
      <c r="AI68" s="571"/>
      <c r="AJ68" s="553"/>
      <c r="AK68" s="49">
        <v>0</v>
      </c>
      <c r="AL68" s="1">
        <v>0</v>
      </c>
    </row>
    <row r="69" spans="3:38" hidden="1" x14ac:dyDescent="0.2">
      <c r="C69" s="223"/>
      <c r="E69" s="589" t="s">
        <v>541</v>
      </c>
      <c r="F69" s="583"/>
      <c r="G69" s="575">
        <v>0</v>
      </c>
      <c r="H69" s="575">
        <v>0</v>
      </c>
      <c r="I69" s="575">
        <v>0</v>
      </c>
      <c r="J69" s="575">
        <v>0</v>
      </c>
      <c r="K69" s="575">
        <v>0</v>
      </c>
      <c r="L69" s="575">
        <v>0</v>
      </c>
      <c r="M69" s="575">
        <v>0</v>
      </c>
      <c r="N69" s="575">
        <v>0</v>
      </c>
      <c r="O69" s="575">
        <v>0</v>
      </c>
      <c r="P69" s="575">
        <v>0</v>
      </c>
      <c r="Q69" s="575">
        <v>0</v>
      </c>
      <c r="R69" s="575">
        <v>0</v>
      </c>
      <c r="S69" s="575">
        <v>0</v>
      </c>
      <c r="T69" s="155">
        <v>0</v>
      </c>
      <c r="U69" s="575">
        <v>0</v>
      </c>
      <c r="V69" s="575">
        <v>0</v>
      </c>
      <c r="W69" s="575">
        <v>0</v>
      </c>
      <c r="X69" s="575">
        <v>0</v>
      </c>
      <c r="Y69" s="575">
        <v>0</v>
      </c>
      <c r="Z69" s="575">
        <v>0</v>
      </c>
      <c r="AA69" s="575">
        <v>0</v>
      </c>
      <c r="AB69" s="575">
        <v>0</v>
      </c>
      <c r="AC69" s="575">
        <v>0</v>
      </c>
      <c r="AD69" s="575">
        <v>0</v>
      </c>
      <c r="AE69" s="575">
        <v>0</v>
      </c>
      <c r="AF69" s="575">
        <v>0</v>
      </c>
      <c r="AG69" s="575">
        <v>0</v>
      </c>
      <c r="AH69" s="577">
        <v>0</v>
      </c>
      <c r="AI69" s="571"/>
      <c r="AJ69" s="553"/>
      <c r="AK69" s="49">
        <v>0</v>
      </c>
      <c r="AL69" s="1">
        <v>0</v>
      </c>
    </row>
    <row r="70" spans="3:38" hidden="1" x14ac:dyDescent="0.2">
      <c r="C70" s="223"/>
      <c r="E70" s="589" t="s">
        <v>542</v>
      </c>
      <c r="F70" s="583"/>
      <c r="G70" s="575">
        <v>0</v>
      </c>
      <c r="H70" s="575">
        <v>0</v>
      </c>
      <c r="I70" s="575">
        <v>0</v>
      </c>
      <c r="J70" s="575">
        <v>0</v>
      </c>
      <c r="K70" s="575">
        <v>0</v>
      </c>
      <c r="L70" s="575">
        <v>0</v>
      </c>
      <c r="M70" s="575">
        <v>0</v>
      </c>
      <c r="N70" s="575">
        <v>0</v>
      </c>
      <c r="O70" s="575">
        <v>0</v>
      </c>
      <c r="P70" s="575">
        <v>0</v>
      </c>
      <c r="Q70" s="575">
        <v>0</v>
      </c>
      <c r="R70" s="575">
        <v>0</v>
      </c>
      <c r="S70" s="575">
        <v>0</v>
      </c>
      <c r="T70" s="155">
        <v>0</v>
      </c>
      <c r="U70" s="575">
        <v>0</v>
      </c>
      <c r="V70" s="575">
        <v>0</v>
      </c>
      <c r="W70" s="575">
        <v>0</v>
      </c>
      <c r="X70" s="575">
        <v>0</v>
      </c>
      <c r="Y70" s="575">
        <v>0</v>
      </c>
      <c r="Z70" s="575">
        <v>0</v>
      </c>
      <c r="AA70" s="575">
        <v>0</v>
      </c>
      <c r="AB70" s="575">
        <v>0</v>
      </c>
      <c r="AC70" s="575">
        <v>0</v>
      </c>
      <c r="AD70" s="575">
        <v>0</v>
      </c>
      <c r="AE70" s="575">
        <v>0</v>
      </c>
      <c r="AF70" s="575">
        <v>0</v>
      </c>
      <c r="AG70" s="575">
        <v>0</v>
      </c>
      <c r="AH70" s="577">
        <v>0</v>
      </c>
      <c r="AI70" s="571"/>
      <c r="AJ70" s="553"/>
      <c r="AK70" s="49">
        <v>0</v>
      </c>
      <c r="AL70" s="1">
        <v>0</v>
      </c>
    </row>
    <row r="71" spans="3:38" hidden="1" x14ac:dyDescent="0.2">
      <c r="C71" s="223"/>
      <c r="E71" s="589"/>
      <c r="F71" s="583"/>
      <c r="G71" s="575"/>
      <c r="H71" s="575"/>
      <c r="I71" s="575"/>
      <c r="J71" s="575"/>
      <c r="K71" s="575"/>
      <c r="L71" s="575"/>
      <c r="M71" s="575"/>
      <c r="N71" s="575"/>
      <c r="O71" s="575"/>
      <c r="P71" s="575"/>
      <c r="Q71" s="575"/>
      <c r="R71" s="575"/>
      <c r="S71" s="575"/>
      <c r="T71" s="155"/>
      <c r="U71" s="575"/>
      <c r="V71" s="575"/>
      <c r="W71" s="575"/>
      <c r="X71" s="575"/>
      <c r="Y71" s="575"/>
      <c r="Z71" s="575"/>
      <c r="AA71" s="575"/>
      <c r="AB71" s="575"/>
      <c r="AC71" s="575"/>
      <c r="AD71" s="575"/>
      <c r="AE71" s="575"/>
      <c r="AF71" s="575"/>
      <c r="AG71" s="575"/>
      <c r="AH71" s="577"/>
      <c r="AI71" s="571"/>
      <c r="AJ71" s="553"/>
      <c r="AK71" s="49">
        <v>0</v>
      </c>
      <c r="AL71" s="1">
        <v>0</v>
      </c>
    </row>
    <row r="72" spans="3:38" hidden="1" x14ac:dyDescent="0.2">
      <c r="C72" s="223"/>
      <c r="D72" s="240" t="s">
        <v>544</v>
      </c>
      <c r="F72" s="583"/>
      <c r="G72" s="575">
        <v>0</v>
      </c>
      <c r="H72" s="575">
        <v>0</v>
      </c>
      <c r="I72" s="575">
        <v>0</v>
      </c>
      <c r="J72" s="575">
        <v>0</v>
      </c>
      <c r="K72" s="575">
        <v>0</v>
      </c>
      <c r="L72" s="575">
        <v>0</v>
      </c>
      <c r="M72" s="575">
        <v>0</v>
      </c>
      <c r="N72" s="575">
        <v>0</v>
      </c>
      <c r="O72" s="575">
        <v>0</v>
      </c>
      <c r="P72" s="575">
        <v>0</v>
      </c>
      <c r="Q72" s="575">
        <v>0</v>
      </c>
      <c r="R72" s="575">
        <v>0</v>
      </c>
      <c r="S72" s="575">
        <v>0</v>
      </c>
      <c r="T72" s="155">
        <v>0</v>
      </c>
      <c r="U72" s="575">
        <v>0</v>
      </c>
      <c r="V72" s="575">
        <v>0</v>
      </c>
      <c r="W72" s="575">
        <v>0</v>
      </c>
      <c r="X72" s="575">
        <v>0</v>
      </c>
      <c r="Y72" s="575">
        <v>0</v>
      </c>
      <c r="Z72" s="575">
        <v>0</v>
      </c>
      <c r="AA72" s="575">
        <v>0</v>
      </c>
      <c r="AB72" s="575">
        <v>0</v>
      </c>
      <c r="AC72" s="575">
        <v>0</v>
      </c>
      <c r="AD72" s="575">
        <v>0</v>
      </c>
      <c r="AE72" s="575">
        <v>0</v>
      </c>
      <c r="AF72" s="575">
        <v>0</v>
      </c>
      <c r="AG72" s="575">
        <v>0</v>
      </c>
      <c r="AH72" s="577">
        <v>0</v>
      </c>
      <c r="AI72" s="571"/>
      <c r="AJ72" s="553"/>
      <c r="AK72" s="49">
        <v>0</v>
      </c>
      <c r="AL72" s="1">
        <v>0</v>
      </c>
    </row>
    <row r="73" spans="3:38" hidden="1" x14ac:dyDescent="0.2">
      <c r="C73" s="223"/>
      <c r="E73" s="240" t="s">
        <v>531</v>
      </c>
      <c r="F73" s="583"/>
      <c r="G73" s="575">
        <v>0</v>
      </c>
      <c r="H73" s="575">
        <v>0</v>
      </c>
      <c r="I73" s="575">
        <v>0</v>
      </c>
      <c r="J73" s="575">
        <v>0</v>
      </c>
      <c r="K73" s="575">
        <v>0</v>
      </c>
      <c r="L73" s="575">
        <v>0</v>
      </c>
      <c r="M73" s="575">
        <v>0</v>
      </c>
      <c r="N73" s="575">
        <v>0</v>
      </c>
      <c r="O73" s="575">
        <v>0</v>
      </c>
      <c r="P73" s="575">
        <v>0</v>
      </c>
      <c r="Q73" s="575">
        <v>0</v>
      </c>
      <c r="R73" s="575">
        <v>0</v>
      </c>
      <c r="S73" s="575">
        <v>0</v>
      </c>
      <c r="T73" s="155">
        <v>0</v>
      </c>
      <c r="U73" s="575">
        <v>0</v>
      </c>
      <c r="V73" s="575">
        <v>0</v>
      </c>
      <c r="W73" s="575">
        <v>0</v>
      </c>
      <c r="X73" s="575">
        <v>0</v>
      </c>
      <c r="Y73" s="575">
        <v>0</v>
      </c>
      <c r="Z73" s="575">
        <v>0</v>
      </c>
      <c r="AA73" s="575">
        <v>0</v>
      </c>
      <c r="AB73" s="575">
        <v>0</v>
      </c>
      <c r="AC73" s="575">
        <v>0</v>
      </c>
      <c r="AD73" s="575">
        <v>0</v>
      </c>
      <c r="AE73" s="575">
        <v>0</v>
      </c>
      <c r="AF73" s="575">
        <v>0</v>
      </c>
      <c r="AG73" s="575">
        <v>0</v>
      </c>
      <c r="AH73" s="577">
        <v>0</v>
      </c>
      <c r="AI73" s="571"/>
      <c r="AJ73" s="553"/>
      <c r="AK73" s="49">
        <v>0</v>
      </c>
      <c r="AL73" s="1">
        <v>0</v>
      </c>
    </row>
    <row r="74" spans="3:38" hidden="1" x14ac:dyDescent="0.2">
      <c r="C74" s="223"/>
      <c r="E74" s="240" t="s">
        <v>532</v>
      </c>
      <c r="F74" s="583"/>
      <c r="G74" s="575">
        <v>0</v>
      </c>
      <c r="H74" s="575">
        <v>0</v>
      </c>
      <c r="I74" s="575">
        <v>0</v>
      </c>
      <c r="J74" s="575">
        <v>0</v>
      </c>
      <c r="K74" s="575">
        <v>0</v>
      </c>
      <c r="L74" s="575">
        <v>0</v>
      </c>
      <c r="M74" s="575">
        <v>0</v>
      </c>
      <c r="N74" s="575">
        <v>0</v>
      </c>
      <c r="O74" s="575">
        <v>0</v>
      </c>
      <c r="P74" s="575">
        <v>0</v>
      </c>
      <c r="Q74" s="575">
        <v>0</v>
      </c>
      <c r="R74" s="575">
        <v>0</v>
      </c>
      <c r="S74" s="575">
        <v>0</v>
      </c>
      <c r="T74" s="155">
        <v>0</v>
      </c>
      <c r="U74" s="575">
        <v>0</v>
      </c>
      <c r="V74" s="575">
        <v>0</v>
      </c>
      <c r="W74" s="575">
        <v>0</v>
      </c>
      <c r="X74" s="575">
        <v>0</v>
      </c>
      <c r="Y74" s="575">
        <v>0</v>
      </c>
      <c r="Z74" s="575">
        <v>0</v>
      </c>
      <c r="AA74" s="575">
        <v>0</v>
      </c>
      <c r="AB74" s="575">
        <v>0</v>
      </c>
      <c r="AC74" s="575">
        <v>0</v>
      </c>
      <c r="AD74" s="575">
        <v>0</v>
      </c>
      <c r="AE74" s="575">
        <v>0</v>
      </c>
      <c r="AF74" s="575">
        <v>0</v>
      </c>
      <c r="AG74" s="575">
        <v>0</v>
      </c>
      <c r="AH74" s="577">
        <v>0</v>
      </c>
      <c r="AI74" s="571"/>
      <c r="AJ74" s="553"/>
      <c r="AK74" s="49">
        <v>0</v>
      </c>
      <c r="AL74" s="1">
        <v>0</v>
      </c>
    </row>
    <row r="75" spans="3:38" hidden="1" x14ac:dyDescent="0.2">
      <c r="C75" s="223"/>
      <c r="E75" s="240" t="s">
        <v>545</v>
      </c>
      <c r="F75" s="583"/>
      <c r="G75" s="575"/>
      <c r="H75" s="575"/>
      <c r="I75" s="575"/>
      <c r="J75" s="575"/>
      <c r="K75" s="575"/>
      <c r="L75" s="575"/>
      <c r="M75" s="575"/>
      <c r="N75" s="575"/>
      <c r="O75" s="575"/>
      <c r="P75" s="575"/>
      <c r="Q75" s="575"/>
      <c r="R75" s="575"/>
      <c r="S75" s="575"/>
      <c r="T75" s="155"/>
      <c r="U75" s="575"/>
      <c r="V75" s="575"/>
      <c r="W75" s="575"/>
      <c r="X75" s="575"/>
      <c r="Y75" s="575"/>
      <c r="Z75" s="575"/>
      <c r="AA75" s="575"/>
      <c r="AB75" s="575"/>
      <c r="AC75" s="575"/>
      <c r="AD75" s="575"/>
      <c r="AE75" s="575"/>
      <c r="AF75" s="575"/>
      <c r="AG75" s="575"/>
      <c r="AH75" s="577"/>
      <c r="AI75" s="571"/>
      <c r="AJ75" s="553"/>
      <c r="AK75" s="49">
        <v>0</v>
      </c>
      <c r="AL75" s="1">
        <v>0</v>
      </c>
    </row>
    <row r="76" spans="3:38" hidden="1" x14ac:dyDescent="0.2">
      <c r="C76" s="223"/>
      <c r="E76" s="589" t="s">
        <v>541</v>
      </c>
      <c r="F76" s="583"/>
      <c r="G76" s="575">
        <v>0</v>
      </c>
      <c r="H76" s="575">
        <v>0</v>
      </c>
      <c r="I76" s="575">
        <v>0</v>
      </c>
      <c r="J76" s="575">
        <v>0</v>
      </c>
      <c r="K76" s="575">
        <v>0</v>
      </c>
      <c r="L76" s="575">
        <v>0</v>
      </c>
      <c r="M76" s="575">
        <v>0</v>
      </c>
      <c r="N76" s="575">
        <v>0</v>
      </c>
      <c r="O76" s="575">
        <v>0</v>
      </c>
      <c r="P76" s="575">
        <v>0</v>
      </c>
      <c r="Q76" s="575">
        <v>0</v>
      </c>
      <c r="R76" s="575">
        <v>0</v>
      </c>
      <c r="S76" s="575">
        <v>0</v>
      </c>
      <c r="T76" s="155">
        <v>0</v>
      </c>
      <c r="U76" s="575">
        <v>0</v>
      </c>
      <c r="V76" s="575">
        <v>0</v>
      </c>
      <c r="W76" s="575">
        <v>0</v>
      </c>
      <c r="X76" s="575">
        <v>0</v>
      </c>
      <c r="Y76" s="575">
        <v>0</v>
      </c>
      <c r="Z76" s="575">
        <v>0</v>
      </c>
      <c r="AA76" s="575">
        <v>0</v>
      </c>
      <c r="AB76" s="575">
        <v>0</v>
      </c>
      <c r="AC76" s="575">
        <v>0</v>
      </c>
      <c r="AD76" s="575">
        <v>0</v>
      </c>
      <c r="AE76" s="575">
        <v>0</v>
      </c>
      <c r="AF76" s="575">
        <v>0</v>
      </c>
      <c r="AG76" s="575">
        <v>0</v>
      </c>
      <c r="AH76" s="577">
        <v>0</v>
      </c>
      <c r="AI76" s="571"/>
      <c r="AJ76" s="553"/>
      <c r="AK76" s="49">
        <v>0</v>
      </c>
      <c r="AL76" s="1">
        <v>0</v>
      </c>
    </row>
    <row r="77" spans="3:38" hidden="1" x14ac:dyDescent="0.2">
      <c r="C77" s="223"/>
      <c r="E77" s="589" t="s">
        <v>542</v>
      </c>
      <c r="F77" s="583"/>
      <c r="G77" s="575">
        <v>0</v>
      </c>
      <c r="H77" s="575">
        <v>0</v>
      </c>
      <c r="I77" s="575">
        <v>0</v>
      </c>
      <c r="J77" s="575">
        <v>0</v>
      </c>
      <c r="K77" s="575">
        <v>0</v>
      </c>
      <c r="L77" s="575">
        <v>0</v>
      </c>
      <c r="M77" s="575">
        <v>0</v>
      </c>
      <c r="N77" s="575">
        <v>0</v>
      </c>
      <c r="O77" s="575">
        <v>0</v>
      </c>
      <c r="P77" s="575">
        <v>0</v>
      </c>
      <c r="Q77" s="575">
        <v>0</v>
      </c>
      <c r="R77" s="575">
        <v>0</v>
      </c>
      <c r="S77" s="575">
        <v>0</v>
      </c>
      <c r="T77" s="155">
        <v>0</v>
      </c>
      <c r="U77" s="575">
        <v>0</v>
      </c>
      <c r="V77" s="575">
        <v>0</v>
      </c>
      <c r="W77" s="575">
        <v>0</v>
      </c>
      <c r="X77" s="575">
        <v>0</v>
      </c>
      <c r="Y77" s="575">
        <v>0</v>
      </c>
      <c r="Z77" s="575">
        <v>0</v>
      </c>
      <c r="AA77" s="575">
        <v>0</v>
      </c>
      <c r="AB77" s="575">
        <v>0</v>
      </c>
      <c r="AC77" s="575">
        <v>0</v>
      </c>
      <c r="AD77" s="575">
        <v>0</v>
      </c>
      <c r="AE77" s="575">
        <v>0</v>
      </c>
      <c r="AF77" s="575">
        <v>0</v>
      </c>
      <c r="AG77" s="575">
        <v>0</v>
      </c>
      <c r="AH77" s="577">
        <v>0</v>
      </c>
      <c r="AI77" s="571"/>
      <c r="AJ77" s="553"/>
      <c r="AK77" s="49">
        <v>0</v>
      </c>
      <c r="AL77" s="1">
        <v>0</v>
      </c>
    </row>
    <row r="78" spans="3:38" hidden="1" x14ac:dyDescent="0.2">
      <c r="C78" s="223"/>
      <c r="F78" s="583"/>
      <c r="G78" s="575"/>
      <c r="H78" s="155"/>
      <c r="I78" s="155"/>
      <c r="J78" s="155"/>
      <c r="K78" s="155"/>
      <c r="L78" s="155"/>
      <c r="M78" s="155"/>
      <c r="N78" s="155"/>
      <c r="O78" s="155"/>
      <c r="P78" s="155"/>
      <c r="Q78" s="155"/>
      <c r="R78" s="155"/>
      <c r="S78" s="155"/>
      <c r="T78" s="155"/>
      <c r="U78" s="575"/>
      <c r="V78" s="155"/>
      <c r="W78" s="155"/>
      <c r="X78" s="155"/>
      <c r="Y78" s="155"/>
      <c r="Z78" s="155"/>
      <c r="AA78" s="155"/>
      <c r="AB78" s="155"/>
      <c r="AC78" s="155"/>
      <c r="AD78" s="155"/>
      <c r="AE78" s="155"/>
      <c r="AF78" s="155"/>
      <c r="AG78" s="155"/>
      <c r="AH78" s="577"/>
      <c r="AI78" s="571"/>
      <c r="AJ78" s="553"/>
      <c r="AK78" s="49">
        <v>0</v>
      </c>
      <c r="AL78" s="1">
        <v>0</v>
      </c>
    </row>
    <row r="79" spans="3:38" hidden="1" x14ac:dyDescent="0.2">
      <c r="C79" s="223"/>
      <c r="G79" s="575"/>
      <c r="H79" s="155"/>
      <c r="I79" s="155"/>
      <c r="J79" s="155"/>
      <c r="K79" s="155"/>
      <c r="L79" s="155"/>
      <c r="M79" s="155"/>
      <c r="N79" s="155"/>
      <c r="O79" s="155"/>
      <c r="P79" s="155"/>
      <c r="Q79" s="155"/>
      <c r="R79" s="155"/>
      <c r="S79" s="155"/>
      <c r="T79" s="155"/>
      <c r="U79" s="575"/>
      <c r="V79" s="155"/>
      <c r="W79" s="155"/>
      <c r="X79" s="155"/>
      <c r="Y79" s="155"/>
      <c r="Z79" s="155"/>
      <c r="AA79" s="155"/>
      <c r="AB79" s="155"/>
      <c r="AC79" s="155"/>
      <c r="AD79" s="155"/>
      <c r="AE79" s="155"/>
      <c r="AF79" s="155"/>
      <c r="AG79" s="155"/>
      <c r="AH79" s="577"/>
      <c r="AI79" s="571"/>
      <c r="AJ79" s="553"/>
      <c r="AK79" s="49">
        <v>0</v>
      </c>
      <c r="AL79" s="1">
        <v>0</v>
      </c>
    </row>
    <row r="80" spans="3:38" s="242" customFormat="1" x14ac:dyDescent="0.2">
      <c r="C80" s="230" t="s">
        <v>546</v>
      </c>
      <c r="F80" s="570" t="s">
        <v>547</v>
      </c>
      <c r="G80" s="30">
        <v>47835711.668461092</v>
      </c>
      <c r="H80" s="27">
        <v>15659489</v>
      </c>
      <c r="I80" s="27">
        <v>-128367.74399999995</v>
      </c>
      <c r="J80" s="27">
        <v>-20445485</v>
      </c>
      <c r="K80" s="27">
        <v>-78401907</v>
      </c>
      <c r="L80" s="27">
        <v>68828004</v>
      </c>
      <c r="M80" s="27">
        <v>-19226275</v>
      </c>
      <c r="N80" s="27">
        <v>-23714757</v>
      </c>
      <c r="O80" s="27">
        <v>-17589146</v>
      </c>
      <c r="P80" s="27">
        <v>-23681013</v>
      </c>
      <c r="Q80" s="27">
        <v>59627181</v>
      </c>
      <c r="R80" s="27">
        <v>378365248</v>
      </c>
      <c r="S80" s="27">
        <v>0</v>
      </c>
      <c r="T80" s="27">
        <v>-39072276.744000003</v>
      </c>
      <c r="U80" s="30">
        <v>-992946.23488045018</v>
      </c>
      <c r="V80" s="27">
        <v>22552116</v>
      </c>
      <c r="W80" s="27">
        <v>4370804</v>
      </c>
      <c r="X80" s="27">
        <v>-78436505</v>
      </c>
      <c r="Y80" s="27">
        <v>80693607</v>
      </c>
      <c r="Z80" s="27">
        <v>4029291</v>
      </c>
      <c r="AA80" s="27">
        <v>-82870298</v>
      </c>
      <c r="AB80" s="27">
        <v>4688204</v>
      </c>
      <c r="AC80" s="27">
        <v>-2800476</v>
      </c>
      <c r="AD80" s="27">
        <v>-3885130</v>
      </c>
      <c r="AE80" s="27">
        <v>33890860</v>
      </c>
      <c r="AF80" s="27">
        <v>-23025988</v>
      </c>
      <c r="AG80" s="27">
        <v>39800620.765119553</v>
      </c>
      <c r="AH80" s="31">
        <v>-17767527</v>
      </c>
      <c r="AI80" s="582"/>
      <c r="AJ80" s="248"/>
      <c r="AK80" s="49">
        <v>-16774580.765119549</v>
      </c>
      <c r="AL80" s="1">
        <v>16774632.765119553</v>
      </c>
    </row>
    <row r="81" spans="2:38" x14ac:dyDescent="0.2">
      <c r="C81" s="223"/>
      <c r="E81" s="240" t="s">
        <v>548</v>
      </c>
      <c r="G81" s="575">
        <v>7368043.66846109</v>
      </c>
      <c r="H81" s="155">
        <v>0</v>
      </c>
      <c r="I81" s="155">
        <v>871744.25600000005</v>
      </c>
      <c r="J81" s="155">
        <v>0</v>
      </c>
      <c r="K81" s="155">
        <v>104039</v>
      </c>
      <c r="L81" s="155">
        <v>0</v>
      </c>
      <c r="M81" s="155">
        <v>3836</v>
      </c>
      <c r="N81" s="155">
        <v>1831061</v>
      </c>
      <c r="O81" s="155">
        <v>2236273</v>
      </c>
      <c r="P81" s="155">
        <v>1620990</v>
      </c>
      <c r="Q81" s="155">
        <v>89678</v>
      </c>
      <c r="R81" s="155">
        <v>0</v>
      </c>
      <c r="S81" s="155">
        <v>0</v>
      </c>
      <c r="T81" s="155">
        <v>6757621.2560000001</v>
      </c>
      <c r="U81" s="575">
        <v>11453893</v>
      </c>
      <c r="V81" s="155">
        <v>1285536</v>
      </c>
      <c r="W81" s="155">
        <v>0</v>
      </c>
      <c r="X81" s="155">
        <v>12272</v>
      </c>
      <c r="Y81" s="155">
        <v>0</v>
      </c>
      <c r="Z81" s="155">
        <v>1736821</v>
      </c>
      <c r="AA81" s="155">
        <v>245929</v>
      </c>
      <c r="AB81" s="155">
        <v>1889237</v>
      </c>
      <c r="AC81" s="155">
        <v>1146180</v>
      </c>
      <c r="AD81" s="155">
        <v>1005353</v>
      </c>
      <c r="AE81" s="155">
        <v>41798</v>
      </c>
      <c r="AF81" s="155">
        <v>360442</v>
      </c>
      <c r="AG81" s="155">
        <v>3730325</v>
      </c>
      <c r="AH81" s="577">
        <v>7363126</v>
      </c>
      <c r="AI81" s="571"/>
      <c r="AJ81" s="553"/>
      <c r="AK81" s="49">
        <v>-4090767</v>
      </c>
      <c r="AL81" s="1">
        <v>4090767</v>
      </c>
    </row>
    <row r="82" spans="2:38" x14ac:dyDescent="0.2">
      <c r="C82" s="223"/>
      <c r="E82" s="240" t="s">
        <v>549</v>
      </c>
      <c r="F82" s="590"/>
      <c r="G82" s="155">
        <v>0</v>
      </c>
      <c r="H82" s="591">
        <v>34143659</v>
      </c>
      <c r="I82" s="591">
        <v>-4349966</v>
      </c>
      <c r="J82" s="591">
        <v>2527515</v>
      </c>
      <c r="K82" s="591">
        <v>-24856159</v>
      </c>
      <c r="L82" s="591">
        <v>26866570</v>
      </c>
      <c r="M82" s="591">
        <v>-5977613</v>
      </c>
      <c r="N82" s="591">
        <v>15416167</v>
      </c>
      <c r="O82" s="591">
        <v>-315227</v>
      </c>
      <c r="P82" s="591">
        <v>-6539100</v>
      </c>
      <c r="Q82" s="591">
        <v>59957836</v>
      </c>
      <c r="R82" s="591">
        <v>0</v>
      </c>
      <c r="S82" s="591">
        <v>0</v>
      </c>
      <c r="T82" s="155">
        <v>96873682</v>
      </c>
      <c r="U82" s="155">
        <v>-17008126</v>
      </c>
      <c r="V82" s="591">
        <v>-17895405</v>
      </c>
      <c r="W82" s="591">
        <v>-2162772</v>
      </c>
      <c r="X82" s="591">
        <v>1746060</v>
      </c>
      <c r="Y82" s="591">
        <v>9207825</v>
      </c>
      <c r="Z82" s="591">
        <v>-8222766</v>
      </c>
      <c r="AA82" s="591">
        <v>21412052</v>
      </c>
      <c r="AB82" s="591">
        <v>67094</v>
      </c>
      <c r="AC82" s="591">
        <v>5423083</v>
      </c>
      <c r="AD82" s="591">
        <v>3006040</v>
      </c>
      <c r="AE82" s="591">
        <v>484408</v>
      </c>
      <c r="AF82" s="591">
        <v>4553332</v>
      </c>
      <c r="AG82" s="591">
        <v>-34627077</v>
      </c>
      <c r="AH82" s="577">
        <v>13065619</v>
      </c>
      <c r="AI82" s="571"/>
      <c r="AJ82" s="553"/>
      <c r="AK82" s="49">
        <v>30073745</v>
      </c>
      <c r="AL82" s="1">
        <v>-30073745</v>
      </c>
    </row>
    <row r="83" spans="2:38" x14ac:dyDescent="0.2">
      <c r="C83" s="223"/>
      <c r="E83" s="240" t="s">
        <v>331</v>
      </c>
      <c r="G83" s="575">
        <v>0</v>
      </c>
      <c r="H83" s="155">
        <v>0</v>
      </c>
      <c r="I83" s="155">
        <v>0</v>
      </c>
      <c r="J83" s="155">
        <v>0</v>
      </c>
      <c r="K83" s="155">
        <v>0</v>
      </c>
      <c r="L83" s="155">
        <v>0</v>
      </c>
      <c r="M83" s="155">
        <v>0</v>
      </c>
      <c r="N83" s="155">
        <v>0</v>
      </c>
      <c r="O83" s="155">
        <v>0</v>
      </c>
      <c r="P83" s="155">
        <v>0</v>
      </c>
      <c r="Q83" s="155">
        <v>0</v>
      </c>
      <c r="R83" s="155">
        <v>0</v>
      </c>
      <c r="S83" s="155">
        <v>0</v>
      </c>
      <c r="T83" s="155">
        <v>0</v>
      </c>
      <c r="U83" s="575">
        <v>2087301.7651195501</v>
      </c>
      <c r="V83" s="155">
        <v>0</v>
      </c>
      <c r="W83" s="155">
        <v>0</v>
      </c>
      <c r="X83" s="155">
        <v>0</v>
      </c>
      <c r="Y83" s="155">
        <v>0</v>
      </c>
      <c r="Z83" s="155">
        <v>0</v>
      </c>
      <c r="AA83" s="155">
        <v>0</v>
      </c>
      <c r="AB83" s="155">
        <v>0</v>
      </c>
      <c r="AC83" s="155">
        <v>0</v>
      </c>
      <c r="AD83" s="155">
        <v>0</v>
      </c>
      <c r="AE83" s="155">
        <v>0</v>
      </c>
      <c r="AF83" s="155">
        <v>0</v>
      </c>
      <c r="AG83" s="155">
        <v>2087353.7651195501</v>
      </c>
      <c r="AH83" s="577">
        <v>0</v>
      </c>
      <c r="AI83" s="571"/>
      <c r="AJ83" s="553"/>
      <c r="AK83" s="49">
        <v>-2087301.7651195501</v>
      </c>
      <c r="AL83" s="1">
        <v>2087353.7651195501</v>
      </c>
    </row>
    <row r="84" spans="2:38" x14ac:dyDescent="0.2">
      <c r="C84" s="223"/>
      <c r="E84" s="240" t="s">
        <v>550</v>
      </c>
      <c r="G84" s="575">
        <v>40467668</v>
      </c>
      <c r="H84" s="155">
        <v>-18484170</v>
      </c>
      <c r="I84" s="155">
        <v>3349854</v>
      </c>
      <c r="J84" s="155">
        <v>-22973000</v>
      </c>
      <c r="K84" s="155">
        <v>-53649787</v>
      </c>
      <c r="L84" s="155">
        <v>41961434</v>
      </c>
      <c r="M84" s="155">
        <v>-13252498</v>
      </c>
      <c r="N84" s="155">
        <v>-40961985</v>
      </c>
      <c r="O84" s="155">
        <v>-19510192</v>
      </c>
      <c r="P84" s="155">
        <v>-18762903</v>
      </c>
      <c r="Q84" s="155">
        <v>-420333</v>
      </c>
      <c r="R84" s="155">
        <v>378365248</v>
      </c>
      <c r="S84" s="155">
        <v>0</v>
      </c>
      <c r="T84" s="155">
        <v>-142703580</v>
      </c>
      <c r="U84" s="575">
        <v>2473985</v>
      </c>
      <c r="V84" s="155">
        <v>39161985</v>
      </c>
      <c r="W84" s="155">
        <v>6533576</v>
      </c>
      <c r="X84" s="155">
        <v>-80194837</v>
      </c>
      <c r="Y84" s="155">
        <v>71485782</v>
      </c>
      <c r="Z84" s="155">
        <v>10515236</v>
      </c>
      <c r="AA84" s="155">
        <v>-104528279</v>
      </c>
      <c r="AB84" s="155">
        <v>2731873</v>
      </c>
      <c r="AC84" s="155">
        <v>-9369739</v>
      </c>
      <c r="AD84" s="155">
        <v>-7896523</v>
      </c>
      <c r="AE84" s="155">
        <v>33364654</v>
      </c>
      <c r="AF84" s="155">
        <v>-27939762</v>
      </c>
      <c r="AG84" s="155">
        <v>68610019</v>
      </c>
      <c r="AH84" s="577">
        <v>-38196272</v>
      </c>
      <c r="AI84" s="571"/>
      <c r="AJ84" s="553"/>
      <c r="AK84" s="49">
        <v>-40670257</v>
      </c>
      <c r="AL84" s="1">
        <v>40670257</v>
      </c>
    </row>
    <row r="85" spans="2:38" x14ac:dyDescent="0.2">
      <c r="C85" s="592"/>
      <c r="D85" s="243"/>
      <c r="E85" s="243"/>
      <c r="F85" s="593"/>
      <c r="G85" s="594"/>
      <c r="H85" s="595"/>
      <c r="I85" s="595"/>
      <c r="J85" s="595"/>
      <c r="K85" s="595"/>
      <c r="L85" s="595"/>
      <c r="M85" s="595"/>
      <c r="N85" s="595"/>
      <c r="O85" s="595"/>
      <c r="P85" s="595"/>
      <c r="Q85" s="595"/>
      <c r="R85" s="595"/>
      <c r="S85" s="595"/>
      <c r="T85" s="595"/>
      <c r="U85" s="594"/>
      <c r="V85" s="595"/>
      <c r="W85" s="595"/>
      <c r="X85" s="595"/>
      <c r="Y85" s="595"/>
      <c r="Z85" s="595"/>
      <c r="AA85" s="595"/>
      <c r="AB85" s="595"/>
      <c r="AC85" s="595"/>
      <c r="AD85" s="595"/>
      <c r="AE85" s="595"/>
      <c r="AF85" s="595"/>
      <c r="AG85" s="595"/>
      <c r="AH85" s="596"/>
      <c r="AI85" s="571"/>
      <c r="AJ85" s="553"/>
      <c r="AK85" s="49"/>
      <c r="AL85" s="1"/>
    </row>
    <row r="86" spans="2:38" x14ac:dyDescent="0.2">
      <c r="G86" s="597"/>
      <c r="H86" s="597"/>
      <c r="I86" s="597"/>
      <c r="J86" s="597"/>
      <c r="K86" s="597"/>
      <c r="L86" s="597"/>
      <c r="M86" s="597"/>
      <c r="N86" s="597"/>
      <c r="O86" s="597"/>
      <c r="P86" s="597"/>
      <c r="Q86" s="597"/>
      <c r="R86" s="597"/>
      <c r="S86" s="597"/>
      <c r="T86" s="597"/>
      <c r="U86" s="597"/>
      <c r="V86" s="597"/>
      <c r="W86" s="597"/>
      <c r="X86" s="597"/>
      <c r="Y86" s="597"/>
      <c r="Z86" s="597"/>
      <c r="AA86" s="597"/>
      <c r="AB86" s="597"/>
      <c r="AC86" s="597"/>
      <c r="AD86" s="597"/>
      <c r="AE86" s="597"/>
      <c r="AF86" s="597"/>
      <c r="AG86" s="597"/>
      <c r="AH86" s="597"/>
      <c r="AI86" s="553"/>
      <c r="AJ86" s="553"/>
      <c r="AK86" s="49"/>
      <c r="AL86" s="1"/>
    </row>
    <row r="87" spans="2:38" x14ac:dyDescent="0.2">
      <c r="B87" s="556"/>
      <c r="C87" s="598"/>
      <c r="D87" s="599"/>
      <c r="E87" s="600"/>
      <c r="F87" s="601"/>
      <c r="G87" s="602"/>
      <c r="H87" s="603"/>
      <c r="I87" s="603"/>
      <c r="J87" s="603"/>
      <c r="K87" s="603"/>
      <c r="L87" s="603"/>
      <c r="M87" s="603"/>
      <c r="N87" s="603"/>
      <c r="O87" s="603"/>
      <c r="P87" s="603"/>
      <c r="Q87" s="603"/>
      <c r="R87" s="603"/>
      <c r="S87" s="603"/>
      <c r="T87" s="602"/>
      <c r="U87" s="602"/>
      <c r="V87" s="603"/>
      <c r="W87" s="603"/>
      <c r="X87" s="603"/>
      <c r="Y87" s="603"/>
      <c r="Z87" s="603"/>
      <c r="AA87" s="603"/>
      <c r="AB87" s="603"/>
      <c r="AC87" s="603"/>
      <c r="AD87" s="603"/>
      <c r="AE87" s="603"/>
      <c r="AF87" s="603"/>
      <c r="AG87" s="603"/>
      <c r="AH87" s="604"/>
      <c r="AI87" s="582"/>
      <c r="AJ87" s="553"/>
      <c r="AK87" s="49"/>
      <c r="AL87" s="1"/>
    </row>
    <row r="88" spans="2:38" s="242" customFormat="1" x14ac:dyDescent="0.2">
      <c r="B88" s="578"/>
      <c r="C88" s="259" t="s">
        <v>551</v>
      </c>
      <c r="D88" s="605"/>
      <c r="F88" s="570" t="s">
        <v>547</v>
      </c>
      <c r="G88" s="30">
        <v>40467668</v>
      </c>
      <c r="H88" s="27">
        <v>-18484170</v>
      </c>
      <c r="I88" s="27">
        <v>3349854</v>
      </c>
      <c r="J88" s="27">
        <v>-22973000</v>
      </c>
      <c r="K88" s="27">
        <v>-53649787</v>
      </c>
      <c r="L88" s="27">
        <v>41961434</v>
      </c>
      <c r="M88" s="27">
        <v>-13252498</v>
      </c>
      <c r="N88" s="27">
        <v>-40961985</v>
      </c>
      <c r="O88" s="27">
        <v>-19510192</v>
      </c>
      <c r="P88" s="27">
        <v>-18762903</v>
      </c>
      <c r="Q88" s="27">
        <v>-420333</v>
      </c>
      <c r="R88" s="27">
        <v>378365248</v>
      </c>
      <c r="S88" s="27">
        <v>0</v>
      </c>
      <c r="T88" s="30">
        <v>-142703580</v>
      </c>
      <c r="U88" s="30">
        <v>2473985</v>
      </c>
      <c r="V88" s="27">
        <v>39161985</v>
      </c>
      <c r="W88" s="27">
        <v>6533576</v>
      </c>
      <c r="X88" s="27">
        <v>-80194837</v>
      </c>
      <c r="Y88" s="27">
        <v>71485782</v>
      </c>
      <c r="Z88" s="27">
        <v>10515236</v>
      </c>
      <c r="AA88" s="27">
        <v>-104528279</v>
      </c>
      <c r="AB88" s="27">
        <v>2731873</v>
      </c>
      <c r="AC88" s="27">
        <v>-9369739</v>
      </c>
      <c r="AD88" s="27">
        <v>-7896523</v>
      </c>
      <c r="AE88" s="27">
        <v>33364654</v>
      </c>
      <c r="AF88" s="27">
        <v>-27939762</v>
      </c>
      <c r="AG88" s="27">
        <v>68610019</v>
      </c>
      <c r="AH88" s="31">
        <v>-38196272</v>
      </c>
      <c r="AI88" s="571"/>
      <c r="AJ88" s="248"/>
      <c r="AK88" s="49">
        <v>-40670257</v>
      </c>
      <c r="AL88" s="1">
        <v>40670257</v>
      </c>
    </row>
    <row r="89" spans="2:38" x14ac:dyDescent="0.2">
      <c r="B89" s="556"/>
      <c r="C89" s="606"/>
      <c r="D89" s="607"/>
      <c r="G89" s="575"/>
      <c r="H89" s="155"/>
      <c r="I89" s="155"/>
      <c r="J89" s="155"/>
      <c r="K89" s="155"/>
      <c r="L89" s="155"/>
      <c r="M89" s="155"/>
      <c r="N89" s="155"/>
      <c r="O89" s="155"/>
      <c r="P89" s="155"/>
      <c r="Q89" s="155"/>
      <c r="R89" s="155"/>
      <c r="S89" s="155"/>
      <c r="T89" s="575"/>
      <c r="U89" s="575"/>
      <c r="V89" s="155"/>
      <c r="W89" s="155"/>
      <c r="X89" s="155"/>
      <c r="Y89" s="155"/>
      <c r="Z89" s="155"/>
      <c r="AA89" s="155"/>
      <c r="AB89" s="155"/>
      <c r="AC89" s="155"/>
      <c r="AD89" s="155"/>
      <c r="AE89" s="155"/>
      <c r="AF89" s="155"/>
      <c r="AG89" s="155"/>
      <c r="AH89" s="577"/>
      <c r="AI89" s="571"/>
      <c r="AJ89" s="553"/>
      <c r="AK89" s="49"/>
      <c r="AL89" s="1"/>
    </row>
    <row r="90" spans="2:38" x14ac:dyDescent="0.2">
      <c r="B90" s="556"/>
      <c r="C90" s="223" t="s">
        <v>552</v>
      </c>
      <c r="F90" s="570" t="s">
        <v>553</v>
      </c>
      <c r="G90" s="608">
        <v>235661668</v>
      </c>
      <c r="H90" s="124">
        <v>235661668</v>
      </c>
      <c r="I90" s="124">
        <v>254145838</v>
      </c>
      <c r="J90" s="124">
        <v>250795984</v>
      </c>
      <c r="K90" s="124">
        <v>273768984</v>
      </c>
      <c r="L90" s="124">
        <v>327418771</v>
      </c>
      <c r="M90" s="124">
        <v>285457337</v>
      </c>
      <c r="N90" s="124">
        <v>298709835</v>
      </c>
      <c r="O90" s="124">
        <v>339671820</v>
      </c>
      <c r="P90" s="124">
        <v>359182012</v>
      </c>
      <c r="Q90" s="124">
        <v>377944915</v>
      </c>
      <c r="R90" s="124">
        <v>378365248</v>
      </c>
      <c r="S90" s="124">
        <v>0</v>
      </c>
      <c r="T90" s="198">
        <v>235661668</v>
      </c>
      <c r="U90" s="608">
        <v>238135653</v>
      </c>
      <c r="V90" s="124">
        <v>238135653</v>
      </c>
      <c r="W90" s="124">
        <v>198973668</v>
      </c>
      <c r="X90" s="124">
        <v>192440092</v>
      </c>
      <c r="Y90" s="124">
        <v>272634929</v>
      </c>
      <c r="Z90" s="124">
        <v>201149147</v>
      </c>
      <c r="AA90" s="124">
        <v>190633911</v>
      </c>
      <c r="AB90" s="124">
        <v>295162190</v>
      </c>
      <c r="AC90" s="124">
        <v>292430317</v>
      </c>
      <c r="AD90" s="124">
        <v>301800056</v>
      </c>
      <c r="AE90" s="124">
        <v>309696579</v>
      </c>
      <c r="AF90" s="124">
        <v>276331925</v>
      </c>
      <c r="AG90" s="124">
        <v>304271687</v>
      </c>
      <c r="AH90" s="588">
        <v>238135653</v>
      </c>
      <c r="AI90" s="571"/>
      <c r="AJ90" s="553"/>
      <c r="AK90" s="49">
        <v>0</v>
      </c>
      <c r="AL90" s="1"/>
    </row>
    <row r="91" spans="2:38" x14ac:dyDescent="0.2">
      <c r="B91" s="556"/>
      <c r="C91" s="284"/>
      <c r="D91" s="270"/>
      <c r="E91" s="240" t="s">
        <v>554</v>
      </c>
      <c r="G91" s="575">
        <v>191125443</v>
      </c>
      <c r="H91" s="76">
        <v>191125443</v>
      </c>
      <c r="I91" s="76">
        <v>188398825</v>
      </c>
      <c r="J91" s="76">
        <v>183966537</v>
      </c>
      <c r="K91" s="76">
        <v>174786407</v>
      </c>
      <c r="L91" s="76">
        <v>216993276</v>
      </c>
      <c r="M91" s="76">
        <v>178904480</v>
      </c>
      <c r="N91" s="76">
        <v>162851119</v>
      </c>
      <c r="O91" s="76">
        <v>150789653</v>
      </c>
      <c r="P91" s="76">
        <v>150112405</v>
      </c>
      <c r="Q91" s="76">
        <v>143765580</v>
      </c>
      <c r="R91" s="76">
        <v>142480438</v>
      </c>
      <c r="S91" s="76">
        <v>0</v>
      </c>
      <c r="T91" s="575">
        <v>191125443</v>
      </c>
      <c r="U91" s="575">
        <v>174717635</v>
      </c>
      <c r="V91" s="76">
        <v>174717635</v>
      </c>
      <c r="W91" s="76">
        <v>171432024</v>
      </c>
      <c r="X91" s="76">
        <v>159100607</v>
      </c>
      <c r="Y91" s="76">
        <v>157556488</v>
      </c>
      <c r="Z91" s="76">
        <v>154393121</v>
      </c>
      <c r="AA91" s="76">
        <v>153790115</v>
      </c>
      <c r="AB91" s="76">
        <v>226475319</v>
      </c>
      <c r="AC91" s="76">
        <v>223710506</v>
      </c>
      <c r="AD91" s="76">
        <v>222808884</v>
      </c>
      <c r="AE91" s="76">
        <v>216296990</v>
      </c>
      <c r="AF91" s="76">
        <v>214990489</v>
      </c>
      <c r="AG91" s="76">
        <v>214239939</v>
      </c>
      <c r="AH91" s="577">
        <v>174717635</v>
      </c>
      <c r="AI91" s="571"/>
      <c r="AJ91" s="553"/>
      <c r="AK91" s="49">
        <v>0</v>
      </c>
      <c r="AL91" s="1"/>
    </row>
    <row r="92" spans="2:38" x14ac:dyDescent="0.2">
      <c r="B92" s="556"/>
      <c r="C92" s="284"/>
      <c r="D92" s="270"/>
      <c r="E92" s="240" t="s">
        <v>555</v>
      </c>
      <c r="G92" s="575">
        <v>44536225</v>
      </c>
      <c r="H92" s="76">
        <v>44536225</v>
      </c>
      <c r="I92" s="76">
        <v>65747013</v>
      </c>
      <c r="J92" s="76">
        <v>66829447</v>
      </c>
      <c r="K92" s="76">
        <v>98982577</v>
      </c>
      <c r="L92" s="76">
        <v>110425495</v>
      </c>
      <c r="M92" s="76">
        <v>106552857</v>
      </c>
      <c r="N92" s="76">
        <v>135858716</v>
      </c>
      <c r="O92" s="76">
        <v>188882167</v>
      </c>
      <c r="P92" s="76">
        <v>209069607</v>
      </c>
      <c r="Q92" s="76">
        <v>234179335</v>
      </c>
      <c r="R92" s="76">
        <v>235884810</v>
      </c>
      <c r="S92" s="76">
        <v>0</v>
      </c>
      <c r="T92" s="575">
        <v>44536225</v>
      </c>
      <c r="U92" s="575">
        <v>63418018</v>
      </c>
      <c r="V92" s="76">
        <v>63418018</v>
      </c>
      <c r="W92" s="76">
        <v>27541644</v>
      </c>
      <c r="X92" s="76">
        <v>33339485</v>
      </c>
      <c r="Y92" s="76">
        <v>115078441</v>
      </c>
      <c r="Z92" s="76">
        <v>46756026</v>
      </c>
      <c r="AA92" s="76">
        <v>36843796</v>
      </c>
      <c r="AB92" s="76">
        <v>68686871</v>
      </c>
      <c r="AC92" s="76">
        <v>68719811</v>
      </c>
      <c r="AD92" s="76">
        <v>78991172</v>
      </c>
      <c r="AE92" s="76">
        <v>93399589</v>
      </c>
      <c r="AF92" s="76">
        <v>61341436</v>
      </c>
      <c r="AG92" s="76">
        <v>90031748</v>
      </c>
      <c r="AH92" s="577">
        <v>63418018</v>
      </c>
      <c r="AI92" s="571"/>
      <c r="AJ92" s="553"/>
      <c r="AK92" s="49">
        <v>0</v>
      </c>
      <c r="AL92" s="1"/>
    </row>
    <row r="93" spans="2:38" hidden="1" x14ac:dyDescent="0.2">
      <c r="B93" s="556"/>
      <c r="C93" s="223"/>
      <c r="E93" s="240" t="s">
        <v>556</v>
      </c>
      <c r="G93" s="575">
        <v>0</v>
      </c>
      <c r="H93" s="155">
        <v>0</v>
      </c>
      <c r="I93" s="155">
        <v>0</v>
      </c>
      <c r="J93" s="155">
        <v>0</v>
      </c>
      <c r="K93" s="155">
        <v>0</v>
      </c>
      <c r="L93" s="155">
        <v>0</v>
      </c>
      <c r="M93" s="155">
        <v>0</v>
      </c>
      <c r="N93" s="155">
        <v>0</v>
      </c>
      <c r="O93" s="155">
        <v>0</v>
      </c>
      <c r="P93" s="155">
        <v>0</v>
      </c>
      <c r="Q93" s="155">
        <v>0</v>
      </c>
      <c r="R93" s="155">
        <v>0</v>
      </c>
      <c r="S93" s="155">
        <v>0</v>
      </c>
      <c r="T93" s="575">
        <v>0</v>
      </c>
      <c r="U93" s="575">
        <v>0</v>
      </c>
      <c r="V93" s="155">
        <v>0</v>
      </c>
      <c r="W93" s="155">
        <v>0</v>
      </c>
      <c r="X93" s="155">
        <v>0</v>
      </c>
      <c r="Y93" s="155">
        <v>0</v>
      </c>
      <c r="Z93" s="155">
        <v>0</v>
      </c>
      <c r="AA93" s="155">
        <v>0</v>
      </c>
      <c r="AB93" s="155">
        <v>0</v>
      </c>
      <c r="AC93" s="155">
        <v>0</v>
      </c>
      <c r="AD93" s="155">
        <v>0</v>
      </c>
      <c r="AE93" s="155">
        <v>0</v>
      </c>
      <c r="AF93" s="155">
        <v>0</v>
      </c>
      <c r="AG93" s="155">
        <v>0</v>
      </c>
      <c r="AH93" s="577">
        <v>0</v>
      </c>
      <c r="AI93" s="582"/>
      <c r="AJ93" s="553"/>
      <c r="AK93" s="49">
        <v>0</v>
      </c>
      <c r="AL93" s="1"/>
    </row>
    <row r="94" spans="2:38" x14ac:dyDescent="0.2">
      <c r="B94" s="556"/>
      <c r="C94" s="223"/>
      <c r="G94" s="575"/>
      <c r="H94" s="155"/>
      <c r="I94" s="155"/>
      <c r="J94" s="155"/>
      <c r="K94" s="155"/>
      <c r="L94" s="155"/>
      <c r="M94" s="155"/>
      <c r="N94" s="155"/>
      <c r="O94" s="155"/>
      <c r="P94" s="155"/>
      <c r="Q94" s="155"/>
      <c r="R94" s="155"/>
      <c r="S94" s="155"/>
      <c r="T94" s="575"/>
      <c r="U94" s="575"/>
      <c r="V94" s="155"/>
      <c r="W94" s="155"/>
      <c r="X94" s="155"/>
      <c r="Y94" s="155"/>
      <c r="Z94" s="155"/>
      <c r="AA94" s="155"/>
      <c r="AB94" s="155"/>
      <c r="AC94" s="155"/>
      <c r="AD94" s="155"/>
      <c r="AE94" s="155"/>
      <c r="AF94" s="155"/>
      <c r="AG94" s="155"/>
      <c r="AH94" s="577"/>
      <c r="AI94" s="571"/>
      <c r="AJ94" s="553"/>
      <c r="AK94" s="49"/>
      <c r="AL94" s="1"/>
    </row>
    <row r="95" spans="2:38" hidden="1" x14ac:dyDescent="0.2">
      <c r="B95" s="556"/>
      <c r="C95" s="223"/>
      <c r="G95" s="575"/>
      <c r="H95" s="155"/>
      <c r="I95" s="155"/>
      <c r="J95" s="155"/>
      <c r="K95" s="155"/>
      <c r="L95" s="155"/>
      <c r="M95" s="155"/>
      <c r="N95" s="155"/>
      <c r="O95" s="155"/>
      <c r="P95" s="155"/>
      <c r="Q95" s="155"/>
      <c r="R95" s="155"/>
      <c r="S95" s="155"/>
      <c r="T95" s="575"/>
      <c r="U95" s="575"/>
      <c r="V95" s="155"/>
      <c r="W95" s="155"/>
      <c r="X95" s="155"/>
      <c r="Y95" s="155"/>
      <c r="Z95" s="155"/>
      <c r="AA95" s="155"/>
      <c r="AB95" s="155"/>
      <c r="AC95" s="155"/>
      <c r="AD95" s="155"/>
      <c r="AE95" s="155"/>
      <c r="AF95" s="155"/>
      <c r="AG95" s="155"/>
      <c r="AH95" s="577"/>
      <c r="AI95" s="571"/>
      <c r="AJ95" s="553"/>
      <c r="AK95" s="49">
        <v>0</v>
      </c>
      <c r="AL95" s="1"/>
    </row>
    <row r="96" spans="2:38" x14ac:dyDescent="0.2">
      <c r="B96" s="556"/>
      <c r="C96" s="223" t="s">
        <v>557</v>
      </c>
      <c r="G96" s="76">
        <v>195194000</v>
      </c>
      <c r="H96" s="155">
        <v>254145838</v>
      </c>
      <c r="I96" s="155">
        <v>250795984</v>
      </c>
      <c r="J96" s="155">
        <v>273768984</v>
      </c>
      <c r="K96" s="155">
        <v>327418771</v>
      </c>
      <c r="L96" s="155">
        <v>285457337</v>
      </c>
      <c r="M96" s="155">
        <v>298709835</v>
      </c>
      <c r="N96" s="155">
        <v>339671820</v>
      </c>
      <c r="O96" s="155">
        <v>359182012</v>
      </c>
      <c r="P96" s="155">
        <v>377944915</v>
      </c>
      <c r="Q96" s="155">
        <v>378365248</v>
      </c>
      <c r="R96" s="155">
        <v>0</v>
      </c>
      <c r="S96" s="155">
        <v>0</v>
      </c>
      <c r="T96" s="575">
        <v>378365248</v>
      </c>
      <c r="U96" s="76">
        <v>235661668</v>
      </c>
      <c r="V96" s="155">
        <v>198973668</v>
      </c>
      <c r="W96" s="155">
        <v>192440092</v>
      </c>
      <c r="X96" s="155">
        <v>272634929</v>
      </c>
      <c r="Y96" s="155">
        <v>201149147</v>
      </c>
      <c r="Z96" s="155">
        <v>190633911</v>
      </c>
      <c r="AA96" s="155">
        <v>295162190</v>
      </c>
      <c r="AB96" s="155">
        <v>292430317</v>
      </c>
      <c r="AC96" s="155">
        <v>301800056</v>
      </c>
      <c r="AD96" s="155">
        <v>309696579</v>
      </c>
      <c r="AE96" s="155">
        <v>276331925</v>
      </c>
      <c r="AF96" s="155">
        <v>304271687</v>
      </c>
      <c r="AG96" s="155">
        <v>235661668</v>
      </c>
      <c r="AH96" s="577">
        <v>276331925</v>
      </c>
      <c r="AI96" s="571"/>
      <c r="AJ96" s="553"/>
      <c r="AK96" s="49">
        <v>40670257</v>
      </c>
      <c r="AL96" s="1"/>
    </row>
    <row r="97" spans="2:38" x14ac:dyDescent="0.2">
      <c r="B97" s="556"/>
      <c r="C97" s="223"/>
      <c r="E97" s="240" t="s">
        <v>554</v>
      </c>
      <c r="G97" s="575">
        <v>145194000</v>
      </c>
      <c r="H97" s="76">
        <v>188398825</v>
      </c>
      <c r="I97" s="76">
        <v>183966537</v>
      </c>
      <c r="J97" s="76">
        <v>174786407</v>
      </c>
      <c r="K97" s="76">
        <v>216993276</v>
      </c>
      <c r="L97" s="76">
        <v>178904480</v>
      </c>
      <c r="M97" s="76">
        <v>162851119</v>
      </c>
      <c r="N97" s="76">
        <v>150789653</v>
      </c>
      <c r="O97" s="76">
        <v>150112405</v>
      </c>
      <c r="P97" s="76">
        <v>143765580</v>
      </c>
      <c r="Q97" s="76">
        <v>142480438</v>
      </c>
      <c r="R97" s="76">
        <v>0</v>
      </c>
      <c r="S97" s="76">
        <v>0</v>
      </c>
      <c r="T97" s="575">
        <v>142480438</v>
      </c>
      <c r="U97" s="575">
        <v>191125443</v>
      </c>
      <c r="V97" s="76">
        <v>171432024</v>
      </c>
      <c r="W97" s="76">
        <v>159100607</v>
      </c>
      <c r="X97" s="76">
        <v>157556488</v>
      </c>
      <c r="Y97" s="76">
        <v>154393121</v>
      </c>
      <c r="Z97" s="76">
        <v>153790115</v>
      </c>
      <c r="AA97" s="76">
        <v>226475319</v>
      </c>
      <c r="AB97" s="76">
        <v>223710506</v>
      </c>
      <c r="AC97" s="76">
        <v>222808884</v>
      </c>
      <c r="AD97" s="76">
        <v>216296990</v>
      </c>
      <c r="AE97" s="76">
        <v>214990489</v>
      </c>
      <c r="AF97" s="76">
        <v>214239939</v>
      </c>
      <c r="AG97" s="76">
        <v>191125443</v>
      </c>
      <c r="AH97" s="80">
        <v>214990489</v>
      </c>
      <c r="AI97" s="571"/>
      <c r="AJ97" s="553"/>
      <c r="AK97" s="49">
        <v>23865046</v>
      </c>
      <c r="AL97" s="1"/>
    </row>
    <row r="98" spans="2:38" x14ac:dyDescent="0.2">
      <c r="B98" s="556"/>
      <c r="C98" s="223"/>
      <c r="E98" s="240" t="s">
        <v>558</v>
      </c>
      <c r="F98" s="570"/>
      <c r="G98" s="575">
        <v>50000000</v>
      </c>
      <c r="H98" s="76">
        <v>65747013</v>
      </c>
      <c r="I98" s="76">
        <v>66829447</v>
      </c>
      <c r="J98" s="76">
        <v>98982577</v>
      </c>
      <c r="K98" s="76">
        <v>110425495</v>
      </c>
      <c r="L98" s="76">
        <v>106552857</v>
      </c>
      <c r="M98" s="76">
        <v>135858716</v>
      </c>
      <c r="N98" s="76">
        <v>188882167</v>
      </c>
      <c r="O98" s="76">
        <v>209069607</v>
      </c>
      <c r="P98" s="76">
        <v>234179335</v>
      </c>
      <c r="Q98" s="76">
        <v>235884810</v>
      </c>
      <c r="R98" s="76">
        <v>0</v>
      </c>
      <c r="S98" s="76">
        <v>0</v>
      </c>
      <c r="T98" s="575">
        <v>235884810</v>
      </c>
      <c r="U98" s="575">
        <v>44536225</v>
      </c>
      <c r="V98" s="76">
        <v>27541644</v>
      </c>
      <c r="W98" s="76">
        <v>33339485</v>
      </c>
      <c r="X98" s="76">
        <v>115078441</v>
      </c>
      <c r="Y98" s="76">
        <v>46756026</v>
      </c>
      <c r="Z98" s="76">
        <v>36843796</v>
      </c>
      <c r="AA98" s="76">
        <v>68686871</v>
      </c>
      <c r="AB98" s="76">
        <v>68719811</v>
      </c>
      <c r="AC98" s="76">
        <v>78991172</v>
      </c>
      <c r="AD98" s="76">
        <v>93399589</v>
      </c>
      <c r="AE98" s="76">
        <v>61341436</v>
      </c>
      <c r="AF98" s="76">
        <v>90031748</v>
      </c>
      <c r="AG98" s="76">
        <v>44536225</v>
      </c>
      <c r="AH98" s="80">
        <v>61341436</v>
      </c>
      <c r="AI98" s="571"/>
      <c r="AJ98" s="553"/>
      <c r="AK98" s="49">
        <v>16805211</v>
      </c>
      <c r="AL98" s="1"/>
    </row>
    <row r="99" spans="2:38" hidden="1" x14ac:dyDescent="0.2">
      <c r="C99" s="223"/>
      <c r="E99" s="240" t="s">
        <v>556</v>
      </c>
      <c r="G99" s="575">
        <v>0</v>
      </c>
      <c r="H99" s="575">
        <v>0</v>
      </c>
      <c r="I99" s="575">
        <v>0</v>
      </c>
      <c r="J99" s="575">
        <v>0</v>
      </c>
      <c r="K99" s="575">
        <v>0</v>
      </c>
      <c r="L99" s="575">
        <v>0</v>
      </c>
      <c r="M99" s="575">
        <v>0</v>
      </c>
      <c r="N99" s="575">
        <v>0</v>
      </c>
      <c r="O99" s="575">
        <v>0</v>
      </c>
      <c r="P99" s="575">
        <v>0</v>
      </c>
      <c r="Q99" s="575">
        <v>0</v>
      </c>
      <c r="R99" s="575">
        <v>0</v>
      </c>
      <c r="S99" s="575">
        <v>0</v>
      </c>
      <c r="T99" s="155">
        <v>0</v>
      </c>
      <c r="U99" s="575">
        <v>0</v>
      </c>
      <c r="V99" s="575">
        <v>0</v>
      </c>
      <c r="W99" s="575">
        <v>0</v>
      </c>
      <c r="X99" s="575">
        <v>0</v>
      </c>
      <c r="Y99" s="575">
        <v>0</v>
      </c>
      <c r="Z99" s="575">
        <v>0</v>
      </c>
      <c r="AA99" s="575">
        <v>0</v>
      </c>
      <c r="AB99" s="575">
        <v>0</v>
      </c>
      <c r="AC99" s="575">
        <v>0</v>
      </c>
      <c r="AD99" s="575">
        <v>0</v>
      </c>
      <c r="AE99" s="575">
        <v>0</v>
      </c>
      <c r="AF99" s="575">
        <v>0</v>
      </c>
      <c r="AG99" s="575">
        <v>0</v>
      </c>
      <c r="AH99" s="577">
        <v>0</v>
      </c>
      <c r="AI99" s="582"/>
      <c r="AJ99" s="553"/>
      <c r="AK99" s="49">
        <v>0</v>
      </c>
      <c r="AL99" s="1">
        <v>0</v>
      </c>
    </row>
    <row r="100" spans="2:38" x14ac:dyDescent="0.2">
      <c r="C100" s="592"/>
      <c r="D100" s="243"/>
      <c r="E100" s="243"/>
      <c r="F100" s="593"/>
      <c r="G100" s="594"/>
      <c r="H100" s="594"/>
      <c r="I100" s="594"/>
      <c r="J100" s="594"/>
      <c r="K100" s="594"/>
      <c r="L100" s="594"/>
      <c r="M100" s="594"/>
      <c r="N100" s="594"/>
      <c r="O100" s="595"/>
      <c r="P100" s="594"/>
      <c r="Q100" s="595"/>
      <c r="R100" s="595"/>
      <c r="S100" s="594"/>
      <c r="T100" s="595"/>
      <c r="U100" s="595"/>
      <c r="V100" s="594"/>
      <c r="W100" s="595"/>
      <c r="X100" s="594"/>
      <c r="Y100" s="595"/>
      <c r="Z100" s="595"/>
      <c r="AA100" s="595"/>
      <c r="AB100" s="594"/>
      <c r="AC100" s="595"/>
      <c r="AD100" s="594"/>
      <c r="AE100" s="595"/>
      <c r="AF100" s="595"/>
      <c r="AG100" s="595"/>
      <c r="AH100" s="596"/>
      <c r="AI100" s="571"/>
      <c r="AJ100" s="553"/>
      <c r="AK100" s="49"/>
      <c r="AL100" s="1"/>
    </row>
    <row r="101" spans="2:38" x14ac:dyDescent="0.2">
      <c r="C101" s="609" t="s">
        <v>559</v>
      </c>
      <c r="D101" s="609"/>
      <c r="E101" s="294"/>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89"/>
      <c r="AE101" s="289"/>
      <c r="AF101" s="289"/>
      <c r="AG101" s="289"/>
      <c r="AH101" s="289"/>
      <c r="AI101" s="553"/>
      <c r="AJ101" s="553"/>
      <c r="AK101" s="49"/>
      <c r="AL101" s="1"/>
    </row>
    <row r="102" spans="2:38" x14ac:dyDescent="0.2">
      <c r="C102" s="609" t="s">
        <v>560</v>
      </c>
      <c r="D102" s="609"/>
      <c r="E102" s="294"/>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289"/>
      <c r="AF102" s="289"/>
      <c r="AG102" s="289"/>
      <c r="AH102" s="289"/>
      <c r="AI102" s="553"/>
      <c r="AJ102" s="553"/>
      <c r="AK102" s="49"/>
      <c r="AL102" s="1"/>
    </row>
    <row r="103" spans="2:38" x14ac:dyDescent="0.2">
      <c r="C103" s="609" t="s">
        <v>561</v>
      </c>
      <c r="D103" s="609"/>
      <c r="E103" s="294"/>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289"/>
      <c r="AF103" s="289"/>
      <c r="AG103" s="289"/>
      <c r="AH103" s="289"/>
      <c r="AI103" s="553"/>
      <c r="AJ103" s="553"/>
      <c r="AK103" s="49"/>
      <c r="AL103" s="1"/>
    </row>
    <row r="104" spans="2:38" x14ac:dyDescent="0.2">
      <c r="C104" s="610" t="s">
        <v>562</v>
      </c>
      <c r="D104" s="294"/>
      <c r="E104" s="294"/>
      <c r="F104" s="570"/>
      <c r="G104" s="294"/>
      <c r="H104" s="294"/>
      <c r="I104" s="294"/>
      <c r="J104" s="294"/>
      <c r="K104" s="294"/>
      <c r="L104" s="294"/>
      <c r="M104" s="294"/>
      <c r="N104" s="294"/>
      <c r="O104" s="294"/>
      <c r="P104" s="294"/>
      <c r="Q104" s="294"/>
      <c r="R104" s="294"/>
      <c r="S104" s="294"/>
      <c r="T104" s="294"/>
      <c r="U104" s="294"/>
      <c r="V104" s="294"/>
      <c r="W104" s="294"/>
      <c r="X104" s="294"/>
      <c r="Y104" s="289"/>
      <c r="Z104" s="289"/>
      <c r="AA104" s="289"/>
      <c r="AB104" s="289"/>
      <c r="AC104" s="289"/>
      <c r="AD104" s="289"/>
      <c r="AE104" s="289"/>
      <c r="AF104" s="289"/>
      <c r="AG104" s="289"/>
      <c r="AH104" s="289"/>
      <c r="AI104" s="553"/>
      <c r="AJ104" s="553"/>
      <c r="AK104" s="49"/>
      <c r="AL104" s="1"/>
    </row>
    <row r="105" spans="2:38" x14ac:dyDescent="0.2">
      <c r="C105" s="611" t="s">
        <v>563</v>
      </c>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89"/>
      <c r="AE105" s="289"/>
      <c r="AF105" s="289"/>
      <c r="AG105" s="289"/>
      <c r="AH105" s="289"/>
      <c r="AI105" s="553"/>
      <c r="AJ105" s="553"/>
      <c r="AK105" s="553"/>
    </row>
    <row r="106" spans="2:38" ht="13.5" x14ac:dyDescent="0.2">
      <c r="C106" s="612"/>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89"/>
      <c r="AE106" s="289"/>
      <c r="AF106" s="289"/>
      <c r="AG106" s="289"/>
      <c r="AH106" s="289"/>
      <c r="AI106" s="553"/>
      <c r="AJ106" s="553"/>
      <c r="AK106" s="553"/>
    </row>
    <row r="107" spans="2:38" s="615" customFormat="1" x14ac:dyDescent="0.2">
      <c r="F107" s="616"/>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89"/>
      <c r="AE107" s="289"/>
      <c r="AF107" s="289"/>
      <c r="AG107" s="289"/>
      <c r="AH107" s="289"/>
      <c r="AI107" s="616"/>
      <c r="AJ107" s="616"/>
      <c r="AK107" s="616"/>
    </row>
    <row r="108" spans="2:38" s="615" customFormat="1" x14ac:dyDescent="0.2">
      <c r="F108" s="616"/>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89"/>
      <c r="AE108" s="289"/>
      <c r="AF108" s="289"/>
      <c r="AG108" s="289"/>
      <c r="AH108" s="289"/>
      <c r="AI108" s="616"/>
      <c r="AJ108" s="616"/>
      <c r="AK108" s="616"/>
    </row>
    <row r="109" spans="2:38" s="615" customFormat="1" x14ac:dyDescent="0.2">
      <c r="F109" s="616"/>
      <c r="G109" s="289"/>
      <c r="H109" s="289"/>
      <c r="I109" s="614"/>
      <c r="J109" s="289"/>
      <c r="K109" s="289"/>
      <c r="L109" s="289"/>
      <c r="M109" s="289"/>
      <c r="N109" s="289"/>
      <c r="O109" s="289"/>
      <c r="P109" s="289"/>
      <c r="Q109" s="289"/>
      <c r="R109" s="289"/>
      <c r="S109" s="289"/>
      <c r="T109" s="289"/>
      <c r="U109" s="289"/>
      <c r="V109" s="289"/>
      <c r="W109" s="289"/>
      <c r="X109" s="289"/>
      <c r="Y109" s="289"/>
      <c r="Z109" s="289"/>
      <c r="AA109" s="289"/>
      <c r="AB109" s="289"/>
      <c r="AC109" s="289"/>
      <c r="AD109" s="289"/>
      <c r="AE109" s="289"/>
      <c r="AF109" s="289"/>
      <c r="AG109" s="289"/>
      <c r="AH109" s="289"/>
      <c r="AI109" s="616"/>
      <c r="AJ109" s="616"/>
      <c r="AK109" s="616"/>
      <c r="AL109" s="617"/>
    </row>
    <row r="110" spans="2:38" s="615" customFormat="1" x14ac:dyDescent="0.2">
      <c r="F110" s="616"/>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289"/>
      <c r="AE110" s="289"/>
      <c r="AF110" s="289"/>
      <c r="AG110" s="289"/>
      <c r="AH110" s="289"/>
      <c r="AI110" s="616"/>
      <c r="AJ110" s="616"/>
      <c r="AK110" s="616"/>
    </row>
    <row r="111" spans="2:38" s="615" customFormat="1" x14ac:dyDescent="0.2">
      <c r="F111" s="616"/>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289"/>
      <c r="AF111" s="289"/>
      <c r="AG111" s="289"/>
      <c r="AH111" s="289"/>
      <c r="AI111" s="616"/>
      <c r="AJ111" s="616"/>
      <c r="AK111" s="616"/>
    </row>
    <row r="112" spans="2:38" s="615" customFormat="1" x14ac:dyDescent="0.2">
      <c r="F112" s="616"/>
      <c r="G112" s="289"/>
      <c r="H112" s="289"/>
      <c r="I112" s="289"/>
      <c r="J112" s="29"/>
      <c r="K112" s="289"/>
      <c r="L112" s="289"/>
      <c r="M112" s="289"/>
      <c r="N112" s="289"/>
      <c r="O112" s="289"/>
      <c r="P112" s="289"/>
      <c r="Q112" s="289"/>
      <c r="R112" s="289"/>
      <c r="S112" s="289"/>
      <c r="T112" s="29"/>
      <c r="U112" s="29"/>
      <c r="V112" s="29"/>
      <c r="W112" s="29"/>
      <c r="X112" s="29"/>
      <c r="Y112" s="29"/>
      <c r="Z112" s="29"/>
      <c r="AA112" s="29"/>
      <c r="AB112" s="29"/>
      <c r="AC112" s="29"/>
      <c r="AD112" s="29"/>
      <c r="AE112" s="29"/>
      <c r="AF112" s="29"/>
      <c r="AG112" s="29"/>
      <c r="AH112" s="29"/>
      <c r="AI112" s="616"/>
      <c r="AJ112" s="616"/>
      <c r="AK112" s="616"/>
    </row>
    <row r="113" spans="6:39" s="615" customFormat="1" x14ac:dyDescent="0.2">
      <c r="F113" s="616"/>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89"/>
      <c r="AF113" s="289"/>
      <c r="AG113" s="289"/>
      <c r="AH113" s="289"/>
      <c r="AI113" s="616"/>
      <c r="AJ113" s="616"/>
      <c r="AK113" s="616"/>
    </row>
    <row r="114" spans="6:39" s="615" customFormat="1" x14ac:dyDescent="0.2">
      <c r="F114" s="616"/>
      <c r="G114" s="289"/>
      <c r="H114" s="289"/>
      <c r="I114" s="289"/>
      <c r="J114" s="289"/>
      <c r="K114" s="289"/>
      <c r="L114" s="613"/>
      <c r="M114" s="289"/>
      <c r="N114" s="289"/>
      <c r="O114" s="289"/>
      <c r="P114" s="283"/>
      <c r="Q114" s="289"/>
      <c r="R114" s="289"/>
      <c r="S114" s="289"/>
      <c r="T114" s="289"/>
      <c r="U114" s="289"/>
      <c r="V114" s="289"/>
      <c r="W114" s="289"/>
      <c r="X114" s="289"/>
      <c r="Y114" s="289"/>
      <c r="Z114" s="289"/>
      <c r="AA114" s="289"/>
      <c r="AB114" s="289"/>
      <c r="AC114" s="289"/>
      <c r="AD114" s="289"/>
      <c r="AE114" s="289"/>
      <c r="AF114" s="289"/>
      <c r="AG114" s="289"/>
      <c r="AH114" s="289"/>
      <c r="AI114" s="616"/>
      <c r="AJ114" s="616"/>
      <c r="AK114" s="616"/>
    </row>
    <row r="115" spans="6:39" s="615" customFormat="1" x14ac:dyDescent="0.2">
      <c r="F115" s="616"/>
      <c r="G115" s="283"/>
      <c r="H115" s="289"/>
      <c r="I115" s="289"/>
      <c r="J115" s="289"/>
      <c r="K115" s="289"/>
      <c r="L115" s="289"/>
      <c r="M115" s="289"/>
      <c r="N115" s="289"/>
      <c r="O115" s="289"/>
      <c r="P115" s="289"/>
      <c r="Q115" s="289"/>
      <c r="R115" s="283"/>
      <c r="S115" s="289"/>
      <c r="T115" s="289"/>
      <c r="U115" s="289"/>
      <c r="V115" s="289"/>
      <c r="W115" s="289"/>
      <c r="X115" s="289"/>
      <c r="Y115" s="289"/>
      <c r="Z115" s="289"/>
      <c r="AA115" s="289"/>
      <c r="AB115" s="289"/>
      <c r="AC115" s="289"/>
      <c r="AD115" s="289"/>
      <c r="AE115" s="289"/>
      <c r="AF115" s="289"/>
      <c r="AG115" s="289"/>
      <c r="AH115" s="289"/>
      <c r="AI115" s="616"/>
      <c r="AJ115" s="616"/>
      <c r="AK115" s="616"/>
    </row>
    <row r="116" spans="6:39" s="615" customFormat="1" x14ac:dyDescent="0.2">
      <c r="F116" s="616"/>
      <c r="G116" s="283"/>
      <c r="H116" s="289"/>
      <c r="I116" s="289"/>
      <c r="J116" s="289"/>
      <c r="K116" s="289"/>
      <c r="L116" s="289"/>
      <c r="M116" s="289"/>
      <c r="N116" s="289"/>
      <c r="O116" s="283"/>
      <c r="P116" s="289"/>
      <c r="Q116" s="289"/>
      <c r="R116" s="289"/>
      <c r="S116" s="289"/>
      <c r="T116" s="289"/>
      <c r="U116" s="289"/>
      <c r="V116" s="289"/>
      <c r="W116" s="289"/>
      <c r="X116" s="289"/>
      <c r="Y116" s="289"/>
      <c r="Z116" s="289"/>
      <c r="AA116" s="289"/>
      <c r="AB116" s="289"/>
      <c r="AC116" s="289"/>
      <c r="AD116" s="289"/>
      <c r="AE116" s="289"/>
      <c r="AF116" s="289"/>
      <c r="AG116" s="289"/>
      <c r="AH116" s="289"/>
      <c r="AI116" s="616"/>
      <c r="AJ116" s="616"/>
      <c r="AK116" s="616"/>
      <c r="AM116" s="618"/>
    </row>
    <row r="117" spans="6:39" s="615" customFormat="1" x14ac:dyDescent="0.2">
      <c r="F117" s="616"/>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616"/>
      <c r="AJ117" s="616"/>
      <c r="AK117" s="616"/>
    </row>
    <row r="118" spans="6:39" s="615" customFormat="1" x14ac:dyDescent="0.2">
      <c r="F118" s="616"/>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616"/>
      <c r="AJ118" s="616"/>
      <c r="AK118" s="616"/>
    </row>
    <row r="119" spans="6:39" s="615" customFormat="1" x14ac:dyDescent="0.2">
      <c r="F119" s="616"/>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289"/>
      <c r="AF119" s="289"/>
      <c r="AG119" s="289"/>
      <c r="AH119" s="289"/>
      <c r="AI119" s="616"/>
      <c r="AJ119" s="616"/>
      <c r="AK119" s="616"/>
    </row>
    <row r="120" spans="6:39" s="615" customFormat="1" x14ac:dyDescent="0.2">
      <c r="F120" s="616"/>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289"/>
      <c r="AF120" s="289"/>
      <c r="AG120" s="289"/>
      <c r="AH120" s="289"/>
      <c r="AI120" s="616"/>
      <c r="AJ120" s="616"/>
      <c r="AK120" s="616"/>
    </row>
    <row r="121" spans="6:39" x14ac:dyDescent="0.2">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289"/>
      <c r="AF121" s="289"/>
      <c r="AG121" s="289"/>
      <c r="AH121" s="289"/>
      <c r="AI121" s="553"/>
      <c r="AJ121" s="553"/>
      <c r="AK121" s="553"/>
    </row>
    <row r="122" spans="6:39" x14ac:dyDescent="0.2">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89"/>
      <c r="AE122" s="289"/>
      <c r="AF122" s="289"/>
      <c r="AG122" s="289"/>
      <c r="AH122" s="289"/>
      <c r="AI122" s="553"/>
      <c r="AJ122" s="553"/>
      <c r="AK122" s="553"/>
    </row>
    <row r="123" spans="6:39" x14ac:dyDescent="0.2">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553"/>
      <c r="AJ123" s="553"/>
      <c r="AK123" s="553"/>
    </row>
    <row r="124" spans="6:39" x14ac:dyDescent="0.2">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553"/>
      <c r="AJ124" s="553"/>
      <c r="AK124" s="553"/>
    </row>
    <row r="125" spans="6:39" x14ac:dyDescent="0.2">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553"/>
      <c r="AJ125" s="553"/>
      <c r="AK125" s="553"/>
    </row>
    <row r="126" spans="6:39" x14ac:dyDescent="0.2">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89"/>
      <c r="AE126" s="289"/>
      <c r="AF126" s="289"/>
      <c r="AG126" s="289"/>
      <c r="AH126" s="289"/>
      <c r="AI126" s="553"/>
      <c r="AJ126" s="553"/>
      <c r="AK126" s="553"/>
    </row>
    <row r="127" spans="6:39" x14ac:dyDescent="0.2">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89"/>
      <c r="AE127" s="289"/>
      <c r="AF127" s="289"/>
      <c r="AG127" s="289"/>
      <c r="AH127" s="289"/>
      <c r="AI127" s="553"/>
      <c r="AJ127" s="553"/>
      <c r="AK127" s="553"/>
    </row>
    <row r="128" spans="6:39" x14ac:dyDescent="0.2">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553"/>
      <c r="AJ128" s="553"/>
      <c r="AK128" s="553"/>
    </row>
    <row r="129" spans="2:37" x14ac:dyDescent="0.2">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553"/>
      <c r="AJ129" s="553"/>
      <c r="AK129" s="553"/>
    </row>
    <row r="130" spans="2:37" x14ac:dyDescent="0.2">
      <c r="B130" s="294"/>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553"/>
      <c r="AJ130" s="553"/>
      <c r="AK130" s="553"/>
    </row>
    <row r="131" spans="2:37" x14ac:dyDescent="0.2">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553"/>
      <c r="AJ131" s="553"/>
      <c r="AK131" s="553"/>
    </row>
    <row r="132" spans="2:37" x14ac:dyDescent="0.2">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553"/>
      <c r="AJ132" s="553"/>
      <c r="AK132" s="553"/>
    </row>
    <row r="133" spans="2:37" x14ac:dyDescent="0.2">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553"/>
      <c r="AJ133" s="553"/>
      <c r="AK133" s="553"/>
    </row>
    <row r="134" spans="2:37" x14ac:dyDescent="0.2">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89"/>
      <c r="AE134" s="289"/>
      <c r="AF134" s="289"/>
      <c r="AG134" s="289"/>
      <c r="AH134" s="289"/>
      <c r="AI134" s="553"/>
      <c r="AJ134" s="553"/>
      <c r="AK134" s="553"/>
    </row>
    <row r="135" spans="2:37" x14ac:dyDescent="0.2">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89"/>
      <c r="AE135" s="289"/>
      <c r="AF135" s="289"/>
      <c r="AG135" s="289"/>
      <c r="AH135" s="289"/>
      <c r="AI135" s="553"/>
      <c r="AJ135" s="553"/>
      <c r="AK135" s="553"/>
    </row>
    <row r="136" spans="2:37" x14ac:dyDescent="0.2">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89"/>
      <c r="AE136" s="289"/>
      <c r="AF136" s="289"/>
      <c r="AG136" s="289"/>
      <c r="AH136" s="289"/>
      <c r="AI136" s="553"/>
      <c r="AJ136" s="553"/>
      <c r="AK136" s="553"/>
    </row>
    <row r="137" spans="2:37" x14ac:dyDescent="0.2">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89"/>
      <c r="AE137" s="289"/>
      <c r="AF137" s="289"/>
      <c r="AG137" s="289"/>
      <c r="AH137" s="289"/>
      <c r="AI137" s="553"/>
      <c r="AJ137" s="553"/>
      <c r="AK137" s="553"/>
    </row>
    <row r="138" spans="2:37" x14ac:dyDescent="0.2">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89"/>
      <c r="AE138" s="289"/>
      <c r="AF138" s="289"/>
      <c r="AG138" s="289"/>
      <c r="AH138" s="289"/>
      <c r="AI138" s="553"/>
      <c r="AJ138" s="553"/>
      <c r="AK138" s="553"/>
    </row>
    <row r="139" spans="2:37" x14ac:dyDescent="0.2">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89"/>
      <c r="AE139" s="289"/>
      <c r="AF139" s="289"/>
      <c r="AG139" s="289"/>
      <c r="AH139" s="289"/>
      <c r="AI139" s="553"/>
      <c r="AJ139" s="553"/>
      <c r="AK139" s="553"/>
    </row>
    <row r="140" spans="2:37" x14ac:dyDescent="0.2">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289"/>
      <c r="AF140" s="289"/>
      <c r="AG140" s="289"/>
      <c r="AH140" s="289"/>
      <c r="AI140" s="553"/>
      <c r="AJ140" s="553"/>
      <c r="AK140" s="553"/>
    </row>
    <row r="141" spans="2:37" x14ac:dyDescent="0.2">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89"/>
      <c r="AE141" s="289"/>
      <c r="AF141" s="289"/>
      <c r="AG141" s="289"/>
      <c r="AH141" s="289"/>
      <c r="AI141" s="553"/>
      <c r="AJ141" s="553"/>
      <c r="AK141" s="553"/>
    </row>
    <row r="142" spans="2:37" x14ac:dyDescent="0.2">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289"/>
      <c r="AE142" s="289"/>
      <c r="AF142" s="289"/>
      <c r="AG142" s="289"/>
      <c r="AH142" s="289"/>
      <c r="AI142" s="553"/>
      <c r="AJ142" s="553"/>
      <c r="AK142" s="553"/>
    </row>
    <row r="143" spans="2:37" x14ac:dyDescent="0.2">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289"/>
      <c r="AF143" s="289"/>
      <c r="AG143" s="289"/>
      <c r="AH143" s="289"/>
      <c r="AI143" s="553"/>
      <c r="AJ143" s="553"/>
      <c r="AK143" s="553"/>
    </row>
    <row r="144" spans="2:37" x14ac:dyDescent="0.2">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289"/>
      <c r="AF144" s="289"/>
      <c r="AG144" s="289"/>
      <c r="AH144" s="289"/>
      <c r="AI144" s="553"/>
      <c r="AJ144" s="553"/>
      <c r="AK144" s="553"/>
    </row>
    <row r="145" spans="7:37" x14ac:dyDescent="0.2">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89"/>
      <c r="AE145" s="289"/>
      <c r="AF145" s="289"/>
      <c r="AG145" s="289"/>
      <c r="AH145" s="289"/>
      <c r="AI145" s="553"/>
      <c r="AJ145" s="553"/>
      <c r="AK145" s="553"/>
    </row>
    <row r="146" spans="7:37" x14ac:dyDescent="0.2">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89"/>
      <c r="AE146" s="289"/>
      <c r="AF146" s="289"/>
      <c r="AG146" s="289"/>
      <c r="AH146" s="289"/>
      <c r="AI146" s="553"/>
      <c r="AJ146" s="553"/>
      <c r="AK146" s="553"/>
    </row>
    <row r="147" spans="7:37" x14ac:dyDescent="0.2">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89"/>
      <c r="AE147" s="289"/>
      <c r="AF147" s="289"/>
      <c r="AG147" s="289"/>
      <c r="AH147" s="289"/>
      <c r="AI147" s="553"/>
      <c r="AJ147" s="553"/>
      <c r="AK147" s="553"/>
    </row>
    <row r="148" spans="7:37" x14ac:dyDescent="0.2">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89"/>
      <c r="AE148" s="289"/>
      <c r="AF148" s="289"/>
      <c r="AG148" s="289"/>
      <c r="AH148" s="289"/>
      <c r="AI148" s="553"/>
      <c r="AJ148" s="553"/>
      <c r="AK148" s="553"/>
    </row>
    <row r="149" spans="7:37" x14ac:dyDescent="0.2">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289"/>
      <c r="AF149" s="289"/>
      <c r="AG149" s="289"/>
      <c r="AH149" s="289"/>
      <c r="AI149" s="553"/>
      <c r="AJ149" s="553"/>
      <c r="AK149" s="553"/>
    </row>
    <row r="150" spans="7:37" x14ac:dyDescent="0.2">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553"/>
      <c r="AJ150" s="553"/>
      <c r="AK150" s="553"/>
    </row>
    <row r="151" spans="7:37" x14ac:dyDescent="0.2">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89"/>
      <c r="AE151" s="289"/>
      <c r="AF151" s="289"/>
      <c r="AG151" s="289"/>
      <c r="AH151" s="289"/>
      <c r="AI151" s="553"/>
      <c r="AJ151" s="553"/>
      <c r="AK151" s="553"/>
    </row>
    <row r="152" spans="7:37" x14ac:dyDescent="0.2">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289"/>
      <c r="AF152" s="289"/>
      <c r="AG152" s="289"/>
      <c r="AH152" s="289"/>
      <c r="AI152" s="553"/>
      <c r="AJ152" s="553"/>
      <c r="AK152" s="553"/>
    </row>
    <row r="153" spans="7:37" x14ac:dyDescent="0.2">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289"/>
      <c r="AF153" s="289"/>
      <c r="AG153" s="289"/>
      <c r="AH153" s="289"/>
      <c r="AI153" s="553"/>
      <c r="AJ153" s="553"/>
      <c r="AK153" s="553"/>
    </row>
    <row r="154" spans="7:37" x14ac:dyDescent="0.2">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89"/>
      <c r="AE154" s="289"/>
      <c r="AF154" s="289"/>
      <c r="AG154" s="289"/>
      <c r="AH154" s="289"/>
      <c r="AI154" s="553"/>
      <c r="AJ154" s="553"/>
      <c r="AK154" s="553"/>
    </row>
    <row r="155" spans="7:37" x14ac:dyDescent="0.2">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289"/>
      <c r="AF155" s="289"/>
      <c r="AG155" s="289"/>
      <c r="AH155" s="289"/>
      <c r="AI155" s="553"/>
      <c r="AJ155" s="553"/>
      <c r="AK155" s="553"/>
    </row>
    <row r="156" spans="7:37" x14ac:dyDescent="0.2">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c r="AF156" s="289"/>
      <c r="AG156" s="289"/>
      <c r="AH156" s="289"/>
      <c r="AI156" s="553"/>
      <c r="AJ156" s="553"/>
      <c r="AK156" s="553"/>
    </row>
    <row r="157" spans="7:37" x14ac:dyDescent="0.2">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89"/>
      <c r="AE157" s="289"/>
      <c r="AF157" s="289"/>
      <c r="AG157" s="289"/>
      <c r="AH157" s="289"/>
      <c r="AI157" s="553"/>
      <c r="AJ157" s="553"/>
      <c r="AK157" s="553"/>
    </row>
    <row r="158" spans="7:37" x14ac:dyDescent="0.2">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289"/>
      <c r="AF158" s="289"/>
      <c r="AG158" s="289"/>
      <c r="AH158" s="289"/>
      <c r="AI158" s="553"/>
      <c r="AJ158" s="553"/>
      <c r="AK158" s="553"/>
    </row>
    <row r="159" spans="7:37" x14ac:dyDescent="0.2">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289"/>
      <c r="AF159" s="289"/>
      <c r="AG159" s="289"/>
      <c r="AH159" s="289"/>
      <c r="AI159" s="553"/>
      <c r="AJ159" s="553"/>
      <c r="AK159" s="553"/>
    </row>
    <row r="160" spans="7:37" x14ac:dyDescent="0.2">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289"/>
      <c r="AI160" s="553"/>
      <c r="AJ160" s="553"/>
      <c r="AK160" s="553"/>
    </row>
    <row r="161" spans="7:37" x14ac:dyDescent="0.2">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89"/>
      <c r="AE161" s="289"/>
      <c r="AF161" s="289"/>
      <c r="AG161" s="289"/>
      <c r="AH161" s="289"/>
      <c r="AI161" s="553"/>
      <c r="AJ161" s="553"/>
      <c r="AK161" s="553"/>
    </row>
    <row r="162" spans="7:37" x14ac:dyDescent="0.2">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F162" s="289"/>
      <c r="AG162" s="289"/>
      <c r="AH162" s="289"/>
      <c r="AI162" s="553"/>
      <c r="AJ162" s="553"/>
      <c r="AK162" s="553"/>
    </row>
    <row r="163" spans="7:37" x14ac:dyDescent="0.2">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c r="AF163" s="289"/>
      <c r="AG163" s="289"/>
      <c r="AH163" s="289"/>
      <c r="AI163" s="553"/>
      <c r="AJ163" s="553"/>
      <c r="AK163" s="553"/>
    </row>
    <row r="164" spans="7:37" x14ac:dyDescent="0.2">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89"/>
      <c r="AE164" s="289"/>
      <c r="AF164" s="289"/>
      <c r="AG164" s="289"/>
      <c r="AH164" s="289"/>
      <c r="AI164" s="553"/>
      <c r="AJ164" s="553"/>
      <c r="AK164" s="553"/>
    </row>
    <row r="165" spans="7:37" x14ac:dyDescent="0.2">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289"/>
      <c r="AF165" s="289"/>
      <c r="AG165" s="289"/>
      <c r="AH165" s="289"/>
      <c r="AI165" s="553"/>
      <c r="AJ165" s="553"/>
      <c r="AK165" s="553"/>
    </row>
    <row r="166" spans="7:37" x14ac:dyDescent="0.2">
      <c r="G166" s="289"/>
      <c r="H166" s="289"/>
      <c r="I166" s="289"/>
      <c r="J166" s="289"/>
      <c r="K166" s="289"/>
      <c r="L166" s="289"/>
      <c r="M166" s="289"/>
      <c r="N166" s="289"/>
      <c r="O166" s="289"/>
      <c r="P166" s="289"/>
      <c r="Q166" s="289"/>
      <c r="R166" s="289"/>
      <c r="S166" s="289"/>
      <c r="T166" s="289"/>
      <c r="U166" s="289"/>
      <c r="V166" s="289"/>
      <c r="W166" s="289"/>
      <c r="X166" s="553"/>
      <c r="Y166" s="553"/>
      <c r="Z166" s="553"/>
      <c r="AA166" s="553"/>
      <c r="AB166" s="553"/>
      <c r="AC166" s="553"/>
      <c r="AD166" s="553"/>
      <c r="AE166" s="553"/>
      <c r="AF166" s="553"/>
      <c r="AG166" s="553"/>
      <c r="AH166" s="553"/>
      <c r="AI166" s="553"/>
      <c r="AJ166" s="553"/>
      <c r="AK166" s="553"/>
    </row>
    <row r="167" spans="7:37" x14ac:dyDescent="0.2">
      <c r="G167" s="289"/>
      <c r="H167" s="289"/>
      <c r="I167" s="289"/>
      <c r="J167" s="289"/>
      <c r="K167" s="289"/>
      <c r="L167" s="289"/>
      <c r="M167" s="289"/>
      <c r="N167" s="289"/>
      <c r="O167" s="289"/>
      <c r="P167" s="289"/>
      <c r="Q167" s="289"/>
      <c r="R167" s="289"/>
      <c r="S167" s="289"/>
      <c r="T167" s="289"/>
      <c r="U167" s="289"/>
      <c r="V167" s="289"/>
      <c r="W167" s="289"/>
      <c r="X167" s="553"/>
      <c r="Y167" s="553"/>
      <c r="Z167" s="553"/>
      <c r="AA167" s="553"/>
      <c r="AB167" s="553"/>
      <c r="AC167" s="553"/>
      <c r="AD167" s="553"/>
      <c r="AE167" s="553"/>
      <c r="AF167" s="553"/>
      <c r="AG167" s="553"/>
      <c r="AH167" s="553"/>
      <c r="AI167" s="553"/>
      <c r="AJ167" s="553"/>
      <c r="AK167" s="553"/>
    </row>
    <row r="168" spans="7:37" x14ac:dyDescent="0.2">
      <c r="G168" s="289"/>
      <c r="H168" s="289"/>
      <c r="I168" s="289"/>
      <c r="J168" s="289"/>
      <c r="K168" s="289"/>
      <c r="L168" s="289"/>
      <c r="M168" s="289"/>
      <c r="N168" s="289"/>
      <c r="O168" s="289"/>
      <c r="P168" s="289"/>
      <c r="Q168" s="289"/>
      <c r="R168" s="289"/>
      <c r="S168" s="289"/>
      <c r="T168" s="289"/>
      <c r="U168" s="289"/>
      <c r="V168" s="289"/>
      <c r="W168" s="289"/>
      <c r="X168" s="553"/>
      <c r="Y168" s="553"/>
      <c r="Z168" s="553"/>
      <c r="AA168" s="553"/>
      <c r="AB168" s="553"/>
      <c r="AC168" s="553"/>
      <c r="AD168" s="553"/>
      <c r="AE168" s="553"/>
      <c r="AF168" s="553"/>
      <c r="AG168" s="553"/>
      <c r="AH168" s="553"/>
      <c r="AI168" s="553"/>
      <c r="AJ168" s="553"/>
      <c r="AK168" s="553"/>
    </row>
    <row r="169" spans="7:37" x14ac:dyDescent="0.2">
      <c r="G169" s="289"/>
      <c r="H169" s="289"/>
      <c r="I169" s="289"/>
      <c r="J169" s="289"/>
      <c r="K169" s="289"/>
      <c r="L169" s="289"/>
      <c r="M169" s="289"/>
      <c r="N169" s="289"/>
      <c r="O169" s="289"/>
      <c r="P169" s="289"/>
      <c r="Q169" s="289"/>
      <c r="R169" s="289"/>
      <c r="S169" s="289"/>
      <c r="T169" s="289"/>
      <c r="U169" s="289"/>
      <c r="V169" s="289"/>
      <c r="W169" s="289"/>
      <c r="X169" s="553"/>
      <c r="Y169" s="553"/>
      <c r="Z169" s="553"/>
      <c r="AA169" s="553"/>
      <c r="AB169" s="553"/>
      <c r="AC169" s="553"/>
      <c r="AD169" s="553"/>
      <c r="AE169" s="553"/>
      <c r="AF169" s="553"/>
      <c r="AG169" s="553"/>
      <c r="AH169" s="553"/>
      <c r="AI169" s="553"/>
      <c r="AJ169" s="553"/>
      <c r="AK169" s="553"/>
    </row>
    <row r="170" spans="7:37" x14ac:dyDescent="0.2">
      <c r="G170" s="289"/>
      <c r="H170" s="289"/>
      <c r="I170" s="289"/>
      <c r="J170" s="289"/>
      <c r="K170" s="289"/>
      <c r="L170" s="289"/>
      <c r="M170" s="289"/>
      <c r="N170" s="289"/>
      <c r="O170" s="289"/>
      <c r="P170" s="289"/>
      <c r="Q170" s="289"/>
      <c r="R170" s="289"/>
      <c r="S170" s="289"/>
      <c r="T170" s="289"/>
      <c r="U170" s="289"/>
      <c r="V170" s="289"/>
      <c r="W170" s="289"/>
      <c r="X170" s="553"/>
      <c r="Y170" s="553"/>
      <c r="Z170" s="553"/>
      <c r="AA170" s="553"/>
      <c r="AB170" s="553"/>
      <c r="AC170" s="553"/>
      <c r="AD170" s="553"/>
      <c r="AE170" s="553"/>
      <c r="AF170" s="553"/>
      <c r="AG170" s="553"/>
      <c r="AH170" s="553"/>
      <c r="AI170" s="553"/>
      <c r="AJ170" s="553"/>
      <c r="AK170" s="553"/>
    </row>
    <row r="171" spans="7:37" x14ac:dyDescent="0.2">
      <c r="G171" s="289"/>
      <c r="H171" s="289"/>
      <c r="I171" s="289"/>
      <c r="J171" s="289"/>
      <c r="K171" s="289"/>
      <c r="L171" s="289"/>
      <c r="M171" s="289"/>
      <c r="N171" s="289"/>
      <c r="O171" s="289"/>
      <c r="P171" s="289"/>
      <c r="Q171" s="289"/>
      <c r="R171" s="289"/>
      <c r="S171" s="289"/>
      <c r="T171" s="289"/>
      <c r="U171" s="289"/>
      <c r="V171" s="289"/>
      <c r="W171" s="289"/>
      <c r="X171" s="553"/>
      <c r="Y171" s="553"/>
      <c r="Z171" s="553"/>
      <c r="AA171" s="553"/>
      <c r="AB171" s="553"/>
      <c r="AC171" s="553"/>
      <c r="AD171" s="553"/>
      <c r="AE171" s="553"/>
      <c r="AF171" s="553"/>
      <c r="AG171" s="553"/>
      <c r="AH171" s="553"/>
      <c r="AI171" s="553"/>
      <c r="AJ171" s="553"/>
      <c r="AK171" s="553"/>
    </row>
    <row r="172" spans="7:37" x14ac:dyDescent="0.2">
      <c r="G172" s="289"/>
      <c r="H172" s="289"/>
      <c r="I172" s="289"/>
      <c r="J172" s="289"/>
      <c r="K172" s="289"/>
      <c r="L172" s="289"/>
      <c r="M172" s="289"/>
      <c r="N172" s="289"/>
      <c r="O172" s="289"/>
      <c r="P172" s="289"/>
      <c r="Q172" s="289"/>
      <c r="R172" s="289"/>
      <c r="S172" s="289"/>
      <c r="T172" s="289"/>
      <c r="U172" s="289"/>
      <c r="V172" s="289"/>
      <c r="W172" s="289"/>
      <c r="X172" s="553"/>
      <c r="Y172" s="553"/>
      <c r="Z172" s="553"/>
      <c r="AA172" s="553"/>
      <c r="AB172" s="553"/>
      <c r="AC172" s="553"/>
      <c r="AD172" s="553"/>
      <c r="AE172" s="553"/>
      <c r="AF172" s="553"/>
      <c r="AG172" s="553"/>
      <c r="AH172" s="553"/>
      <c r="AI172" s="553"/>
      <c r="AJ172" s="553"/>
      <c r="AK172" s="553"/>
    </row>
    <row r="173" spans="7:37" x14ac:dyDescent="0.2">
      <c r="G173" s="289"/>
      <c r="H173" s="289"/>
      <c r="I173" s="289"/>
      <c r="J173" s="289"/>
      <c r="K173" s="289"/>
      <c r="L173" s="289"/>
      <c r="M173" s="289"/>
      <c r="N173" s="289"/>
      <c r="O173" s="289"/>
      <c r="P173" s="289"/>
      <c r="Q173" s="289"/>
      <c r="R173" s="289"/>
      <c r="S173" s="289"/>
      <c r="T173" s="289"/>
      <c r="U173" s="289"/>
      <c r="V173" s="289"/>
      <c r="W173" s="289"/>
      <c r="X173" s="553"/>
      <c r="Y173" s="553"/>
      <c r="Z173" s="553"/>
      <c r="AA173" s="553"/>
      <c r="AB173" s="553"/>
      <c r="AC173" s="553"/>
      <c r="AD173" s="553"/>
      <c r="AE173" s="553"/>
      <c r="AF173" s="553"/>
      <c r="AG173" s="553"/>
      <c r="AH173" s="553"/>
      <c r="AI173" s="553"/>
      <c r="AJ173" s="553"/>
      <c r="AK173" s="553"/>
    </row>
    <row r="174" spans="7:37" x14ac:dyDescent="0.2">
      <c r="G174" s="289"/>
      <c r="H174" s="289"/>
      <c r="I174" s="289"/>
      <c r="J174" s="289"/>
      <c r="K174" s="289"/>
      <c r="L174" s="289"/>
      <c r="M174" s="289"/>
      <c r="N174" s="289"/>
      <c r="O174" s="289"/>
      <c r="P174" s="289"/>
      <c r="Q174" s="289"/>
      <c r="R174" s="289"/>
      <c r="S174" s="289"/>
      <c r="T174" s="289"/>
      <c r="U174" s="289"/>
      <c r="V174" s="289"/>
      <c r="W174" s="289"/>
      <c r="X174" s="553"/>
      <c r="Y174" s="553"/>
      <c r="Z174" s="553"/>
      <c r="AA174" s="553"/>
      <c r="AB174" s="553"/>
      <c r="AC174" s="553"/>
      <c r="AD174" s="553"/>
      <c r="AE174" s="553"/>
      <c r="AF174" s="553"/>
      <c r="AG174" s="553"/>
      <c r="AH174" s="553"/>
      <c r="AI174" s="553"/>
      <c r="AJ174" s="553"/>
      <c r="AK174" s="553"/>
    </row>
    <row r="175" spans="7:37" x14ac:dyDescent="0.2">
      <c r="G175" s="289"/>
      <c r="H175" s="289"/>
      <c r="I175" s="289"/>
      <c r="J175" s="289"/>
      <c r="K175" s="289"/>
      <c r="L175" s="289"/>
      <c r="M175" s="289"/>
      <c r="N175" s="289"/>
      <c r="O175" s="289"/>
      <c r="P175" s="289"/>
      <c r="Q175" s="289"/>
      <c r="R175" s="289"/>
      <c r="S175" s="289"/>
      <c r="T175" s="289"/>
      <c r="U175" s="289"/>
      <c r="V175" s="289"/>
      <c r="W175" s="289"/>
      <c r="X175" s="553"/>
      <c r="Y175" s="553"/>
      <c r="Z175" s="553"/>
      <c r="AA175" s="553"/>
      <c r="AB175" s="553"/>
      <c r="AC175" s="553"/>
      <c r="AD175" s="553"/>
      <c r="AE175" s="553"/>
      <c r="AF175" s="553"/>
      <c r="AG175" s="553"/>
      <c r="AH175" s="553"/>
      <c r="AI175" s="553"/>
      <c r="AJ175" s="553"/>
      <c r="AK175" s="553"/>
    </row>
    <row r="176" spans="7:37" x14ac:dyDescent="0.2">
      <c r="G176" s="289"/>
      <c r="H176" s="289"/>
      <c r="I176" s="289"/>
      <c r="J176" s="289"/>
      <c r="K176" s="289"/>
      <c r="L176" s="289"/>
      <c r="M176" s="289"/>
      <c r="N176" s="289"/>
      <c r="O176" s="289"/>
      <c r="P176" s="289"/>
      <c r="Q176" s="289"/>
      <c r="R176" s="289"/>
      <c r="S176" s="289"/>
      <c r="T176" s="289"/>
      <c r="U176" s="289"/>
      <c r="V176" s="289"/>
      <c r="W176" s="289"/>
      <c r="X176" s="553"/>
      <c r="Y176" s="553"/>
      <c r="Z176" s="553"/>
      <c r="AA176" s="553"/>
      <c r="AB176" s="553"/>
      <c r="AC176" s="553"/>
      <c r="AD176" s="553"/>
      <c r="AE176" s="553"/>
      <c r="AF176" s="553"/>
      <c r="AG176" s="553"/>
      <c r="AH176" s="553"/>
      <c r="AI176" s="553"/>
      <c r="AJ176" s="553"/>
      <c r="AK176" s="553"/>
    </row>
    <row r="177" spans="7:37" x14ac:dyDescent="0.2">
      <c r="G177" s="289"/>
      <c r="H177" s="289"/>
      <c r="I177" s="289"/>
      <c r="J177" s="289"/>
      <c r="K177" s="289"/>
      <c r="L177" s="289"/>
      <c r="M177" s="289"/>
      <c r="N177" s="289"/>
      <c r="O177" s="289"/>
      <c r="P177" s="289"/>
      <c r="Q177" s="289"/>
      <c r="R177" s="289"/>
      <c r="S177" s="289"/>
      <c r="T177" s="289"/>
      <c r="U177" s="289"/>
      <c r="V177" s="289"/>
      <c r="W177" s="289"/>
      <c r="X177" s="553"/>
      <c r="Y177" s="553"/>
      <c r="Z177" s="553"/>
      <c r="AA177" s="553"/>
      <c r="AB177" s="553"/>
      <c r="AC177" s="553"/>
      <c r="AD177" s="553"/>
      <c r="AE177" s="553"/>
      <c r="AF177" s="553"/>
      <c r="AG177" s="553"/>
      <c r="AH177" s="553"/>
      <c r="AI177" s="553"/>
      <c r="AJ177" s="553"/>
      <c r="AK177" s="553"/>
    </row>
    <row r="178" spans="7:37" x14ac:dyDescent="0.2">
      <c r="G178" s="289"/>
      <c r="H178" s="289"/>
      <c r="I178" s="289"/>
      <c r="J178" s="289"/>
      <c r="K178" s="289"/>
      <c r="L178" s="289"/>
      <c r="M178" s="289"/>
      <c r="N178" s="289"/>
      <c r="O178" s="289"/>
      <c r="P178" s="289"/>
      <c r="Q178" s="289"/>
      <c r="R178" s="289"/>
      <c r="S178" s="289"/>
      <c r="T178" s="289"/>
      <c r="U178" s="289"/>
      <c r="V178" s="289"/>
      <c r="W178" s="289"/>
      <c r="X178" s="553"/>
      <c r="Y178" s="553"/>
      <c r="Z178" s="553"/>
      <c r="AA178" s="553"/>
      <c r="AB178" s="553"/>
      <c r="AC178" s="553"/>
      <c r="AD178" s="553"/>
      <c r="AE178" s="553"/>
      <c r="AF178" s="553"/>
      <c r="AG178" s="553"/>
      <c r="AH178" s="553"/>
      <c r="AI178" s="553"/>
      <c r="AJ178" s="553"/>
      <c r="AK178" s="553"/>
    </row>
    <row r="179" spans="7:37" x14ac:dyDescent="0.2">
      <c r="G179" s="289"/>
      <c r="H179" s="289"/>
      <c r="I179" s="289"/>
      <c r="J179" s="289"/>
      <c r="K179" s="289"/>
      <c r="L179" s="289"/>
      <c r="M179" s="289"/>
      <c r="N179" s="289"/>
      <c r="O179" s="289"/>
      <c r="P179" s="289"/>
      <c r="Q179" s="289"/>
      <c r="R179" s="289"/>
      <c r="S179" s="289"/>
      <c r="T179" s="289"/>
      <c r="U179" s="289"/>
      <c r="V179" s="289"/>
      <c r="W179" s="289"/>
      <c r="X179" s="553"/>
      <c r="Y179" s="553"/>
      <c r="Z179" s="553"/>
      <c r="AA179" s="553"/>
      <c r="AB179" s="553"/>
      <c r="AC179" s="553"/>
      <c r="AD179" s="553"/>
      <c r="AE179" s="553"/>
      <c r="AF179" s="553"/>
      <c r="AG179" s="553"/>
      <c r="AH179" s="553"/>
      <c r="AI179" s="553"/>
      <c r="AJ179" s="553"/>
      <c r="AK179" s="553"/>
    </row>
    <row r="180" spans="7:37" x14ac:dyDescent="0.2">
      <c r="G180" s="289"/>
      <c r="H180" s="289"/>
      <c r="I180" s="289"/>
      <c r="J180" s="289"/>
      <c r="K180" s="289"/>
      <c r="L180" s="289"/>
      <c r="M180" s="289"/>
      <c r="N180" s="289"/>
      <c r="O180" s="289"/>
      <c r="P180" s="289"/>
      <c r="Q180" s="289"/>
      <c r="R180" s="289"/>
      <c r="S180" s="289"/>
      <c r="T180" s="289"/>
      <c r="U180" s="289"/>
      <c r="V180" s="289"/>
      <c r="W180" s="289"/>
      <c r="X180" s="553"/>
      <c r="Y180" s="553"/>
      <c r="Z180" s="553"/>
      <c r="AA180" s="553"/>
      <c r="AB180" s="553"/>
      <c r="AC180" s="553"/>
      <c r="AD180" s="553"/>
      <c r="AE180" s="553"/>
      <c r="AF180" s="553"/>
      <c r="AG180" s="553"/>
      <c r="AH180" s="553"/>
      <c r="AI180" s="553"/>
      <c r="AJ180" s="553"/>
      <c r="AK180" s="553"/>
    </row>
    <row r="181" spans="7:37" x14ac:dyDescent="0.2">
      <c r="G181" s="289"/>
      <c r="H181" s="289"/>
      <c r="I181" s="289"/>
      <c r="J181" s="289"/>
      <c r="K181" s="289"/>
      <c r="L181" s="289"/>
      <c r="M181" s="289"/>
      <c r="N181" s="289"/>
      <c r="O181" s="289"/>
      <c r="P181" s="289"/>
      <c r="Q181" s="289"/>
      <c r="R181" s="289"/>
      <c r="S181" s="289"/>
      <c r="T181" s="289"/>
      <c r="U181" s="289"/>
      <c r="V181" s="289"/>
      <c r="W181" s="289"/>
      <c r="X181" s="553"/>
      <c r="Y181" s="553"/>
      <c r="Z181" s="553"/>
      <c r="AA181" s="553"/>
      <c r="AB181" s="553"/>
      <c r="AC181" s="553"/>
      <c r="AD181" s="553"/>
      <c r="AE181" s="553"/>
      <c r="AF181" s="553"/>
      <c r="AG181" s="553"/>
      <c r="AH181" s="553"/>
      <c r="AI181" s="553"/>
      <c r="AJ181" s="553"/>
      <c r="AK181" s="553"/>
    </row>
    <row r="182" spans="7:37" x14ac:dyDescent="0.2">
      <c r="G182" s="289"/>
      <c r="H182" s="289"/>
      <c r="I182" s="289"/>
      <c r="J182" s="289"/>
      <c r="K182" s="289"/>
      <c r="L182" s="289"/>
      <c r="M182" s="289"/>
      <c r="N182" s="289"/>
      <c r="O182" s="289"/>
      <c r="P182" s="289"/>
      <c r="Q182" s="289"/>
      <c r="R182" s="289"/>
      <c r="S182" s="289"/>
      <c r="T182" s="289"/>
      <c r="U182" s="289"/>
      <c r="V182" s="289"/>
      <c r="W182" s="289"/>
      <c r="X182" s="553"/>
      <c r="Y182" s="553"/>
      <c r="Z182" s="553"/>
      <c r="AA182" s="553"/>
      <c r="AB182" s="553"/>
      <c r="AC182" s="553"/>
      <c r="AD182" s="553"/>
      <c r="AE182" s="553"/>
      <c r="AF182" s="553"/>
      <c r="AG182" s="553"/>
      <c r="AH182" s="553"/>
      <c r="AI182" s="553"/>
      <c r="AJ182" s="553"/>
      <c r="AK182" s="553"/>
    </row>
    <row r="183" spans="7:37" x14ac:dyDescent="0.2">
      <c r="G183" s="289"/>
      <c r="H183" s="289"/>
      <c r="I183" s="289"/>
      <c r="J183" s="289"/>
      <c r="K183" s="289"/>
      <c r="L183" s="289"/>
      <c r="M183" s="289"/>
      <c r="N183" s="289"/>
      <c r="O183" s="289"/>
      <c r="P183" s="289"/>
      <c r="Q183" s="289"/>
      <c r="R183" s="289"/>
      <c r="S183" s="289"/>
      <c r="T183" s="289"/>
      <c r="U183" s="289"/>
      <c r="V183" s="289"/>
      <c r="W183" s="289"/>
      <c r="X183" s="553"/>
      <c r="Y183" s="553"/>
      <c r="Z183" s="553"/>
      <c r="AA183" s="553"/>
      <c r="AB183" s="553"/>
      <c r="AC183" s="553"/>
      <c r="AD183" s="553"/>
      <c r="AE183" s="553"/>
      <c r="AF183" s="553"/>
      <c r="AG183" s="553"/>
      <c r="AH183" s="553"/>
      <c r="AI183" s="553"/>
      <c r="AJ183" s="553"/>
      <c r="AK183" s="553"/>
    </row>
    <row r="184" spans="7:37" x14ac:dyDescent="0.2">
      <c r="G184" s="289"/>
      <c r="H184" s="289"/>
      <c r="I184" s="289"/>
      <c r="J184" s="289"/>
      <c r="K184" s="289"/>
      <c r="L184" s="289"/>
      <c r="M184" s="289"/>
      <c r="N184" s="289"/>
      <c r="O184" s="289"/>
      <c r="P184" s="289"/>
      <c r="Q184" s="289"/>
      <c r="R184" s="289"/>
      <c r="S184" s="289"/>
      <c r="T184" s="289"/>
      <c r="U184" s="289"/>
      <c r="V184" s="289"/>
      <c r="W184" s="289"/>
      <c r="X184" s="553"/>
      <c r="Y184" s="553"/>
      <c r="Z184" s="553"/>
      <c r="AA184" s="553"/>
      <c r="AB184" s="553"/>
      <c r="AC184" s="553"/>
      <c r="AD184" s="553"/>
      <c r="AE184" s="553"/>
      <c r="AF184" s="553"/>
      <c r="AG184" s="553"/>
      <c r="AH184" s="553"/>
      <c r="AI184" s="553"/>
      <c r="AJ184" s="553"/>
      <c r="AK184" s="553"/>
    </row>
    <row r="185" spans="7:37" x14ac:dyDescent="0.2">
      <c r="G185" s="289"/>
      <c r="H185" s="289"/>
      <c r="I185" s="289"/>
      <c r="J185" s="289"/>
      <c r="K185" s="289"/>
      <c r="L185" s="289"/>
      <c r="M185" s="289"/>
      <c r="N185" s="289"/>
      <c r="O185" s="289"/>
      <c r="P185" s="289"/>
      <c r="Q185" s="289"/>
      <c r="R185" s="289"/>
      <c r="S185" s="289"/>
      <c r="T185" s="289"/>
      <c r="U185" s="289"/>
      <c r="V185" s="289"/>
      <c r="W185" s="289"/>
      <c r="X185" s="553"/>
      <c r="Y185" s="553"/>
      <c r="Z185" s="553"/>
      <c r="AA185" s="553"/>
      <c r="AB185" s="553"/>
      <c r="AC185" s="553"/>
      <c r="AD185" s="553"/>
      <c r="AE185" s="553"/>
      <c r="AF185" s="553"/>
      <c r="AG185" s="553"/>
      <c r="AH185" s="553"/>
      <c r="AI185" s="553"/>
      <c r="AJ185" s="553"/>
      <c r="AK185" s="553"/>
    </row>
    <row r="186" spans="7:37" x14ac:dyDescent="0.2">
      <c r="G186" s="289"/>
      <c r="H186" s="289"/>
      <c r="I186" s="289"/>
      <c r="J186" s="289"/>
      <c r="K186" s="289"/>
      <c r="L186" s="289"/>
      <c r="M186" s="289"/>
      <c r="N186" s="289"/>
      <c r="O186" s="289"/>
      <c r="P186" s="289"/>
      <c r="Q186" s="289"/>
      <c r="R186" s="289"/>
      <c r="S186" s="289"/>
      <c r="T186" s="289"/>
      <c r="U186" s="289"/>
      <c r="V186" s="289"/>
      <c r="W186" s="289"/>
      <c r="X186" s="553"/>
      <c r="Y186" s="553"/>
      <c r="Z186" s="553"/>
      <c r="AA186" s="553"/>
      <c r="AB186" s="553"/>
      <c r="AC186" s="553"/>
      <c r="AD186" s="553"/>
      <c r="AE186" s="553"/>
      <c r="AF186" s="553"/>
      <c r="AG186" s="553"/>
      <c r="AH186" s="553"/>
      <c r="AI186" s="553"/>
      <c r="AJ186" s="553"/>
      <c r="AK186" s="553"/>
    </row>
    <row r="187" spans="7:37" x14ac:dyDescent="0.2">
      <c r="G187" s="289"/>
      <c r="H187" s="289"/>
      <c r="I187" s="289"/>
      <c r="J187" s="289"/>
      <c r="K187" s="289"/>
      <c r="L187" s="289"/>
      <c r="M187" s="289"/>
      <c r="N187" s="289"/>
      <c r="O187" s="289"/>
      <c r="P187" s="289"/>
      <c r="Q187" s="289"/>
      <c r="R187" s="289"/>
      <c r="S187" s="289"/>
      <c r="T187" s="289"/>
      <c r="U187" s="289"/>
      <c r="V187" s="289"/>
      <c r="W187" s="289"/>
      <c r="X187" s="553"/>
      <c r="Y187" s="553"/>
      <c r="Z187" s="553"/>
      <c r="AA187" s="553"/>
      <c r="AB187" s="553"/>
      <c r="AC187" s="553"/>
      <c r="AD187" s="553"/>
      <c r="AE187" s="553"/>
      <c r="AF187" s="553"/>
      <c r="AG187" s="553"/>
      <c r="AH187" s="553"/>
      <c r="AI187" s="553"/>
      <c r="AJ187" s="553"/>
      <c r="AK187" s="553"/>
    </row>
    <row r="188" spans="7:37" x14ac:dyDescent="0.2">
      <c r="G188" s="289"/>
      <c r="H188" s="289"/>
      <c r="I188" s="289"/>
      <c r="J188" s="289"/>
      <c r="K188" s="289"/>
      <c r="L188" s="289"/>
      <c r="M188" s="289"/>
      <c r="N188" s="289"/>
      <c r="O188" s="289"/>
      <c r="P188" s="289"/>
      <c r="Q188" s="289"/>
      <c r="R188" s="289"/>
      <c r="S188" s="289"/>
      <c r="T188" s="289"/>
      <c r="U188" s="289"/>
      <c r="V188" s="289"/>
      <c r="W188" s="289"/>
      <c r="X188" s="553"/>
      <c r="Y188" s="553"/>
      <c r="Z188" s="553"/>
      <c r="AA188" s="553"/>
      <c r="AB188" s="553"/>
      <c r="AC188" s="553"/>
      <c r="AD188" s="553"/>
      <c r="AE188" s="553"/>
      <c r="AF188" s="553"/>
      <c r="AG188" s="553"/>
      <c r="AH188" s="553"/>
      <c r="AI188" s="553"/>
      <c r="AJ188" s="553"/>
      <c r="AK188" s="553"/>
    </row>
    <row r="189" spans="7:37" x14ac:dyDescent="0.2">
      <c r="G189" s="289"/>
      <c r="H189" s="289"/>
      <c r="I189" s="289"/>
      <c r="J189" s="289"/>
      <c r="K189" s="289"/>
      <c r="L189" s="289"/>
      <c r="M189" s="289"/>
      <c r="N189" s="289"/>
      <c r="O189" s="289"/>
      <c r="P189" s="289"/>
      <c r="Q189" s="289"/>
      <c r="R189" s="289"/>
      <c r="S189" s="289"/>
      <c r="T189" s="289"/>
      <c r="U189" s="289"/>
      <c r="V189" s="289"/>
      <c r="W189" s="289"/>
      <c r="X189" s="553"/>
      <c r="Y189" s="553"/>
      <c r="Z189" s="553"/>
      <c r="AA189" s="553"/>
      <c r="AB189" s="553"/>
      <c r="AC189" s="553"/>
      <c r="AD189" s="553"/>
      <c r="AE189" s="553"/>
      <c r="AF189" s="553"/>
      <c r="AG189" s="553"/>
      <c r="AH189" s="553"/>
      <c r="AI189" s="553"/>
      <c r="AJ189" s="553"/>
      <c r="AK189" s="553"/>
    </row>
    <row r="190" spans="7:37" x14ac:dyDescent="0.2">
      <c r="G190" s="289"/>
      <c r="H190" s="289"/>
      <c r="I190" s="289"/>
      <c r="J190" s="289"/>
      <c r="K190" s="289"/>
      <c r="L190" s="289"/>
      <c r="M190" s="289"/>
      <c r="N190" s="289"/>
      <c r="O190" s="289"/>
      <c r="P190" s="289"/>
      <c r="Q190" s="289"/>
      <c r="R190" s="289"/>
      <c r="S190" s="289"/>
      <c r="T190" s="289"/>
      <c r="U190" s="553"/>
      <c r="V190" s="553"/>
      <c r="W190" s="553"/>
      <c r="X190" s="553"/>
      <c r="Y190" s="553"/>
      <c r="Z190" s="553"/>
      <c r="AA190" s="553"/>
      <c r="AB190" s="553"/>
      <c r="AC190" s="553"/>
      <c r="AD190" s="553"/>
      <c r="AE190" s="553"/>
      <c r="AF190" s="553"/>
      <c r="AG190" s="553"/>
      <c r="AH190" s="553"/>
      <c r="AI190" s="553"/>
      <c r="AJ190" s="553"/>
      <c r="AK190" s="553"/>
    </row>
    <row r="191" spans="7:37" x14ac:dyDescent="0.2">
      <c r="G191" s="289"/>
      <c r="H191" s="289"/>
      <c r="I191" s="289"/>
      <c r="J191" s="289"/>
      <c r="K191" s="289"/>
      <c r="L191" s="289"/>
      <c r="M191" s="289"/>
      <c r="N191" s="289"/>
      <c r="O191" s="289"/>
      <c r="P191" s="289"/>
      <c r="Q191" s="289"/>
      <c r="R191" s="289"/>
      <c r="S191" s="289"/>
      <c r="T191" s="289"/>
      <c r="U191" s="553"/>
      <c r="V191" s="553"/>
      <c r="W191" s="553"/>
      <c r="X191" s="553"/>
      <c r="Y191" s="553"/>
      <c r="Z191" s="553"/>
      <c r="AA191" s="553"/>
      <c r="AB191" s="553"/>
      <c r="AC191" s="553"/>
      <c r="AD191" s="553"/>
      <c r="AE191" s="553"/>
      <c r="AF191" s="553"/>
      <c r="AG191" s="553"/>
      <c r="AH191" s="553"/>
      <c r="AI191" s="553"/>
      <c r="AJ191" s="553"/>
      <c r="AK191" s="553"/>
    </row>
    <row r="192" spans="7:37" x14ac:dyDescent="0.2">
      <c r="G192" s="289"/>
      <c r="H192" s="289"/>
      <c r="I192" s="289"/>
      <c r="J192" s="289"/>
      <c r="K192" s="289"/>
      <c r="L192" s="289"/>
      <c r="M192" s="289"/>
      <c r="N192" s="289"/>
      <c r="O192" s="289"/>
      <c r="P192" s="289"/>
      <c r="Q192" s="289"/>
      <c r="R192" s="289"/>
      <c r="S192" s="289"/>
      <c r="T192" s="289"/>
      <c r="U192" s="553"/>
      <c r="V192" s="553"/>
      <c r="W192" s="553"/>
      <c r="X192" s="553"/>
      <c r="Y192" s="553"/>
      <c r="Z192" s="553"/>
      <c r="AA192" s="553"/>
      <c r="AB192" s="553"/>
      <c r="AC192" s="553"/>
      <c r="AD192" s="553"/>
      <c r="AE192" s="553"/>
      <c r="AF192" s="553"/>
      <c r="AG192" s="553"/>
      <c r="AH192" s="553"/>
      <c r="AI192" s="553"/>
      <c r="AJ192" s="553"/>
      <c r="AK192" s="553"/>
    </row>
    <row r="193" spans="7:37" x14ac:dyDescent="0.2">
      <c r="G193" s="289"/>
      <c r="H193" s="289"/>
      <c r="I193" s="289"/>
      <c r="J193" s="289"/>
      <c r="K193" s="289"/>
      <c r="L193" s="289"/>
      <c r="M193" s="289"/>
      <c r="N193" s="289"/>
      <c r="O193" s="289"/>
      <c r="P193" s="289"/>
      <c r="Q193" s="289"/>
      <c r="R193" s="289"/>
      <c r="S193" s="289"/>
      <c r="T193" s="289"/>
      <c r="U193" s="553"/>
      <c r="V193" s="553"/>
      <c r="W193" s="553"/>
      <c r="X193" s="553"/>
      <c r="Y193" s="553"/>
      <c r="Z193" s="553"/>
      <c r="AA193" s="553"/>
      <c r="AB193" s="553"/>
      <c r="AC193" s="553"/>
      <c r="AD193" s="553"/>
      <c r="AE193" s="553"/>
      <c r="AF193" s="553"/>
      <c r="AG193" s="553"/>
      <c r="AH193" s="553"/>
      <c r="AI193" s="553"/>
      <c r="AJ193" s="553"/>
      <c r="AK193" s="553"/>
    </row>
    <row r="194" spans="7:37" x14ac:dyDescent="0.2">
      <c r="G194" s="289"/>
      <c r="H194" s="289"/>
      <c r="I194" s="289"/>
      <c r="J194" s="289"/>
      <c r="K194" s="289"/>
      <c r="L194" s="289"/>
      <c r="M194" s="289"/>
      <c r="N194" s="289"/>
      <c r="O194" s="289"/>
      <c r="P194" s="289"/>
      <c r="Q194" s="289"/>
      <c r="R194" s="289"/>
      <c r="S194" s="289"/>
      <c r="T194" s="289"/>
      <c r="U194" s="553"/>
      <c r="V194" s="553"/>
      <c r="W194" s="553"/>
      <c r="X194" s="553"/>
      <c r="Y194" s="553"/>
      <c r="Z194" s="553"/>
      <c r="AA194" s="553"/>
      <c r="AB194" s="553"/>
      <c r="AC194" s="553"/>
      <c r="AD194" s="553"/>
      <c r="AE194" s="553"/>
      <c r="AF194" s="553"/>
      <c r="AG194" s="553"/>
      <c r="AH194" s="553"/>
      <c r="AI194" s="553"/>
      <c r="AJ194" s="553"/>
      <c r="AK194" s="553"/>
    </row>
    <row r="195" spans="7:37" x14ac:dyDescent="0.2">
      <c r="G195" s="289"/>
      <c r="H195" s="289"/>
      <c r="I195" s="289"/>
      <c r="J195" s="289"/>
      <c r="K195" s="289"/>
      <c r="L195" s="289"/>
      <c r="M195" s="289"/>
      <c r="N195" s="289"/>
      <c r="O195" s="289"/>
      <c r="P195" s="289"/>
      <c r="Q195" s="289"/>
      <c r="R195" s="289"/>
      <c r="S195" s="289"/>
      <c r="T195" s="289"/>
      <c r="U195" s="553"/>
      <c r="V195" s="553"/>
      <c r="W195" s="553"/>
      <c r="X195" s="553"/>
      <c r="Y195" s="553"/>
      <c r="Z195" s="553"/>
      <c r="AA195" s="553"/>
      <c r="AB195" s="553"/>
      <c r="AC195" s="553"/>
      <c r="AD195" s="553"/>
      <c r="AE195" s="553"/>
      <c r="AF195" s="553"/>
      <c r="AG195" s="553"/>
      <c r="AH195" s="553"/>
      <c r="AI195" s="553"/>
      <c r="AJ195" s="553"/>
      <c r="AK195" s="553"/>
    </row>
    <row r="196" spans="7:37" x14ac:dyDescent="0.2">
      <c r="G196" s="289"/>
      <c r="H196" s="289"/>
      <c r="I196" s="289"/>
      <c r="J196" s="289"/>
      <c r="K196" s="289"/>
      <c r="L196" s="289"/>
      <c r="M196" s="289"/>
      <c r="N196" s="289"/>
      <c r="O196" s="289"/>
      <c r="P196" s="289"/>
      <c r="Q196" s="289"/>
      <c r="R196" s="289"/>
      <c r="S196" s="289"/>
      <c r="T196" s="289"/>
      <c r="U196" s="553"/>
      <c r="V196" s="553"/>
      <c r="W196" s="553"/>
      <c r="X196" s="553"/>
      <c r="Y196" s="553"/>
      <c r="Z196" s="553"/>
      <c r="AA196" s="553"/>
      <c r="AB196" s="553"/>
      <c r="AC196" s="553"/>
      <c r="AD196" s="553"/>
      <c r="AE196" s="553"/>
      <c r="AF196" s="553"/>
      <c r="AG196" s="553"/>
      <c r="AH196" s="553"/>
      <c r="AI196" s="553"/>
      <c r="AJ196" s="553"/>
      <c r="AK196" s="553"/>
    </row>
    <row r="197" spans="7:37" x14ac:dyDescent="0.2">
      <c r="G197" s="289"/>
      <c r="H197" s="289"/>
      <c r="I197" s="289"/>
      <c r="J197" s="289"/>
      <c r="K197" s="289"/>
      <c r="L197" s="289"/>
      <c r="M197" s="289"/>
      <c r="N197" s="289"/>
      <c r="O197" s="289"/>
      <c r="P197" s="289"/>
      <c r="Q197" s="289"/>
      <c r="R197" s="289"/>
      <c r="S197" s="289"/>
      <c r="T197" s="289"/>
      <c r="U197" s="553"/>
      <c r="V197" s="553"/>
      <c r="W197" s="553"/>
      <c r="X197" s="553"/>
      <c r="Y197" s="553"/>
      <c r="Z197" s="553"/>
      <c r="AA197" s="553"/>
      <c r="AB197" s="553"/>
      <c r="AC197" s="553"/>
      <c r="AD197" s="553"/>
      <c r="AE197" s="553"/>
      <c r="AF197" s="553"/>
      <c r="AG197" s="553"/>
      <c r="AH197" s="553"/>
      <c r="AI197" s="553"/>
      <c r="AJ197" s="553"/>
      <c r="AK197" s="553"/>
    </row>
    <row r="198" spans="7:37" x14ac:dyDescent="0.2">
      <c r="G198" s="289"/>
      <c r="H198" s="289"/>
      <c r="I198" s="289"/>
      <c r="J198" s="289"/>
      <c r="K198" s="289"/>
      <c r="L198" s="289"/>
      <c r="M198" s="289"/>
      <c r="N198" s="289"/>
      <c r="O198" s="289"/>
      <c r="P198" s="289"/>
      <c r="Q198" s="289"/>
      <c r="R198" s="289"/>
      <c r="S198" s="289"/>
      <c r="T198" s="289"/>
      <c r="U198" s="553"/>
      <c r="V198" s="553"/>
      <c r="W198" s="553"/>
      <c r="X198" s="553"/>
      <c r="Y198" s="553"/>
      <c r="Z198" s="553"/>
      <c r="AA198" s="553"/>
      <c r="AB198" s="553"/>
      <c r="AC198" s="553"/>
      <c r="AD198" s="553"/>
      <c r="AE198" s="553"/>
      <c r="AF198" s="553"/>
      <c r="AG198" s="553"/>
      <c r="AH198" s="553"/>
      <c r="AI198" s="553"/>
      <c r="AJ198" s="553"/>
      <c r="AK198" s="553"/>
    </row>
    <row r="199" spans="7:37" x14ac:dyDescent="0.2">
      <c r="G199" s="289"/>
      <c r="H199" s="289"/>
      <c r="I199" s="289"/>
      <c r="J199" s="289"/>
      <c r="K199" s="289"/>
      <c r="L199" s="289"/>
      <c r="M199" s="289"/>
      <c r="N199" s="289"/>
      <c r="O199" s="289"/>
      <c r="P199" s="289"/>
      <c r="Q199" s="289"/>
      <c r="R199" s="289"/>
      <c r="S199" s="289"/>
      <c r="T199" s="289"/>
      <c r="U199" s="553"/>
      <c r="V199" s="553"/>
      <c r="W199" s="553"/>
      <c r="X199" s="553"/>
      <c r="Y199" s="553"/>
      <c r="Z199" s="553"/>
      <c r="AA199" s="553"/>
      <c r="AB199" s="553"/>
      <c r="AC199" s="553"/>
      <c r="AD199" s="553"/>
      <c r="AE199" s="553"/>
      <c r="AF199" s="553"/>
      <c r="AG199" s="553"/>
      <c r="AH199" s="553"/>
      <c r="AI199" s="553"/>
      <c r="AJ199" s="553"/>
      <c r="AK199" s="553"/>
    </row>
    <row r="200" spans="7:37" x14ac:dyDescent="0.2">
      <c r="G200" s="289"/>
      <c r="H200" s="289"/>
      <c r="I200" s="289"/>
      <c r="J200" s="289"/>
      <c r="K200" s="289"/>
      <c r="L200" s="289"/>
      <c r="M200" s="289"/>
      <c r="N200" s="289"/>
      <c r="O200" s="289"/>
      <c r="P200" s="289"/>
      <c r="Q200" s="289"/>
      <c r="R200" s="289"/>
      <c r="S200" s="289"/>
      <c r="T200" s="289"/>
      <c r="U200" s="553"/>
      <c r="V200" s="553"/>
      <c r="W200" s="553"/>
      <c r="X200" s="553"/>
      <c r="Y200" s="553"/>
      <c r="Z200" s="553"/>
      <c r="AA200" s="553"/>
      <c r="AB200" s="553"/>
      <c r="AC200" s="553"/>
      <c r="AD200" s="553"/>
      <c r="AE200" s="553"/>
      <c r="AF200" s="553"/>
      <c r="AG200" s="553"/>
      <c r="AH200" s="553"/>
      <c r="AI200" s="553"/>
      <c r="AJ200" s="553"/>
      <c r="AK200" s="553"/>
    </row>
    <row r="201" spans="7:37" x14ac:dyDescent="0.2">
      <c r="G201" s="289"/>
      <c r="H201" s="289"/>
      <c r="I201" s="289"/>
      <c r="J201" s="289"/>
      <c r="K201" s="289"/>
      <c r="L201" s="289"/>
      <c r="M201" s="289"/>
      <c r="N201" s="289"/>
      <c r="O201" s="289"/>
      <c r="P201" s="289"/>
      <c r="Q201" s="289"/>
      <c r="R201" s="289"/>
      <c r="S201" s="289"/>
      <c r="T201" s="289"/>
      <c r="U201" s="553"/>
      <c r="V201" s="553"/>
      <c r="W201" s="553"/>
      <c r="X201" s="553"/>
      <c r="Y201" s="553"/>
      <c r="Z201" s="553"/>
      <c r="AA201" s="553"/>
      <c r="AB201" s="553"/>
      <c r="AC201" s="553"/>
      <c r="AD201" s="553"/>
      <c r="AE201" s="553"/>
      <c r="AF201" s="553"/>
      <c r="AG201" s="553"/>
      <c r="AH201" s="553"/>
      <c r="AI201" s="553"/>
      <c r="AJ201" s="553"/>
      <c r="AK201" s="553"/>
    </row>
    <row r="202" spans="7:37" x14ac:dyDescent="0.2">
      <c r="G202" s="289"/>
      <c r="H202" s="289"/>
      <c r="I202" s="289"/>
      <c r="J202" s="289"/>
      <c r="K202" s="289"/>
      <c r="L202" s="289"/>
      <c r="M202" s="289"/>
      <c r="N202" s="289"/>
      <c r="O202" s="289"/>
      <c r="P202" s="289"/>
      <c r="Q202" s="289"/>
      <c r="R202" s="289"/>
      <c r="S202" s="289"/>
      <c r="T202" s="289"/>
      <c r="U202" s="553"/>
      <c r="V202" s="553"/>
      <c r="W202" s="553"/>
      <c r="X202" s="553"/>
      <c r="Y202" s="553"/>
      <c r="Z202" s="553"/>
      <c r="AA202" s="553"/>
      <c r="AB202" s="553"/>
      <c r="AC202" s="553"/>
      <c r="AD202" s="553"/>
      <c r="AE202" s="553"/>
      <c r="AF202" s="553"/>
      <c r="AG202" s="553"/>
      <c r="AH202" s="553"/>
      <c r="AI202" s="553"/>
      <c r="AJ202" s="553"/>
      <c r="AK202" s="553"/>
    </row>
    <row r="203" spans="7:37" x14ac:dyDescent="0.2">
      <c r="G203" s="289"/>
      <c r="H203" s="289"/>
      <c r="I203" s="289"/>
      <c r="J203" s="289"/>
      <c r="K203" s="289"/>
      <c r="L203" s="289"/>
      <c r="M203" s="289"/>
      <c r="N203" s="289"/>
      <c r="O203" s="289"/>
      <c r="P203" s="289"/>
      <c r="Q203" s="289"/>
      <c r="R203" s="289"/>
      <c r="S203" s="289"/>
      <c r="T203" s="289"/>
      <c r="U203" s="553"/>
      <c r="V203" s="553"/>
      <c r="W203" s="553"/>
      <c r="X203" s="553"/>
      <c r="Y203" s="553"/>
      <c r="Z203" s="553"/>
      <c r="AA203" s="553"/>
      <c r="AB203" s="553"/>
      <c r="AC203" s="553"/>
      <c r="AD203" s="553"/>
      <c r="AE203" s="553"/>
      <c r="AF203" s="553"/>
      <c r="AG203" s="553"/>
      <c r="AH203" s="553"/>
      <c r="AI203" s="553"/>
      <c r="AJ203" s="553"/>
      <c r="AK203" s="553"/>
    </row>
    <row r="204" spans="7:37" x14ac:dyDescent="0.2">
      <c r="G204" s="289"/>
      <c r="H204" s="289"/>
      <c r="I204" s="289"/>
      <c r="J204" s="289"/>
      <c r="K204" s="289"/>
      <c r="L204" s="289"/>
      <c r="M204" s="289"/>
      <c r="N204" s="289"/>
      <c r="O204" s="289"/>
      <c r="P204" s="289"/>
      <c r="Q204" s="289"/>
      <c r="R204" s="289"/>
      <c r="S204" s="289"/>
      <c r="T204" s="289"/>
      <c r="U204" s="553"/>
      <c r="V204" s="553"/>
      <c r="W204" s="553"/>
      <c r="X204" s="553"/>
      <c r="Y204" s="553"/>
      <c r="Z204" s="553"/>
      <c r="AA204" s="553"/>
      <c r="AB204" s="553"/>
      <c r="AC204" s="553"/>
      <c r="AD204" s="553"/>
      <c r="AE204" s="553"/>
      <c r="AF204" s="553"/>
      <c r="AG204" s="553"/>
      <c r="AH204" s="553"/>
      <c r="AI204" s="553"/>
      <c r="AJ204" s="553"/>
      <c r="AK204" s="553"/>
    </row>
    <row r="205" spans="7:37" x14ac:dyDescent="0.2">
      <c r="G205" s="289"/>
      <c r="H205" s="289"/>
      <c r="I205" s="289"/>
      <c r="J205" s="289"/>
      <c r="K205" s="289"/>
      <c r="L205" s="289"/>
      <c r="M205" s="289"/>
      <c r="N205" s="289"/>
      <c r="O205" s="289"/>
      <c r="P205" s="289"/>
      <c r="Q205" s="289"/>
      <c r="R205" s="289"/>
      <c r="S205" s="289"/>
      <c r="T205" s="289"/>
      <c r="U205" s="553"/>
      <c r="V205" s="553"/>
      <c r="W205" s="553"/>
      <c r="X205" s="553"/>
      <c r="Y205" s="553"/>
      <c r="Z205" s="553"/>
      <c r="AA205" s="553"/>
      <c r="AB205" s="553"/>
      <c r="AC205" s="553"/>
      <c r="AD205" s="553"/>
      <c r="AE205" s="553"/>
      <c r="AF205" s="553"/>
      <c r="AG205" s="553"/>
      <c r="AH205" s="553"/>
      <c r="AI205" s="553"/>
      <c r="AJ205" s="553"/>
      <c r="AK205" s="553"/>
    </row>
    <row r="206" spans="7:37" x14ac:dyDescent="0.2">
      <c r="G206" s="289"/>
      <c r="H206" s="289"/>
      <c r="I206" s="289"/>
      <c r="J206" s="289"/>
      <c r="K206" s="289"/>
      <c r="L206" s="289"/>
      <c r="M206" s="289"/>
      <c r="N206" s="289"/>
      <c r="O206" s="289"/>
      <c r="P206" s="289"/>
      <c r="Q206" s="289"/>
      <c r="R206" s="289"/>
      <c r="S206" s="289"/>
      <c r="T206" s="289"/>
      <c r="U206" s="553"/>
      <c r="V206" s="553"/>
      <c r="W206" s="553"/>
      <c r="X206" s="553"/>
      <c r="Y206" s="553"/>
      <c r="Z206" s="553"/>
      <c r="AA206" s="553"/>
      <c r="AB206" s="553"/>
      <c r="AC206" s="553"/>
      <c r="AD206" s="553"/>
      <c r="AE206" s="553"/>
      <c r="AF206" s="553"/>
      <c r="AG206" s="553"/>
      <c r="AH206" s="553"/>
      <c r="AI206" s="553"/>
      <c r="AJ206" s="553"/>
      <c r="AK206" s="553"/>
    </row>
    <row r="207" spans="7:37" x14ac:dyDescent="0.2">
      <c r="G207" s="289"/>
      <c r="H207" s="289"/>
      <c r="I207" s="289"/>
      <c r="J207" s="289"/>
      <c r="K207" s="289"/>
      <c r="L207" s="289"/>
      <c r="M207" s="289"/>
      <c r="N207" s="289"/>
      <c r="O207" s="289"/>
      <c r="P207" s="289"/>
      <c r="Q207" s="289"/>
      <c r="R207" s="289"/>
      <c r="S207" s="289"/>
      <c r="T207" s="289"/>
      <c r="U207" s="553"/>
      <c r="V207" s="553"/>
      <c r="W207" s="553"/>
      <c r="X207" s="553"/>
      <c r="Y207" s="553"/>
      <c r="Z207" s="553"/>
      <c r="AA207" s="553"/>
      <c r="AB207" s="553"/>
      <c r="AC207" s="553"/>
      <c r="AD207" s="553"/>
      <c r="AE207" s="553"/>
      <c r="AF207" s="553"/>
      <c r="AG207" s="553"/>
      <c r="AH207" s="553"/>
      <c r="AI207" s="553"/>
      <c r="AJ207" s="553"/>
      <c r="AK207" s="553"/>
    </row>
    <row r="208" spans="7:37" x14ac:dyDescent="0.2">
      <c r="G208" s="289"/>
      <c r="H208" s="289"/>
      <c r="I208" s="289"/>
      <c r="J208" s="289"/>
      <c r="K208" s="289"/>
      <c r="L208" s="289"/>
      <c r="M208" s="289"/>
      <c r="N208" s="289"/>
      <c r="O208" s="289"/>
      <c r="P208" s="289"/>
      <c r="Q208" s="289"/>
      <c r="R208" s="289"/>
      <c r="S208" s="289"/>
      <c r="T208" s="289"/>
      <c r="U208" s="553"/>
      <c r="V208" s="553"/>
      <c r="W208" s="553"/>
      <c r="X208" s="553"/>
      <c r="Y208" s="553"/>
      <c r="Z208" s="553"/>
      <c r="AA208" s="553"/>
      <c r="AB208" s="553"/>
      <c r="AC208" s="553"/>
      <c r="AD208" s="553"/>
      <c r="AE208" s="553"/>
      <c r="AF208" s="553"/>
      <c r="AG208" s="553"/>
      <c r="AH208" s="553"/>
      <c r="AI208" s="553"/>
      <c r="AJ208" s="553"/>
      <c r="AK208" s="553"/>
    </row>
    <row r="209" spans="7:37" x14ac:dyDescent="0.2">
      <c r="G209" s="289"/>
      <c r="H209" s="289"/>
      <c r="I209" s="289"/>
      <c r="J209" s="289"/>
      <c r="K209" s="289"/>
      <c r="L209" s="289"/>
      <c r="M209" s="289"/>
      <c r="N209" s="289"/>
      <c r="O209" s="289"/>
      <c r="P209" s="289"/>
      <c r="Q209" s="289"/>
      <c r="R209" s="289"/>
      <c r="S209" s="289"/>
      <c r="T209" s="289"/>
      <c r="U209" s="553"/>
      <c r="V209" s="553"/>
      <c r="W209" s="553"/>
      <c r="X209" s="553"/>
      <c r="Y209" s="553"/>
      <c r="Z209" s="553"/>
      <c r="AA209" s="553"/>
      <c r="AB209" s="553"/>
      <c r="AC209" s="553"/>
      <c r="AD209" s="553"/>
      <c r="AE209" s="553"/>
      <c r="AF209" s="553"/>
      <c r="AG209" s="553"/>
      <c r="AH209" s="553"/>
      <c r="AI209" s="553"/>
      <c r="AJ209" s="553"/>
      <c r="AK209" s="553"/>
    </row>
    <row r="210" spans="7:37" x14ac:dyDescent="0.2">
      <c r="G210" s="289"/>
      <c r="H210" s="289"/>
      <c r="I210" s="289"/>
      <c r="J210" s="289"/>
      <c r="K210" s="289"/>
      <c r="L210" s="289"/>
      <c r="M210" s="289"/>
      <c r="N210" s="289"/>
      <c r="O210" s="289"/>
      <c r="P210" s="289"/>
      <c r="Q210" s="289"/>
      <c r="R210" s="289"/>
      <c r="S210" s="289"/>
      <c r="T210" s="289"/>
      <c r="U210" s="553"/>
      <c r="V210" s="553"/>
      <c r="W210" s="553"/>
      <c r="X210" s="553"/>
      <c r="Y210" s="553"/>
      <c r="Z210" s="553"/>
      <c r="AA210" s="553"/>
      <c r="AB210" s="553"/>
      <c r="AC210" s="553"/>
      <c r="AD210" s="553"/>
      <c r="AE210" s="553"/>
      <c r="AF210" s="553"/>
      <c r="AG210" s="553"/>
      <c r="AH210" s="553"/>
      <c r="AI210" s="553"/>
      <c r="AJ210" s="553"/>
      <c r="AK210" s="553"/>
    </row>
    <row r="211" spans="7:37" x14ac:dyDescent="0.2">
      <c r="G211" s="289"/>
      <c r="H211" s="289"/>
      <c r="I211" s="289"/>
      <c r="J211" s="289"/>
      <c r="K211" s="289"/>
      <c r="L211" s="289"/>
      <c r="M211" s="289"/>
      <c r="N211" s="289"/>
      <c r="O211" s="289"/>
      <c r="P211" s="289"/>
      <c r="Q211" s="289"/>
      <c r="R211" s="289"/>
      <c r="S211" s="289"/>
      <c r="T211" s="289"/>
      <c r="U211" s="553"/>
      <c r="V211" s="553"/>
      <c r="W211" s="553"/>
      <c r="X211" s="553"/>
      <c r="Y211" s="553"/>
      <c r="Z211" s="553"/>
      <c r="AA211" s="553"/>
      <c r="AB211" s="553"/>
      <c r="AC211" s="553"/>
      <c r="AD211" s="553"/>
      <c r="AE211" s="553"/>
      <c r="AF211" s="553"/>
      <c r="AG211" s="553"/>
      <c r="AH211" s="553"/>
      <c r="AI211" s="553"/>
      <c r="AJ211" s="553"/>
      <c r="AK211" s="553"/>
    </row>
    <row r="212" spans="7:37" x14ac:dyDescent="0.2">
      <c r="G212" s="289"/>
      <c r="H212" s="289"/>
      <c r="I212" s="289"/>
      <c r="J212" s="289"/>
      <c r="K212" s="289"/>
      <c r="L212" s="289"/>
      <c r="M212" s="289"/>
      <c r="N212" s="289"/>
      <c r="O212" s="289"/>
      <c r="P212" s="289"/>
      <c r="Q212" s="289"/>
      <c r="R212" s="289"/>
      <c r="S212" s="289"/>
      <c r="T212" s="289"/>
      <c r="U212" s="553"/>
      <c r="V212" s="553"/>
      <c r="W212" s="553"/>
      <c r="X212" s="553"/>
      <c r="Y212" s="553"/>
      <c r="Z212" s="553"/>
      <c r="AA212" s="553"/>
      <c r="AB212" s="553"/>
      <c r="AC212" s="553"/>
      <c r="AD212" s="553"/>
      <c r="AE212" s="553"/>
      <c r="AF212" s="553"/>
      <c r="AG212" s="553"/>
      <c r="AH212" s="553"/>
      <c r="AI212" s="553"/>
      <c r="AJ212" s="553"/>
      <c r="AK212" s="553"/>
    </row>
    <row r="213" spans="7:37" x14ac:dyDescent="0.2">
      <c r="G213" s="289"/>
      <c r="H213" s="289"/>
      <c r="I213" s="289"/>
      <c r="J213" s="289"/>
      <c r="K213" s="289"/>
      <c r="L213" s="289"/>
      <c r="M213" s="289"/>
      <c r="N213" s="289"/>
      <c r="O213" s="289"/>
      <c r="P213" s="289"/>
      <c r="Q213" s="289"/>
      <c r="R213" s="289"/>
      <c r="S213" s="289"/>
      <c r="T213" s="289"/>
      <c r="U213" s="553"/>
      <c r="V213" s="553"/>
      <c r="W213" s="553"/>
      <c r="X213" s="553"/>
      <c r="Y213" s="553"/>
      <c r="Z213" s="553"/>
      <c r="AA213" s="553"/>
      <c r="AB213" s="553"/>
      <c r="AC213" s="553"/>
      <c r="AD213" s="553"/>
      <c r="AE213" s="553"/>
      <c r="AF213" s="553"/>
      <c r="AG213" s="553"/>
      <c r="AH213" s="553"/>
      <c r="AI213" s="553"/>
      <c r="AJ213" s="553"/>
      <c r="AK213" s="553"/>
    </row>
    <row r="214" spans="7:37" x14ac:dyDescent="0.2">
      <c r="G214" s="289"/>
      <c r="H214" s="289"/>
      <c r="I214" s="289"/>
      <c r="J214" s="289"/>
      <c r="K214" s="289"/>
      <c r="L214" s="289"/>
      <c r="M214" s="289"/>
      <c r="N214" s="289"/>
      <c r="O214" s="289"/>
      <c r="P214" s="289"/>
      <c r="Q214" s="289"/>
      <c r="R214" s="289"/>
      <c r="S214" s="289"/>
      <c r="T214" s="289"/>
      <c r="U214" s="553"/>
      <c r="V214" s="553"/>
      <c r="W214" s="553"/>
      <c r="X214" s="553"/>
      <c r="Y214" s="553"/>
      <c r="Z214" s="553"/>
      <c r="AA214" s="553"/>
      <c r="AB214" s="553"/>
      <c r="AC214" s="553"/>
      <c r="AD214" s="553"/>
      <c r="AE214" s="553"/>
      <c r="AF214" s="553"/>
      <c r="AG214" s="553"/>
      <c r="AH214" s="553"/>
      <c r="AI214" s="553"/>
      <c r="AJ214" s="553"/>
      <c r="AK214" s="553"/>
    </row>
    <row r="215" spans="7:37" x14ac:dyDescent="0.2">
      <c r="G215" s="289"/>
      <c r="H215" s="289"/>
      <c r="I215" s="289"/>
      <c r="J215" s="289"/>
      <c r="K215" s="289"/>
      <c r="L215" s="289"/>
      <c r="M215" s="289"/>
      <c r="N215" s="289"/>
      <c r="O215" s="289"/>
      <c r="P215" s="289"/>
      <c r="Q215" s="289"/>
      <c r="R215" s="289"/>
      <c r="S215" s="289"/>
      <c r="T215" s="289"/>
      <c r="U215" s="553"/>
      <c r="V215" s="553"/>
      <c r="W215" s="553"/>
      <c r="X215" s="553"/>
      <c r="Y215" s="553"/>
      <c r="Z215" s="553"/>
      <c r="AA215" s="553"/>
      <c r="AB215" s="553"/>
      <c r="AC215" s="553"/>
      <c r="AD215" s="553"/>
      <c r="AE215" s="553"/>
      <c r="AF215" s="553"/>
      <c r="AG215" s="553"/>
      <c r="AH215" s="553"/>
      <c r="AI215" s="553"/>
      <c r="AJ215" s="553"/>
      <c r="AK215" s="553"/>
    </row>
    <row r="216" spans="7:37" x14ac:dyDescent="0.2">
      <c r="G216" s="289"/>
      <c r="H216" s="289"/>
      <c r="I216" s="289"/>
      <c r="J216" s="289"/>
      <c r="K216" s="289"/>
      <c r="L216" s="289"/>
      <c r="M216" s="289"/>
      <c r="N216" s="289"/>
      <c r="O216" s="289"/>
      <c r="P216" s="289"/>
      <c r="Q216" s="289"/>
      <c r="R216" s="289"/>
      <c r="S216" s="289"/>
      <c r="T216" s="289"/>
      <c r="U216" s="553"/>
      <c r="V216" s="553"/>
      <c r="W216" s="553"/>
      <c r="X216" s="553"/>
      <c r="Y216" s="553"/>
      <c r="Z216" s="553"/>
      <c r="AA216" s="553"/>
      <c r="AB216" s="553"/>
      <c r="AC216" s="553"/>
      <c r="AD216" s="553"/>
      <c r="AE216" s="553"/>
      <c r="AF216" s="553"/>
      <c r="AG216" s="553"/>
      <c r="AH216" s="553"/>
      <c r="AI216" s="553"/>
      <c r="AJ216" s="553"/>
      <c r="AK216" s="553"/>
    </row>
    <row r="217" spans="7:37" x14ac:dyDescent="0.2">
      <c r="G217" s="289"/>
      <c r="H217" s="289"/>
      <c r="I217" s="553"/>
      <c r="J217" s="553"/>
      <c r="K217" s="553"/>
      <c r="L217" s="553"/>
      <c r="M217" s="553"/>
      <c r="N217" s="553"/>
      <c r="O217" s="553"/>
      <c r="P217" s="553"/>
      <c r="Q217" s="553"/>
      <c r="R217" s="553"/>
      <c r="S217" s="553"/>
      <c r="T217" s="553"/>
      <c r="U217" s="553"/>
      <c r="V217" s="553"/>
      <c r="W217" s="553"/>
      <c r="X217" s="553"/>
      <c r="Y217" s="553"/>
      <c r="Z217" s="553"/>
      <c r="AA217" s="553"/>
      <c r="AB217" s="553"/>
      <c r="AC217" s="553"/>
      <c r="AD217" s="553"/>
      <c r="AE217" s="553"/>
      <c r="AF217" s="553"/>
      <c r="AG217" s="553"/>
      <c r="AH217" s="553"/>
      <c r="AI217" s="553"/>
      <c r="AJ217" s="553"/>
      <c r="AK217" s="553"/>
    </row>
    <row r="218" spans="7:37" x14ac:dyDescent="0.2">
      <c r="G218" s="289"/>
      <c r="H218" s="553"/>
      <c r="I218" s="553"/>
      <c r="J218" s="553"/>
      <c r="K218" s="553"/>
      <c r="L218" s="553"/>
      <c r="M218" s="553"/>
      <c r="N218" s="553"/>
      <c r="O218" s="553"/>
      <c r="P218" s="553"/>
      <c r="Q218" s="553"/>
      <c r="R218" s="553"/>
      <c r="S218" s="553"/>
      <c r="T218" s="553"/>
      <c r="U218" s="553"/>
      <c r="V218" s="553"/>
      <c r="W218" s="553"/>
      <c r="X218" s="553"/>
      <c r="Y218" s="553"/>
      <c r="Z218" s="553"/>
      <c r="AA218" s="553"/>
      <c r="AB218" s="553"/>
      <c r="AC218" s="553"/>
      <c r="AD218" s="553"/>
      <c r="AE218" s="553"/>
      <c r="AF218" s="553"/>
      <c r="AG218" s="553"/>
      <c r="AH218" s="553"/>
      <c r="AI218" s="553"/>
      <c r="AJ218" s="553"/>
      <c r="AK218" s="553"/>
    </row>
    <row r="219" spans="7:37" x14ac:dyDescent="0.2">
      <c r="G219" s="289"/>
      <c r="H219" s="553"/>
      <c r="I219" s="553"/>
      <c r="J219" s="553"/>
      <c r="K219" s="553"/>
      <c r="L219" s="553"/>
      <c r="M219" s="553"/>
      <c r="N219" s="553"/>
      <c r="O219" s="553"/>
      <c r="P219" s="553"/>
      <c r="Q219" s="553"/>
      <c r="R219" s="553"/>
      <c r="S219" s="553"/>
      <c r="T219" s="553"/>
      <c r="U219" s="553"/>
      <c r="V219" s="553"/>
      <c r="W219" s="553"/>
      <c r="X219" s="553"/>
      <c r="Y219" s="553"/>
      <c r="Z219" s="553"/>
      <c r="AA219" s="553"/>
      <c r="AB219" s="553"/>
      <c r="AC219" s="553"/>
      <c r="AD219" s="553"/>
      <c r="AE219" s="553"/>
      <c r="AF219" s="553"/>
      <c r="AG219" s="553"/>
      <c r="AH219" s="553"/>
      <c r="AI219" s="553"/>
      <c r="AJ219" s="553"/>
      <c r="AK219" s="553"/>
    </row>
    <row r="220" spans="7:37" x14ac:dyDescent="0.2">
      <c r="G220" s="289"/>
      <c r="H220" s="553"/>
      <c r="I220" s="553"/>
      <c r="J220" s="553"/>
      <c r="K220" s="553"/>
      <c r="L220" s="553"/>
      <c r="M220" s="553"/>
      <c r="N220" s="553"/>
      <c r="O220" s="553"/>
      <c r="P220" s="553"/>
      <c r="Q220" s="553"/>
      <c r="R220" s="553"/>
      <c r="S220" s="553"/>
      <c r="T220" s="553"/>
      <c r="U220" s="553"/>
      <c r="V220" s="553"/>
      <c r="W220" s="553"/>
      <c r="X220" s="553"/>
      <c r="Y220" s="553"/>
      <c r="Z220" s="553"/>
      <c r="AA220" s="553"/>
      <c r="AB220" s="553"/>
      <c r="AC220" s="553"/>
      <c r="AD220" s="553"/>
      <c r="AE220" s="553"/>
      <c r="AF220" s="553"/>
      <c r="AG220" s="553"/>
      <c r="AH220" s="553"/>
      <c r="AI220" s="553"/>
      <c r="AJ220" s="553"/>
      <c r="AK220" s="553"/>
    </row>
    <row r="221" spans="7:37" x14ac:dyDescent="0.2">
      <c r="G221" s="289"/>
      <c r="H221" s="553"/>
      <c r="I221" s="553"/>
      <c r="J221" s="553"/>
      <c r="K221" s="553"/>
      <c r="L221" s="553"/>
      <c r="M221" s="553"/>
      <c r="N221" s="553"/>
      <c r="O221" s="553"/>
      <c r="P221" s="553"/>
      <c r="Q221" s="553"/>
      <c r="R221" s="553"/>
      <c r="S221" s="553"/>
      <c r="T221" s="553"/>
      <c r="U221" s="553"/>
      <c r="V221" s="553"/>
      <c r="W221" s="553"/>
      <c r="X221" s="553"/>
      <c r="Y221" s="553"/>
      <c r="Z221" s="553"/>
      <c r="AA221" s="553"/>
      <c r="AB221" s="553"/>
      <c r="AC221" s="553"/>
      <c r="AD221" s="553"/>
      <c r="AE221" s="553"/>
      <c r="AF221" s="553"/>
      <c r="AG221" s="553"/>
      <c r="AH221" s="553"/>
      <c r="AI221" s="553"/>
      <c r="AJ221" s="553"/>
      <c r="AK221" s="553"/>
    </row>
    <row r="222" spans="7:37" x14ac:dyDescent="0.2">
      <c r="G222" s="289"/>
      <c r="H222" s="553"/>
      <c r="I222" s="553"/>
      <c r="J222" s="553"/>
      <c r="K222" s="553"/>
      <c r="L222" s="553"/>
      <c r="M222" s="553"/>
      <c r="N222" s="553"/>
      <c r="O222" s="553"/>
      <c r="P222" s="553"/>
      <c r="Q222" s="553"/>
      <c r="R222" s="553"/>
      <c r="S222" s="553"/>
      <c r="T222" s="553"/>
      <c r="U222" s="553"/>
      <c r="V222" s="553"/>
      <c r="W222" s="553"/>
      <c r="X222" s="553"/>
      <c r="Y222" s="553"/>
      <c r="Z222" s="553"/>
      <c r="AA222" s="553"/>
      <c r="AB222" s="553"/>
      <c r="AC222" s="553"/>
      <c r="AD222" s="553"/>
      <c r="AE222" s="553"/>
      <c r="AF222" s="553"/>
      <c r="AG222" s="553"/>
      <c r="AH222" s="553"/>
      <c r="AI222" s="553"/>
      <c r="AJ222" s="553"/>
      <c r="AK222" s="553"/>
    </row>
    <row r="223" spans="7:37" x14ac:dyDescent="0.2">
      <c r="G223" s="289"/>
      <c r="H223" s="553"/>
      <c r="I223" s="553"/>
      <c r="J223" s="553"/>
      <c r="K223" s="553"/>
      <c r="L223" s="553"/>
      <c r="M223" s="553"/>
      <c r="N223" s="553"/>
      <c r="O223" s="553"/>
      <c r="P223" s="553"/>
      <c r="Q223" s="553"/>
      <c r="R223" s="553"/>
      <c r="S223" s="553"/>
      <c r="T223" s="553"/>
      <c r="U223" s="553"/>
      <c r="V223" s="553"/>
      <c r="W223" s="553"/>
      <c r="X223" s="553"/>
      <c r="Y223" s="553"/>
      <c r="Z223" s="553"/>
      <c r="AA223" s="553"/>
      <c r="AB223" s="553"/>
      <c r="AC223" s="553"/>
      <c r="AD223" s="553"/>
      <c r="AE223" s="553"/>
      <c r="AF223" s="553"/>
      <c r="AG223" s="553"/>
      <c r="AH223" s="553"/>
      <c r="AI223" s="553"/>
      <c r="AJ223" s="553"/>
      <c r="AK223" s="553"/>
    </row>
    <row r="224" spans="7:37" x14ac:dyDescent="0.2">
      <c r="G224" s="289"/>
      <c r="H224" s="553"/>
      <c r="I224" s="553"/>
      <c r="J224" s="553"/>
      <c r="K224" s="553"/>
      <c r="L224" s="553"/>
      <c r="M224" s="553"/>
      <c r="N224" s="553"/>
      <c r="O224" s="553"/>
      <c r="P224" s="553"/>
      <c r="Q224" s="553"/>
      <c r="R224" s="553"/>
      <c r="S224" s="553"/>
      <c r="T224" s="553"/>
      <c r="U224" s="553"/>
      <c r="V224" s="553"/>
      <c r="W224" s="553"/>
      <c r="X224" s="553"/>
      <c r="Y224" s="553"/>
      <c r="Z224" s="553"/>
      <c r="AA224" s="553"/>
      <c r="AB224" s="553"/>
      <c r="AC224" s="553"/>
      <c r="AD224" s="553"/>
      <c r="AE224" s="553"/>
      <c r="AF224" s="553"/>
      <c r="AG224" s="553"/>
      <c r="AH224" s="553"/>
      <c r="AI224" s="553"/>
      <c r="AJ224" s="553"/>
      <c r="AK224" s="553"/>
    </row>
    <row r="225" spans="7:37" x14ac:dyDescent="0.2">
      <c r="G225" s="289"/>
      <c r="H225" s="553"/>
      <c r="I225" s="553"/>
      <c r="J225" s="553"/>
      <c r="K225" s="553"/>
      <c r="L225" s="553"/>
      <c r="M225" s="553"/>
      <c r="N225" s="553"/>
      <c r="O225" s="553"/>
      <c r="P225" s="553"/>
      <c r="Q225" s="553"/>
      <c r="R225" s="553"/>
      <c r="S225" s="553"/>
      <c r="T225" s="553"/>
      <c r="U225" s="553"/>
      <c r="V225" s="553"/>
      <c r="W225" s="553"/>
      <c r="X225" s="553"/>
      <c r="Y225" s="553"/>
      <c r="Z225" s="553"/>
      <c r="AA225" s="553"/>
      <c r="AB225" s="553"/>
      <c r="AC225" s="553"/>
      <c r="AD225" s="553"/>
      <c r="AE225" s="553"/>
      <c r="AF225" s="553"/>
      <c r="AG225" s="553"/>
      <c r="AH225" s="553"/>
      <c r="AI225" s="553"/>
      <c r="AJ225" s="553"/>
      <c r="AK225" s="553"/>
    </row>
    <row r="226" spans="7:37" x14ac:dyDescent="0.2">
      <c r="G226" s="289"/>
      <c r="H226" s="553"/>
      <c r="I226" s="553"/>
      <c r="J226" s="553"/>
      <c r="K226" s="553"/>
      <c r="L226" s="553"/>
      <c r="M226" s="553"/>
      <c r="N226" s="553"/>
      <c r="O226" s="553"/>
      <c r="P226" s="553"/>
      <c r="Q226" s="553"/>
      <c r="R226" s="553"/>
      <c r="S226" s="553"/>
      <c r="T226" s="553"/>
      <c r="U226" s="553"/>
      <c r="V226" s="553"/>
      <c r="W226" s="553"/>
      <c r="X226" s="553"/>
      <c r="Y226" s="553"/>
      <c r="Z226" s="553"/>
      <c r="AA226" s="553"/>
      <c r="AB226" s="553"/>
      <c r="AC226" s="553"/>
      <c r="AD226" s="553"/>
      <c r="AE226" s="553"/>
      <c r="AF226" s="553"/>
      <c r="AG226" s="553"/>
      <c r="AH226" s="553"/>
      <c r="AI226" s="553"/>
      <c r="AJ226" s="553"/>
      <c r="AK226" s="553"/>
    </row>
    <row r="227" spans="7:37" x14ac:dyDescent="0.2">
      <c r="G227" s="289"/>
      <c r="H227" s="553"/>
      <c r="I227" s="553"/>
      <c r="J227" s="553"/>
      <c r="K227" s="553"/>
      <c r="L227" s="553"/>
      <c r="M227" s="553"/>
      <c r="N227" s="553"/>
      <c r="O227" s="553"/>
      <c r="P227" s="553"/>
      <c r="Q227" s="553"/>
      <c r="R227" s="553"/>
      <c r="S227" s="553"/>
      <c r="T227" s="553"/>
      <c r="U227" s="553"/>
      <c r="V227" s="553"/>
      <c r="W227" s="553"/>
      <c r="X227" s="553"/>
      <c r="Y227" s="553"/>
      <c r="Z227" s="553"/>
      <c r="AA227" s="553"/>
      <c r="AB227" s="553"/>
      <c r="AC227" s="553"/>
      <c r="AD227" s="553"/>
      <c r="AE227" s="553"/>
      <c r="AF227" s="553"/>
      <c r="AG227" s="553"/>
      <c r="AH227" s="553"/>
      <c r="AI227" s="553"/>
      <c r="AJ227" s="553"/>
      <c r="AK227" s="553"/>
    </row>
    <row r="228" spans="7:37" x14ac:dyDescent="0.2">
      <c r="G228" s="289"/>
      <c r="H228" s="553"/>
      <c r="I228" s="553"/>
      <c r="J228" s="553"/>
      <c r="K228" s="553"/>
      <c r="L228" s="553"/>
      <c r="M228" s="553"/>
      <c r="N228" s="553"/>
      <c r="O228" s="553"/>
      <c r="P228" s="553"/>
      <c r="Q228" s="553"/>
      <c r="R228" s="553"/>
      <c r="S228" s="553"/>
      <c r="T228" s="553"/>
      <c r="U228" s="553"/>
      <c r="V228" s="553"/>
      <c r="W228" s="553"/>
      <c r="X228" s="553"/>
      <c r="Y228" s="553"/>
      <c r="Z228" s="553"/>
      <c r="AA228" s="553"/>
      <c r="AB228" s="553"/>
      <c r="AC228" s="553"/>
      <c r="AD228" s="553"/>
      <c r="AE228" s="553"/>
      <c r="AF228" s="553"/>
      <c r="AG228" s="553"/>
      <c r="AH228" s="553"/>
      <c r="AI228" s="553"/>
      <c r="AJ228" s="553"/>
      <c r="AK228" s="553"/>
    </row>
    <row r="229" spans="7:37" x14ac:dyDescent="0.2">
      <c r="G229" s="289"/>
      <c r="H229" s="553"/>
      <c r="I229" s="553"/>
      <c r="J229" s="553"/>
      <c r="K229" s="553"/>
      <c r="L229" s="553"/>
      <c r="M229" s="553"/>
      <c r="N229" s="553"/>
      <c r="O229" s="553"/>
      <c r="P229" s="553"/>
      <c r="Q229" s="553"/>
      <c r="R229" s="553"/>
      <c r="S229" s="553"/>
      <c r="T229" s="553"/>
      <c r="U229" s="553"/>
      <c r="V229" s="553"/>
      <c r="W229" s="553"/>
      <c r="X229" s="553"/>
      <c r="Y229" s="553"/>
      <c r="Z229" s="553"/>
      <c r="AA229" s="553"/>
      <c r="AB229" s="553"/>
      <c r="AC229" s="553"/>
      <c r="AD229" s="553"/>
      <c r="AE229" s="553"/>
      <c r="AF229" s="553"/>
      <c r="AG229" s="553"/>
      <c r="AH229" s="553"/>
      <c r="AI229" s="553"/>
      <c r="AJ229" s="553"/>
      <c r="AK229" s="553"/>
    </row>
    <row r="230" spans="7:37" x14ac:dyDescent="0.2">
      <c r="G230" s="289"/>
      <c r="H230" s="553"/>
      <c r="I230" s="553"/>
      <c r="J230" s="553"/>
      <c r="K230" s="553"/>
      <c r="L230" s="553"/>
      <c r="M230" s="553"/>
      <c r="N230" s="553"/>
      <c r="O230" s="553"/>
      <c r="P230" s="553"/>
      <c r="Q230" s="553"/>
      <c r="R230" s="553"/>
      <c r="S230" s="553"/>
      <c r="T230" s="553"/>
      <c r="U230" s="553"/>
      <c r="V230" s="553"/>
      <c r="W230" s="553"/>
      <c r="X230" s="553"/>
      <c r="Y230" s="553"/>
      <c r="Z230" s="553"/>
      <c r="AA230" s="553"/>
      <c r="AB230" s="553"/>
      <c r="AC230" s="553"/>
      <c r="AD230" s="553"/>
      <c r="AE230" s="553"/>
      <c r="AF230" s="553"/>
      <c r="AG230" s="553"/>
      <c r="AH230" s="553"/>
      <c r="AI230" s="553"/>
      <c r="AJ230" s="553"/>
      <c r="AK230" s="553"/>
    </row>
    <row r="231" spans="7:37" x14ac:dyDescent="0.2">
      <c r="G231" s="289"/>
      <c r="H231" s="553"/>
      <c r="I231" s="553"/>
      <c r="J231" s="553"/>
      <c r="K231" s="553"/>
      <c r="L231" s="553"/>
      <c r="M231" s="553"/>
      <c r="N231" s="553"/>
      <c r="O231" s="553"/>
      <c r="P231" s="553"/>
      <c r="Q231" s="553"/>
      <c r="R231" s="553"/>
      <c r="S231" s="553"/>
      <c r="T231" s="553"/>
      <c r="U231" s="553"/>
      <c r="V231" s="553"/>
      <c r="W231" s="553"/>
      <c r="X231" s="553"/>
      <c r="Y231" s="553"/>
      <c r="Z231" s="553"/>
      <c r="AA231" s="553"/>
      <c r="AB231" s="553"/>
      <c r="AC231" s="553"/>
      <c r="AD231" s="553"/>
      <c r="AE231" s="553"/>
      <c r="AF231" s="553"/>
      <c r="AG231" s="553"/>
      <c r="AH231" s="553"/>
      <c r="AI231" s="553"/>
      <c r="AJ231" s="553"/>
      <c r="AK231" s="553"/>
    </row>
    <row r="232" spans="7:37" x14ac:dyDescent="0.2">
      <c r="G232" s="289"/>
      <c r="H232" s="553"/>
      <c r="I232" s="553"/>
      <c r="J232" s="553"/>
      <c r="K232" s="553"/>
      <c r="L232" s="553"/>
      <c r="M232" s="553"/>
      <c r="N232" s="553"/>
      <c r="O232" s="553"/>
      <c r="P232" s="553"/>
      <c r="Q232" s="553"/>
      <c r="R232" s="553"/>
      <c r="S232" s="553"/>
      <c r="T232" s="553"/>
      <c r="U232" s="553"/>
      <c r="V232" s="553"/>
      <c r="W232" s="553"/>
      <c r="X232" s="553"/>
      <c r="Y232" s="553"/>
      <c r="Z232" s="553"/>
      <c r="AA232" s="553"/>
      <c r="AB232" s="553"/>
      <c r="AC232" s="553"/>
      <c r="AD232" s="553"/>
      <c r="AE232" s="553"/>
      <c r="AF232" s="553"/>
      <c r="AG232" s="553"/>
      <c r="AH232" s="553"/>
      <c r="AI232" s="553"/>
      <c r="AJ232" s="553"/>
      <c r="AK232" s="553"/>
    </row>
    <row r="233" spans="7:37" x14ac:dyDescent="0.2">
      <c r="G233" s="289"/>
      <c r="H233" s="553"/>
      <c r="I233" s="553"/>
      <c r="J233" s="553"/>
      <c r="K233" s="553"/>
      <c r="L233" s="553"/>
      <c r="M233" s="553"/>
      <c r="N233" s="553"/>
      <c r="O233" s="553"/>
      <c r="P233" s="553"/>
      <c r="Q233" s="553"/>
      <c r="R233" s="553"/>
      <c r="S233" s="553"/>
      <c r="T233" s="553"/>
      <c r="U233" s="553"/>
      <c r="V233" s="553"/>
      <c r="W233" s="553"/>
      <c r="X233" s="553"/>
      <c r="Y233" s="553"/>
      <c r="Z233" s="553"/>
      <c r="AA233" s="553"/>
      <c r="AB233" s="553"/>
      <c r="AC233" s="553"/>
      <c r="AD233" s="553"/>
      <c r="AE233" s="553"/>
      <c r="AF233" s="553"/>
      <c r="AG233" s="553"/>
      <c r="AH233" s="553"/>
      <c r="AI233" s="553"/>
      <c r="AJ233" s="553"/>
      <c r="AK233" s="553"/>
    </row>
    <row r="234" spans="7:37" x14ac:dyDescent="0.2">
      <c r="G234" s="289"/>
      <c r="H234" s="553"/>
      <c r="I234" s="553"/>
      <c r="J234" s="553"/>
      <c r="K234" s="553"/>
      <c r="L234" s="553"/>
      <c r="M234" s="553"/>
      <c r="N234" s="553"/>
      <c r="O234" s="553"/>
      <c r="P234" s="553"/>
      <c r="Q234" s="553"/>
      <c r="R234" s="553"/>
      <c r="S234" s="553"/>
      <c r="T234" s="553"/>
      <c r="U234" s="553"/>
      <c r="V234" s="553"/>
      <c r="W234" s="553"/>
      <c r="X234" s="553"/>
      <c r="Y234" s="553"/>
      <c r="Z234" s="553"/>
      <c r="AA234" s="553"/>
      <c r="AB234" s="553"/>
      <c r="AC234" s="553"/>
      <c r="AD234" s="553"/>
      <c r="AE234" s="553"/>
      <c r="AF234" s="553"/>
      <c r="AG234" s="553"/>
      <c r="AH234" s="553"/>
      <c r="AI234" s="553"/>
      <c r="AJ234" s="553"/>
      <c r="AK234" s="553"/>
    </row>
    <row r="235" spans="7:37" x14ac:dyDescent="0.2">
      <c r="G235" s="289"/>
      <c r="H235" s="553"/>
      <c r="I235" s="553"/>
      <c r="J235" s="553"/>
      <c r="K235" s="553"/>
      <c r="L235" s="553"/>
      <c r="M235" s="553"/>
      <c r="N235" s="553"/>
      <c r="O235" s="553"/>
      <c r="P235" s="553"/>
      <c r="Q235" s="553"/>
      <c r="R235" s="553"/>
      <c r="S235" s="553"/>
      <c r="T235" s="553"/>
      <c r="U235" s="553"/>
      <c r="V235" s="553"/>
      <c r="W235" s="553"/>
      <c r="X235" s="553"/>
      <c r="Y235" s="553"/>
      <c r="Z235" s="553"/>
      <c r="AA235" s="553"/>
      <c r="AB235" s="553"/>
      <c r="AC235" s="553"/>
      <c r="AD235" s="553"/>
      <c r="AE235" s="553"/>
      <c r="AF235" s="553"/>
      <c r="AG235" s="553"/>
      <c r="AH235" s="553"/>
      <c r="AI235" s="553"/>
      <c r="AJ235" s="553"/>
      <c r="AK235" s="553"/>
    </row>
    <row r="236" spans="7:37" x14ac:dyDescent="0.2">
      <c r="G236" s="553"/>
      <c r="H236" s="553"/>
      <c r="I236" s="553"/>
      <c r="J236" s="553"/>
      <c r="K236" s="553"/>
      <c r="L236" s="553"/>
      <c r="M236" s="553"/>
      <c r="N236" s="553"/>
      <c r="O236" s="553"/>
      <c r="P236" s="553"/>
      <c r="Q236" s="553"/>
      <c r="R236" s="553"/>
      <c r="S236" s="553"/>
      <c r="T236" s="553"/>
      <c r="U236" s="553"/>
      <c r="V236" s="553"/>
      <c r="W236" s="553"/>
      <c r="X236" s="553"/>
      <c r="Y236" s="553"/>
      <c r="Z236" s="553"/>
      <c r="AA236" s="553"/>
      <c r="AB236" s="553"/>
      <c r="AC236" s="553"/>
      <c r="AD236" s="553"/>
      <c r="AE236" s="553"/>
      <c r="AF236" s="553"/>
      <c r="AG236" s="553"/>
      <c r="AH236" s="553"/>
      <c r="AI236" s="553"/>
      <c r="AJ236" s="553"/>
      <c r="AK236" s="553"/>
    </row>
    <row r="237" spans="7:37" x14ac:dyDescent="0.2">
      <c r="G237" s="553"/>
      <c r="H237" s="553"/>
      <c r="I237" s="553"/>
      <c r="J237" s="553"/>
      <c r="K237" s="553"/>
      <c r="L237" s="553"/>
      <c r="M237" s="553"/>
      <c r="N237" s="553"/>
      <c r="O237" s="553"/>
      <c r="P237" s="553"/>
      <c r="Q237" s="553"/>
      <c r="R237" s="553"/>
      <c r="S237" s="553"/>
      <c r="T237" s="553"/>
      <c r="U237" s="553"/>
      <c r="V237" s="553"/>
      <c r="W237" s="553"/>
      <c r="X237" s="553"/>
      <c r="Y237" s="553"/>
      <c r="Z237" s="553"/>
      <c r="AA237" s="553"/>
      <c r="AB237" s="553"/>
      <c r="AC237" s="553"/>
      <c r="AD237" s="553"/>
      <c r="AE237" s="553"/>
      <c r="AF237" s="553"/>
      <c r="AG237" s="553"/>
      <c r="AH237" s="553"/>
      <c r="AI237" s="553"/>
      <c r="AJ237" s="553"/>
      <c r="AK237" s="553"/>
    </row>
    <row r="238" spans="7:37" x14ac:dyDescent="0.2">
      <c r="G238" s="553"/>
      <c r="H238" s="553"/>
      <c r="I238" s="553"/>
      <c r="J238" s="553"/>
      <c r="K238" s="553"/>
      <c r="L238" s="553"/>
      <c r="M238" s="553"/>
      <c r="N238" s="553"/>
      <c r="O238" s="553"/>
      <c r="P238" s="553"/>
      <c r="Q238" s="553"/>
      <c r="R238" s="553"/>
      <c r="S238" s="553"/>
      <c r="T238" s="553"/>
      <c r="U238" s="553"/>
      <c r="V238" s="553"/>
      <c r="W238" s="553"/>
      <c r="X238" s="553"/>
      <c r="Y238" s="553"/>
      <c r="Z238" s="553"/>
      <c r="AA238" s="553"/>
      <c r="AB238" s="553"/>
      <c r="AC238" s="553"/>
      <c r="AD238" s="553"/>
      <c r="AE238" s="553"/>
      <c r="AF238" s="553"/>
      <c r="AG238" s="553"/>
      <c r="AH238" s="553"/>
      <c r="AI238" s="553"/>
      <c r="AJ238" s="553"/>
      <c r="AK238" s="553"/>
    </row>
    <row r="239" spans="7:37" x14ac:dyDescent="0.2">
      <c r="G239" s="553"/>
      <c r="H239" s="553"/>
      <c r="I239" s="553"/>
      <c r="J239" s="553"/>
      <c r="K239" s="553"/>
      <c r="L239" s="553"/>
      <c r="M239" s="553"/>
      <c r="N239" s="553"/>
      <c r="O239" s="553"/>
      <c r="P239" s="553"/>
      <c r="Q239" s="553"/>
      <c r="R239" s="553"/>
      <c r="S239" s="553"/>
      <c r="T239" s="553"/>
      <c r="U239" s="553"/>
      <c r="V239" s="553"/>
      <c r="W239" s="553"/>
      <c r="X239" s="553"/>
      <c r="Y239" s="553"/>
      <c r="Z239" s="553"/>
      <c r="AA239" s="553"/>
      <c r="AB239" s="553"/>
      <c r="AC239" s="553"/>
      <c r="AD239" s="553"/>
      <c r="AE239" s="553"/>
      <c r="AF239" s="553"/>
      <c r="AG239" s="553"/>
      <c r="AH239" s="553"/>
      <c r="AI239" s="553"/>
      <c r="AJ239" s="553"/>
      <c r="AK239" s="553"/>
    </row>
    <row r="240" spans="7:37" x14ac:dyDescent="0.2">
      <c r="G240" s="553"/>
      <c r="H240" s="553"/>
      <c r="I240" s="553"/>
      <c r="J240" s="553"/>
      <c r="K240" s="553"/>
      <c r="L240" s="553"/>
      <c r="M240" s="553"/>
      <c r="N240" s="553"/>
      <c r="O240" s="553"/>
      <c r="P240" s="553"/>
      <c r="Q240" s="553"/>
      <c r="R240" s="553"/>
      <c r="S240" s="553"/>
      <c r="T240" s="553"/>
      <c r="U240" s="553"/>
      <c r="V240" s="553"/>
      <c r="W240" s="553"/>
      <c r="X240" s="553"/>
      <c r="Y240" s="553"/>
      <c r="Z240" s="553"/>
      <c r="AA240" s="553"/>
      <c r="AB240" s="553"/>
      <c r="AC240" s="553"/>
      <c r="AD240" s="553"/>
      <c r="AE240" s="553"/>
      <c r="AF240" s="553"/>
      <c r="AG240" s="553"/>
      <c r="AH240" s="553"/>
      <c r="AI240" s="553"/>
      <c r="AJ240" s="553"/>
      <c r="AK240" s="553"/>
    </row>
    <row r="241" spans="7:37" x14ac:dyDescent="0.2">
      <c r="G241" s="553"/>
      <c r="H241" s="553"/>
      <c r="I241" s="553"/>
      <c r="J241" s="553"/>
      <c r="K241" s="553"/>
      <c r="L241" s="553"/>
      <c r="M241" s="553"/>
      <c r="N241" s="553"/>
      <c r="O241" s="553"/>
      <c r="P241" s="553"/>
      <c r="Q241" s="553"/>
      <c r="R241" s="553"/>
      <c r="S241" s="553"/>
      <c r="T241" s="553"/>
      <c r="U241" s="553"/>
      <c r="V241" s="553"/>
      <c r="W241" s="553"/>
      <c r="X241" s="553"/>
      <c r="Y241" s="553"/>
      <c r="Z241" s="553"/>
      <c r="AA241" s="553"/>
      <c r="AB241" s="553"/>
      <c r="AC241" s="553"/>
      <c r="AD241" s="553"/>
      <c r="AE241" s="553"/>
      <c r="AF241" s="553"/>
      <c r="AG241" s="553"/>
      <c r="AH241" s="553"/>
      <c r="AI241" s="553"/>
      <c r="AJ241" s="553"/>
      <c r="AK241" s="553"/>
    </row>
    <row r="242" spans="7:37" x14ac:dyDescent="0.2">
      <c r="G242" s="553"/>
      <c r="H242" s="553"/>
      <c r="I242" s="553"/>
      <c r="J242" s="553"/>
      <c r="K242" s="553"/>
      <c r="L242" s="553"/>
      <c r="M242" s="553"/>
      <c r="N242" s="553"/>
      <c r="O242" s="553"/>
      <c r="P242" s="553"/>
      <c r="Q242" s="553"/>
      <c r="R242" s="553"/>
      <c r="S242" s="553"/>
      <c r="T242" s="553"/>
      <c r="U242" s="553"/>
      <c r="V242" s="553"/>
      <c r="W242" s="553"/>
      <c r="X242" s="553"/>
      <c r="Y242" s="553"/>
      <c r="Z242" s="553"/>
      <c r="AA242" s="553"/>
      <c r="AB242" s="553"/>
      <c r="AC242" s="553"/>
      <c r="AD242" s="553"/>
      <c r="AE242" s="553"/>
      <c r="AF242" s="553"/>
      <c r="AG242" s="553"/>
      <c r="AH242" s="553"/>
      <c r="AI242" s="553"/>
      <c r="AJ242" s="553"/>
      <c r="AK242" s="553"/>
    </row>
    <row r="243" spans="7:37" x14ac:dyDescent="0.2">
      <c r="G243" s="553"/>
      <c r="H243" s="553"/>
      <c r="I243" s="553"/>
      <c r="J243" s="553"/>
      <c r="K243" s="553"/>
      <c r="L243" s="553"/>
      <c r="M243" s="553"/>
      <c r="N243" s="553"/>
      <c r="O243" s="553"/>
      <c r="P243" s="553"/>
      <c r="Q243" s="553"/>
      <c r="R243" s="553"/>
      <c r="S243" s="553"/>
      <c r="T243" s="553"/>
      <c r="U243" s="553"/>
      <c r="V243" s="553"/>
      <c r="W243" s="553"/>
      <c r="X243" s="553"/>
      <c r="Y243" s="553"/>
      <c r="Z243" s="553"/>
      <c r="AA243" s="553"/>
      <c r="AB243" s="553"/>
      <c r="AC243" s="553"/>
      <c r="AD243" s="553"/>
      <c r="AE243" s="553"/>
      <c r="AF243" s="553"/>
      <c r="AG243" s="553"/>
      <c r="AH243" s="553"/>
      <c r="AI243" s="553"/>
      <c r="AJ243" s="553"/>
      <c r="AK243" s="553"/>
    </row>
    <row r="244" spans="7:37" x14ac:dyDescent="0.2">
      <c r="G244" s="553"/>
      <c r="H244" s="553"/>
      <c r="I244" s="553"/>
      <c r="J244" s="553"/>
      <c r="K244" s="553"/>
      <c r="L244" s="553"/>
      <c r="M244" s="553"/>
      <c r="N244" s="553"/>
      <c r="O244" s="553"/>
      <c r="P244" s="553"/>
      <c r="Q244" s="553"/>
      <c r="R244" s="553"/>
      <c r="S244" s="553"/>
      <c r="T244" s="553"/>
      <c r="U244" s="553"/>
      <c r="V244" s="553"/>
      <c r="W244" s="553"/>
      <c r="X244" s="553"/>
      <c r="Y244" s="553"/>
      <c r="Z244" s="553"/>
      <c r="AA244" s="553"/>
      <c r="AB244" s="553"/>
      <c r="AC244" s="553"/>
      <c r="AD244" s="553"/>
      <c r="AE244" s="553"/>
      <c r="AF244" s="553"/>
      <c r="AG244" s="553"/>
      <c r="AH244" s="553"/>
      <c r="AI244" s="553"/>
      <c r="AJ244" s="553"/>
      <c r="AK244" s="553"/>
    </row>
    <row r="245" spans="7:37" x14ac:dyDescent="0.2">
      <c r="G245" s="553"/>
      <c r="H245" s="553"/>
      <c r="I245" s="553"/>
      <c r="J245" s="553"/>
      <c r="K245" s="553"/>
      <c r="L245" s="553"/>
      <c r="M245" s="553"/>
      <c r="N245" s="553"/>
      <c r="O245" s="553"/>
      <c r="P245" s="553"/>
      <c r="Q245" s="553"/>
      <c r="R245" s="553"/>
      <c r="S245" s="553"/>
      <c r="T245" s="553"/>
      <c r="U245" s="553"/>
      <c r="V245" s="553"/>
      <c r="W245" s="553"/>
      <c r="X245" s="553"/>
      <c r="Y245" s="553"/>
      <c r="Z245" s="553"/>
      <c r="AA245" s="553"/>
      <c r="AB245" s="553"/>
      <c r="AC245" s="553"/>
      <c r="AD245" s="553"/>
      <c r="AE245" s="553"/>
      <c r="AF245" s="553"/>
      <c r="AG245" s="553"/>
      <c r="AH245" s="553"/>
      <c r="AI245" s="553"/>
      <c r="AJ245" s="553"/>
      <c r="AK245" s="553"/>
    </row>
    <row r="246" spans="7:37" x14ac:dyDescent="0.2">
      <c r="G246" s="553"/>
      <c r="H246" s="553"/>
      <c r="I246" s="553"/>
      <c r="J246" s="553"/>
      <c r="K246" s="553"/>
      <c r="L246" s="553"/>
      <c r="M246" s="553"/>
      <c r="N246" s="553"/>
      <c r="O246" s="553"/>
      <c r="P246" s="553"/>
      <c r="Q246" s="553"/>
      <c r="R246" s="553"/>
      <c r="S246" s="553"/>
      <c r="T246" s="553"/>
      <c r="U246" s="553"/>
      <c r="V246" s="553"/>
      <c r="W246" s="553"/>
      <c r="X246" s="553"/>
      <c r="Y246" s="553"/>
      <c r="Z246" s="553"/>
      <c r="AA246" s="553"/>
      <c r="AB246" s="553"/>
      <c r="AC246" s="553"/>
      <c r="AD246" s="553"/>
      <c r="AE246" s="553"/>
      <c r="AF246" s="553"/>
      <c r="AG246" s="553"/>
      <c r="AH246" s="553"/>
      <c r="AI246" s="553"/>
      <c r="AJ246" s="553"/>
      <c r="AK246" s="553"/>
    </row>
    <row r="247" spans="7:37" x14ac:dyDescent="0.2">
      <c r="G247" s="553"/>
      <c r="H247" s="553"/>
      <c r="I247" s="553"/>
      <c r="J247" s="553"/>
      <c r="K247" s="553"/>
      <c r="L247" s="553"/>
      <c r="M247" s="553"/>
      <c r="N247" s="553"/>
      <c r="O247" s="553"/>
      <c r="P247" s="553"/>
      <c r="Q247" s="553"/>
      <c r="R247" s="553"/>
      <c r="S247" s="553"/>
      <c r="T247" s="553"/>
      <c r="U247" s="553"/>
      <c r="V247" s="553"/>
      <c r="W247" s="553"/>
      <c r="X247" s="553"/>
      <c r="Y247" s="553"/>
      <c r="Z247" s="553"/>
      <c r="AA247" s="553"/>
      <c r="AB247" s="553"/>
      <c r="AC247" s="553"/>
      <c r="AD247" s="553"/>
      <c r="AE247" s="553"/>
      <c r="AF247" s="553"/>
      <c r="AG247" s="553"/>
      <c r="AH247" s="553"/>
      <c r="AI247" s="553"/>
      <c r="AJ247" s="553"/>
      <c r="AK247" s="553"/>
    </row>
    <row r="248" spans="7:37" x14ac:dyDescent="0.2">
      <c r="G248" s="553"/>
      <c r="H248" s="553"/>
      <c r="I248" s="553"/>
      <c r="J248" s="553"/>
      <c r="K248" s="553"/>
      <c r="L248" s="553"/>
      <c r="M248" s="553"/>
      <c r="N248" s="553"/>
      <c r="O248" s="553"/>
      <c r="P248" s="553"/>
      <c r="Q248" s="553"/>
      <c r="R248" s="553"/>
      <c r="S248" s="553"/>
      <c r="T248" s="553"/>
      <c r="U248" s="553"/>
      <c r="V248" s="553"/>
      <c r="W248" s="553"/>
      <c r="X248" s="553"/>
      <c r="Y248" s="553"/>
      <c r="Z248" s="553"/>
      <c r="AA248" s="553"/>
      <c r="AB248" s="553"/>
      <c r="AC248" s="553"/>
      <c r="AD248" s="553"/>
      <c r="AE248" s="553"/>
      <c r="AF248" s="553"/>
      <c r="AG248" s="553"/>
      <c r="AH248" s="553"/>
      <c r="AI248" s="553"/>
      <c r="AJ248" s="553"/>
      <c r="AK248" s="553"/>
    </row>
    <row r="249" spans="7:37" x14ac:dyDescent="0.2">
      <c r="G249" s="289"/>
      <c r="H249" s="553"/>
      <c r="I249" s="553"/>
      <c r="J249" s="553"/>
      <c r="K249" s="553"/>
      <c r="L249" s="553"/>
      <c r="M249" s="553"/>
      <c r="N249" s="553"/>
      <c r="O249" s="553"/>
      <c r="P249" s="553"/>
      <c r="Q249" s="553"/>
      <c r="R249" s="553"/>
      <c r="S249" s="553"/>
      <c r="T249" s="553"/>
      <c r="U249" s="553"/>
      <c r="V249" s="553"/>
      <c r="W249" s="553"/>
      <c r="X249" s="553"/>
      <c r="Y249" s="553"/>
      <c r="Z249" s="553"/>
      <c r="AA249" s="553"/>
      <c r="AB249" s="553"/>
      <c r="AC249" s="553"/>
      <c r="AD249" s="553"/>
      <c r="AE249" s="553"/>
      <c r="AF249" s="553"/>
      <c r="AG249" s="553"/>
      <c r="AH249" s="553"/>
      <c r="AI249" s="553"/>
      <c r="AJ249" s="553"/>
      <c r="AK249" s="553"/>
    </row>
    <row r="250" spans="7:37" x14ac:dyDescent="0.2">
      <c r="G250" s="289"/>
      <c r="H250" s="553"/>
      <c r="I250" s="553"/>
      <c r="J250" s="553"/>
      <c r="K250" s="553"/>
      <c r="L250" s="553"/>
      <c r="M250" s="553"/>
      <c r="N250" s="553"/>
      <c r="O250" s="553"/>
      <c r="P250" s="553"/>
      <c r="Q250" s="553"/>
      <c r="R250" s="553"/>
      <c r="S250" s="553"/>
      <c r="T250" s="553"/>
      <c r="U250" s="553"/>
      <c r="V250" s="553"/>
      <c r="W250" s="553"/>
      <c r="X250" s="553"/>
      <c r="Y250" s="553"/>
      <c r="Z250" s="553"/>
      <c r="AA250" s="553"/>
      <c r="AB250" s="553"/>
      <c r="AC250" s="553"/>
      <c r="AD250" s="553"/>
      <c r="AE250" s="553"/>
      <c r="AF250" s="553"/>
      <c r="AG250" s="553"/>
      <c r="AH250" s="553"/>
      <c r="AI250" s="553"/>
      <c r="AJ250" s="553"/>
      <c r="AK250" s="553"/>
    </row>
    <row r="251" spans="7:37" x14ac:dyDescent="0.2">
      <c r="G251" s="289"/>
      <c r="H251" s="553"/>
      <c r="I251" s="553"/>
      <c r="J251" s="553"/>
      <c r="K251" s="553"/>
      <c r="L251" s="553"/>
      <c r="M251" s="553"/>
      <c r="N251" s="553"/>
      <c r="O251" s="553"/>
      <c r="P251" s="553"/>
      <c r="Q251" s="553"/>
      <c r="R251" s="553"/>
      <c r="S251" s="553"/>
      <c r="T251" s="553"/>
      <c r="U251" s="553"/>
      <c r="V251" s="553"/>
      <c r="W251" s="553"/>
      <c r="X251" s="553"/>
      <c r="Y251" s="553"/>
      <c r="Z251" s="553"/>
      <c r="AA251" s="553"/>
      <c r="AB251" s="553"/>
      <c r="AC251" s="553"/>
      <c r="AD251" s="553"/>
      <c r="AE251" s="553"/>
      <c r="AF251" s="553"/>
      <c r="AG251" s="553"/>
      <c r="AH251" s="553"/>
      <c r="AI251" s="553"/>
      <c r="AJ251" s="553"/>
      <c r="AK251" s="553"/>
    </row>
    <row r="252" spans="7:37" x14ac:dyDescent="0.2">
      <c r="G252" s="289"/>
      <c r="H252" s="553"/>
      <c r="I252" s="553"/>
      <c r="J252" s="553"/>
      <c r="K252" s="553"/>
      <c r="L252" s="553"/>
      <c r="M252" s="553"/>
      <c r="N252" s="553"/>
      <c r="O252" s="553"/>
      <c r="P252" s="553"/>
      <c r="Q252" s="553"/>
      <c r="R252" s="553"/>
      <c r="S252" s="553"/>
      <c r="T252" s="553"/>
      <c r="U252" s="553"/>
      <c r="V252" s="553"/>
      <c r="W252" s="553"/>
      <c r="X252" s="553"/>
      <c r="Y252" s="553"/>
      <c r="Z252" s="553"/>
      <c r="AA252" s="553"/>
      <c r="AB252" s="553"/>
      <c r="AC252" s="553"/>
      <c r="AD252" s="553"/>
      <c r="AE252" s="553"/>
      <c r="AF252" s="553"/>
      <c r="AG252" s="553"/>
      <c r="AH252" s="553"/>
      <c r="AI252" s="553"/>
      <c r="AJ252" s="553"/>
      <c r="AK252" s="553"/>
    </row>
    <row r="253" spans="7:37" x14ac:dyDescent="0.2">
      <c r="G253" s="289"/>
      <c r="H253" s="553"/>
      <c r="I253" s="553"/>
      <c r="J253" s="553"/>
      <c r="K253" s="553"/>
      <c r="L253" s="553"/>
      <c r="M253" s="553"/>
      <c r="N253" s="553"/>
      <c r="O253" s="553"/>
      <c r="P253" s="553"/>
      <c r="Q253" s="553"/>
      <c r="R253" s="553"/>
      <c r="S253" s="553"/>
      <c r="T253" s="553"/>
      <c r="U253" s="553"/>
      <c r="V253" s="553"/>
      <c r="W253" s="553"/>
      <c r="X253" s="553"/>
      <c r="Y253" s="553"/>
      <c r="Z253" s="553"/>
      <c r="AA253" s="553"/>
      <c r="AB253" s="553"/>
      <c r="AC253" s="553"/>
      <c r="AD253" s="553"/>
      <c r="AE253" s="553"/>
      <c r="AF253" s="553"/>
      <c r="AG253" s="553"/>
      <c r="AH253" s="553"/>
      <c r="AI253" s="553"/>
      <c r="AJ253" s="553"/>
      <c r="AK253" s="553"/>
    </row>
    <row r="254" spans="7:37" x14ac:dyDescent="0.2">
      <c r="G254" s="289"/>
      <c r="H254" s="553"/>
      <c r="I254" s="553"/>
      <c r="J254" s="553"/>
      <c r="K254" s="553"/>
      <c r="L254" s="553"/>
      <c r="M254" s="553"/>
      <c r="N254" s="553"/>
      <c r="O254" s="553"/>
      <c r="P254" s="553"/>
      <c r="Q254" s="553"/>
      <c r="R254" s="553"/>
      <c r="S254" s="553"/>
      <c r="T254" s="553"/>
      <c r="U254" s="553"/>
      <c r="V254" s="553"/>
      <c r="W254" s="553"/>
      <c r="X254" s="553"/>
      <c r="Y254" s="553"/>
      <c r="Z254" s="553"/>
      <c r="AA254" s="553"/>
      <c r="AB254" s="553"/>
      <c r="AC254" s="553"/>
      <c r="AD254" s="553"/>
      <c r="AE254" s="553"/>
      <c r="AF254" s="553"/>
      <c r="AG254" s="553"/>
      <c r="AH254" s="553"/>
      <c r="AI254" s="553"/>
      <c r="AJ254" s="553"/>
      <c r="AK254" s="553"/>
    </row>
    <row r="255" spans="7:37" x14ac:dyDescent="0.2">
      <c r="G255" s="289"/>
      <c r="H255" s="553"/>
      <c r="I255" s="553"/>
      <c r="J255" s="553"/>
      <c r="K255" s="553"/>
      <c r="L255" s="553"/>
      <c r="M255" s="553"/>
      <c r="N255" s="553"/>
      <c r="O255" s="553"/>
      <c r="P255" s="553"/>
      <c r="Q255" s="553"/>
      <c r="R255" s="553"/>
      <c r="S255" s="553"/>
      <c r="T255" s="553"/>
      <c r="U255" s="553"/>
      <c r="V255" s="553"/>
      <c r="W255" s="553"/>
      <c r="X255" s="553"/>
      <c r="Y255" s="553"/>
      <c r="Z255" s="553"/>
      <c r="AA255" s="553"/>
      <c r="AB255" s="553"/>
      <c r="AC255" s="553"/>
      <c r="AD255" s="553"/>
      <c r="AE255" s="553"/>
      <c r="AF255" s="553"/>
      <c r="AG255" s="553"/>
      <c r="AH255" s="553"/>
      <c r="AI255" s="553"/>
      <c r="AJ255" s="553"/>
      <c r="AK255" s="553"/>
    </row>
    <row r="256" spans="7:37" x14ac:dyDescent="0.2">
      <c r="G256" s="553"/>
      <c r="H256" s="553"/>
      <c r="I256" s="553"/>
      <c r="J256" s="553"/>
      <c r="K256" s="553"/>
      <c r="L256" s="553"/>
      <c r="M256" s="553"/>
      <c r="N256" s="553"/>
      <c r="O256" s="553"/>
      <c r="P256" s="553"/>
      <c r="Q256" s="553"/>
      <c r="R256" s="553"/>
      <c r="S256" s="553"/>
      <c r="T256" s="553"/>
      <c r="U256" s="553"/>
      <c r="V256" s="553"/>
      <c r="W256" s="553"/>
      <c r="X256" s="553"/>
      <c r="Y256" s="553"/>
      <c r="Z256" s="553"/>
      <c r="AA256" s="553"/>
      <c r="AB256" s="553"/>
      <c r="AC256" s="553"/>
      <c r="AD256" s="553"/>
      <c r="AE256" s="553"/>
      <c r="AF256" s="553"/>
      <c r="AG256" s="553"/>
      <c r="AH256" s="553"/>
      <c r="AI256" s="553"/>
      <c r="AJ256" s="553"/>
      <c r="AK256" s="553"/>
    </row>
    <row r="257" spans="7:37" x14ac:dyDescent="0.2">
      <c r="G257" s="553"/>
      <c r="H257" s="553"/>
      <c r="I257" s="553"/>
      <c r="J257" s="553"/>
      <c r="K257" s="553"/>
      <c r="L257" s="553"/>
      <c r="M257" s="553"/>
      <c r="N257" s="553"/>
      <c r="O257" s="553"/>
      <c r="P257" s="553"/>
      <c r="Q257" s="553"/>
      <c r="R257" s="553"/>
      <c r="S257" s="553"/>
      <c r="T257" s="553"/>
      <c r="U257" s="553"/>
      <c r="V257" s="553"/>
      <c r="W257" s="553"/>
      <c r="X257" s="553"/>
      <c r="Y257" s="553"/>
      <c r="Z257" s="553"/>
      <c r="AA257" s="553"/>
      <c r="AB257" s="553"/>
      <c r="AC257" s="553"/>
      <c r="AD257" s="553"/>
      <c r="AE257" s="553"/>
      <c r="AF257" s="553"/>
      <c r="AG257" s="553"/>
      <c r="AH257" s="553"/>
      <c r="AI257" s="553"/>
      <c r="AJ257" s="553"/>
      <c r="AK257" s="553"/>
    </row>
    <row r="258" spans="7:37" x14ac:dyDescent="0.2">
      <c r="G258" s="553"/>
      <c r="H258" s="553"/>
      <c r="I258" s="553"/>
      <c r="J258" s="553"/>
      <c r="K258" s="553"/>
      <c r="L258" s="553"/>
      <c r="M258" s="553"/>
      <c r="N258" s="553"/>
      <c r="O258" s="553"/>
      <c r="P258" s="553"/>
      <c r="Q258" s="553"/>
      <c r="R258" s="553"/>
      <c r="S258" s="553"/>
      <c r="T258" s="553"/>
      <c r="U258" s="553"/>
      <c r="V258" s="553"/>
      <c r="W258" s="553"/>
      <c r="X258" s="553"/>
      <c r="Y258" s="553"/>
      <c r="Z258" s="553"/>
      <c r="AA258" s="553"/>
      <c r="AB258" s="553"/>
      <c r="AC258" s="553"/>
      <c r="AD258" s="553"/>
      <c r="AE258" s="553"/>
      <c r="AF258" s="553"/>
      <c r="AG258" s="553"/>
      <c r="AH258" s="553"/>
      <c r="AI258" s="553"/>
      <c r="AJ258" s="553"/>
      <c r="AK258" s="553"/>
    </row>
    <row r="259" spans="7:37" x14ac:dyDescent="0.2">
      <c r="G259" s="553"/>
      <c r="H259" s="553"/>
      <c r="I259" s="553"/>
      <c r="J259" s="553"/>
      <c r="K259" s="553"/>
      <c r="L259" s="553"/>
      <c r="M259" s="553"/>
      <c r="N259" s="553"/>
      <c r="O259" s="553"/>
      <c r="P259" s="553"/>
      <c r="Q259" s="553"/>
      <c r="R259" s="553"/>
      <c r="S259" s="553"/>
      <c r="T259" s="553"/>
      <c r="U259" s="553"/>
      <c r="V259" s="553"/>
      <c r="W259" s="553"/>
      <c r="X259" s="553"/>
      <c r="Y259" s="553"/>
      <c r="Z259" s="553"/>
      <c r="AA259" s="553"/>
      <c r="AB259" s="553"/>
      <c r="AC259" s="553"/>
      <c r="AD259" s="553"/>
      <c r="AE259" s="553"/>
      <c r="AF259" s="553"/>
      <c r="AG259" s="553"/>
      <c r="AH259" s="553"/>
      <c r="AI259" s="553"/>
      <c r="AJ259" s="553"/>
      <c r="AK259" s="553"/>
    </row>
    <row r="260" spans="7:37" x14ac:dyDescent="0.2">
      <c r="G260" s="553"/>
      <c r="H260" s="553"/>
      <c r="I260" s="553"/>
      <c r="J260" s="553"/>
      <c r="K260" s="553"/>
      <c r="L260" s="553"/>
      <c r="M260" s="553"/>
      <c r="N260" s="553"/>
      <c r="O260" s="553"/>
      <c r="P260" s="553"/>
      <c r="Q260" s="553"/>
      <c r="R260" s="553"/>
      <c r="S260" s="553"/>
      <c r="T260" s="553"/>
      <c r="U260" s="553"/>
      <c r="V260" s="553"/>
      <c r="W260" s="553"/>
      <c r="X260" s="553"/>
      <c r="Y260" s="553"/>
      <c r="Z260" s="553"/>
      <c r="AA260" s="553"/>
      <c r="AB260" s="553"/>
      <c r="AC260" s="553"/>
      <c r="AD260" s="553"/>
      <c r="AE260" s="553"/>
      <c r="AF260" s="553"/>
      <c r="AG260" s="553"/>
      <c r="AH260" s="553"/>
      <c r="AI260" s="553"/>
      <c r="AJ260" s="553"/>
      <c r="AK260" s="553"/>
    </row>
    <row r="261" spans="7:37" x14ac:dyDescent="0.2">
      <c r="G261" s="553"/>
      <c r="H261" s="553"/>
      <c r="I261" s="553"/>
      <c r="J261" s="553"/>
      <c r="K261" s="553"/>
      <c r="L261" s="553"/>
      <c r="M261" s="553"/>
      <c r="N261" s="553"/>
      <c r="O261" s="553"/>
      <c r="P261" s="553"/>
      <c r="Q261" s="553"/>
      <c r="R261" s="553"/>
      <c r="S261" s="553"/>
      <c r="T261" s="553"/>
      <c r="U261" s="553"/>
      <c r="V261" s="553"/>
      <c r="W261" s="553"/>
      <c r="X261" s="553"/>
      <c r="Y261" s="553"/>
      <c r="Z261" s="553"/>
      <c r="AA261" s="553"/>
      <c r="AB261" s="553"/>
      <c r="AC261" s="553"/>
      <c r="AD261" s="553"/>
      <c r="AE261" s="553"/>
      <c r="AF261" s="553"/>
      <c r="AG261" s="553"/>
      <c r="AH261" s="553"/>
      <c r="AI261" s="553"/>
      <c r="AJ261" s="553"/>
      <c r="AK261" s="553"/>
    </row>
    <row r="262" spans="7:37" x14ac:dyDescent="0.2">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3"/>
      <c r="AI262" s="553"/>
      <c r="AJ262" s="553"/>
      <c r="AK262" s="553"/>
    </row>
    <row r="263" spans="7:37" x14ac:dyDescent="0.2">
      <c r="G263" s="553"/>
      <c r="H263" s="553"/>
      <c r="I263" s="553"/>
      <c r="J263" s="553"/>
      <c r="K263" s="553"/>
      <c r="L263" s="553"/>
      <c r="M263" s="553"/>
      <c r="N263" s="553"/>
      <c r="O263" s="553"/>
      <c r="P263" s="553"/>
      <c r="Q263" s="553"/>
      <c r="R263" s="553"/>
      <c r="S263" s="553"/>
      <c r="T263" s="553"/>
      <c r="U263" s="553"/>
      <c r="V263" s="553"/>
      <c r="W263" s="553"/>
      <c r="X263" s="553"/>
      <c r="Y263" s="553"/>
      <c r="Z263" s="553"/>
      <c r="AA263" s="553"/>
      <c r="AB263" s="553"/>
      <c r="AC263" s="553"/>
      <c r="AD263" s="553"/>
      <c r="AE263" s="553"/>
      <c r="AF263" s="553"/>
      <c r="AG263" s="553"/>
      <c r="AH263" s="553"/>
      <c r="AI263" s="553"/>
      <c r="AJ263" s="553"/>
      <c r="AK263" s="553"/>
    </row>
    <row r="264" spans="7:37" x14ac:dyDescent="0.2">
      <c r="G264" s="553"/>
      <c r="H264" s="553"/>
      <c r="I264" s="553"/>
      <c r="J264" s="553"/>
      <c r="K264" s="553"/>
      <c r="L264" s="553"/>
      <c r="M264" s="553"/>
      <c r="N264" s="553"/>
      <c r="O264" s="553"/>
      <c r="P264" s="553"/>
      <c r="Q264" s="553"/>
      <c r="R264" s="553"/>
      <c r="S264" s="553"/>
      <c r="T264" s="553"/>
      <c r="U264" s="553"/>
      <c r="V264" s="553"/>
      <c r="W264" s="553"/>
      <c r="X264" s="553"/>
      <c r="Y264" s="553"/>
      <c r="Z264" s="553"/>
      <c r="AA264" s="553"/>
      <c r="AB264" s="553"/>
      <c r="AC264" s="553"/>
      <c r="AD264" s="553"/>
      <c r="AE264" s="553"/>
      <c r="AF264" s="553"/>
      <c r="AG264" s="553"/>
      <c r="AH264" s="553"/>
      <c r="AI264" s="553"/>
      <c r="AJ264" s="553"/>
      <c r="AK264" s="553"/>
    </row>
    <row r="265" spans="7:37" x14ac:dyDescent="0.2">
      <c r="G265" s="553"/>
      <c r="H265" s="553"/>
      <c r="I265" s="553"/>
      <c r="J265" s="553"/>
      <c r="K265" s="553"/>
      <c r="L265" s="553"/>
      <c r="M265" s="553"/>
      <c r="N265" s="553"/>
      <c r="O265" s="553"/>
      <c r="P265" s="553"/>
      <c r="Q265" s="553"/>
      <c r="R265" s="553"/>
      <c r="S265" s="553"/>
      <c r="T265" s="553"/>
      <c r="U265" s="553"/>
      <c r="V265" s="553"/>
      <c r="W265" s="553"/>
      <c r="X265" s="553"/>
      <c r="Y265" s="553"/>
      <c r="Z265" s="553"/>
      <c r="AA265" s="553"/>
      <c r="AB265" s="553"/>
      <c r="AC265" s="553"/>
      <c r="AD265" s="553"/>
      <c r="AE265" s="553"/>
      <c r="AF265" s="553"/>
      <c r="AG265" s="553"/>
      <c r="AH265" s="553"/>
      <c r="AI265" s="553"/>
      <c r="AJ265" s="553"/>
      <c r="AK265" s="553"/>
    </row>
    <row r="266" spans="7:37" x14ac:dyDescent="0.2">
      <c r="G266" s="553"/>
      <c r="H266" s="553"/>
      <c r="I266" s="553"/>
      <c r="J266" s="553"/>
      <c r="K266" s="553"/>
      <c r="L266" s="553"/>
      <c r="M266" s="553"/>
      <c r="N266" s="553"/>
      <c r="O266" s="553"/>
      <c r="P266" s="553"/>
      <c r="Q266" s="553"/>
      <c r="R266" s="553"/>
      <c r="S266" s="553"/>
      <c r="T266" s="553"/>
      <c r="U266" s="553"/>
      <c r="V266" s="553"/>
      <c r="W266" s="553"/>
      <c r="X266" s="553"/>
      <c r="Y266" s="553"/>
      <c r="Z266" s="553"/>
      <c r="AA266" s="553"/>
      <c r="AB266" s="553"/>
      <c r="AC266" s="553"/>
      <c r="AD266" s="553"/>
      <c r="AE266" s="553"/>
      <c r="AF266" s="553"/>
      <c r="AG266" s="553"/>
      <c r="AH266" s="553"/>
      <c r="AI266" s="553"/>
      <c r="AJ266" s="553"/>
      <c r="AK266" s="553"/>
    </row>
    <row r="267" spans="7:37" x14ac:dyDescent="0.2">
      <c r="G267" s="553"/>
      <c r="H267" s="553"/>
      <c r="I267" s="553"/>
      <c r="J267" s="553"/>
      <c r="K267" s="553"/>
      <c r="L267" s="553"/>
      <c r="M267" s="553"/>
      <c r="N267" s="553"/>
      <c r="O267" s="553"/>
      <c r="P267" s="553"/>
      <c r="Q267" s="553"/>
      <c r="R267" s="553"/>
      <c r="S267" s="553"/>
      <c r="T267" s="553"/>
      <c r="U267" s="553"/>
      <c r="V267" s="553"/>
      <c r="W267" s="553"/>
      <c r="X267" s="553"/>
      <c r="Y267" s="553"/>
      <c r="Z267" s="553"/>
      <c r="AA267" s="553"/>
      <c r="AB267" s="553"/>
      <c r="AC267" s="553"/>
      <c r="AD267" s="553"/>
      <c r="AE267" s="553"/>
      <c r="AF267" s="553"/>
      <c r="AG267" s="553"/>
      <c r="AH267" s="553"/>
      <c r="AI267" s="553"/>
      <c r="AJ267" s="553"/>
      <c r="AK267" s="553"/>
    </row>
    <row r="268" spans="7:37" x14ac:dyDescent="0.2">
      <c r="G268" s="553"/>
      <c r="H268" s="553"/>
      <c r="I268" s="553"/>
      <c r="J268" s="553"/>
      <c r="K268" s="553"/>
      <c r="L268" s="553"/>
      <c r="M268" s="553"/>
      <c r="N268" s="553"/>
      <c r="O268" s="553"/>
      <c r="P268" s="553"/>
      <c r="Q268" s="553"/>
      <c r="R268" s="553"/>
      <c r="S268" s="553"/>
      <c r="T268" s="553"/>
      <c r="U268" s="553"/>
      <c r="V268" s="553"/>
      <c r="W268" s="553"/>
      <c r="X268" s="553"/>
      <c r="Y268" s="553"/>
      <c r="Z268" s="553"/>
      <c r="AA268" s="553"/>
      <c r="AB268" s="553"/>
      <c r="AC268" s="553"/>
      <c r="AD268" s="553"/>
      <c r="AE268" s="553"/>
      <c r="AF268" s="553"/>
      <c r="AG268" s="553"/>
      <c r="AH268" s="553"/>
      <c r="AI268" s="553"/>
      <c r="AJ268" s="553"/>
      <c r="AK268" s="553"/>
    </row>
    <row r="269" spans="7:37" x14ac:dyDescent="0.2">
      <c r="G269" s="553"/>
      <c r="H269" s="553"/>
      <c r="I269" s="553"/>
      <c r="J269" s="553"/>
      <c r="K269" s="553"/>
      <c r="L269" s="553"/>
      <c r="M269" s="553"/>
      <c r="N269" s="553"/>
      <c r="O269" s="553"/>
      <c r="P269" s="553"/>
      <c r="Q269" s="553"/>
      <c r="R269" s="553"/>
      <c r="S269" s="553"/>
      <c r="T269" s="553"/>
      <c r="U269" s="553"/>
      <c r="V269" s="553"/>
      <c r="W269" s="553"/>
      <c r="X269" s="553"/>
      <c r="Y269" s="553"/>
      <c r="Z269" s="553"/>
      <c r="AA269" s="553"/>
      <c r="AB269" s="553"/>
      <c r="AC269" s="553"/>
      <c r="AD269" s="553"/>
      <c r="AE269" s="553"/>
      <c r="AF269" s="553"/>
      <c r="AG269" s="553"/>
      <c r="AH269" s="553"/>
      <c r="AI269" s="553"/>
      <c r="AJ269" s="553"/>
      <c r="AK269" s="553"/>
    </row>
    <row r="270" spans="7:37" x14ac:dyDescent="0.2">
      <c r="G270" s="553"/>
      <c r="H270" s="553"/>
      <c r="I270" s="553"/>
      <c r="J270" s="553"/>
      <c r="K270" s="553"/>
      <c r="L270" s="553"/>
      <c r="M270" s="553"/>
      <c r="N270" s="553"/>
      <c r="O270" s="553"/>
      <c r="P270" s="553"/>
      <c r="Q270" s="553"/>
      <c r="R270" s="553"/>
      <c r="S270" s="553"/>
      <c r="T270" s="553"/>
      <c r="U270" s="553"/>
      <c r="V270" s="553"/>
      <c r="W270" s="553"/>
      <c r="X270" s="553"/>
      <c r="Y270" s="553"/>
      <c r="Z270" s="553"/>
      <c r="AA270" s="553"/>
      <c r="AB270" s="553"/>
      <c r="AC270" s="553"/>
      <c r="AD270" s="553"/>
      <c r="AE270" s="553"/>
      <c r="AF270" s="553"/>
      <c r="AG270" s="553"/>
      <c r="AH270" s="553"/>
      <c r="AI270" s="553"/>
      <c r="AJ270" s="553"/>
      <c r="AK270" s="553"/>
    </row>
    <row r="271" spans="7:37" x14ac:dyDescent="0.2">
      <c r="G271" s="553"/>
      <c r="H271" s="553"/>
      <c r="I271" s="553"/>
      <c r="J271" s="553"/>
      <c r="K271" s="553"/>
      <c r="L271" s="553"/>
      <c r="M271" s="553"/>
      <c r="N271" s="553"/>
      <c r="O271" s="553"/>
      <c r="P271" s="553"/>
      <c r="Q271" s="553"/>
      <c r="R271" s="553"/>
      <c r="S271" s="553"/>
      <c r="T271" s="553"/>
      <c r="U271" s="553"/>
      <c r="V271" s="553"/>
      <c r="W271" s="553"/>
      <c r="X271" s="553"/>
      <c r="Y271" s="553"/>
      <c r="Z271" s="553"/>
      <c r="AA271" s="553"/>
      <c r="AB271" s="553"/>
      <c r="AC271" s="553"/>
      <c r="AD271" s="553"/>
      <c r="AE271" s="553"/>
      <c r="AF271" s="553"/>
      <c r="AG271" s="553"/>
      <c r="AH271" s="553"/>
      <c r="AI271" s="553"/>
      <c r="AJ271" s="553"/>
      <c r="AK271" s="553"/>
    </row>
    <row r="272" spans="7:37" x14ac:dyDescent="0.2">
      <c r="G272" s="553"/>
      <c r="H272" s="553"/>
      <c r="I272" s="553"/>
      <c r="J272" s="553"/>
      <c r="K272" s="553"/>
      <c r="L272" s="553"/>
      <c r="M272" s="553"/>
      <c r="N272" s="553"/>
      <c r="O272" s="553"/>
      <c r="P272" s="553"/>
      <c r="Q272" s="553"/>
      <c r="R272" s="553"/>
      <c r="S272" s="553"/>
      <c r="T272" s="553"/>
      <c r="U272" s="553"/>
      <c r="V272" s="553"/>
      <c r="W272" s="553"/>
      <c r="X272" s="553"/>
      <c r="Y272" s="553"/>
      <c r="Z272" s="553"/>
      <c r="AA272" s="553"/>
      <c r="AB272" s="553"/>
      <c r="AC272" s="553"/>
      <c r="AD272" s="553"/>
      <c r="AE272" s="553"/>
      <c r="AF272" s="553"/>
      <c r="AG272" s="553"/>
      <c r="AH272" s="553"/>
      <c r="AI272" s="553"/>
      <c r="AJ272" s="553"/>
      <c r="AK272" s="553"/>
    </row>
    <row r="273" spans="7:37" x14ac:dyDescent="0.2">
      <c r="G273" s="553"/>
      <c r="H273" s="553"/>
      <c r="I273" s="553"/>
      <c r="J273" s="553"/>
      <c r="K273" s="553"/>
      <c r="L273" s="553"/>
      <c r="M273" s="553"/>
      <c r="N273" s="553"/>
      <c r="O273" s="553"/>
      <c r="P273" s="553"/>
      <c r="Q273" s="553"/>
      <c r="R273" s="553"/>
      <c r="S273" s="553"/>
      <c r="T273" s="553"/>
      <c r="U273" s="553"/>
      <c r="V273" s="553"/>
      <c r="W273" s="553"/>
      <c r="X273" s="553"/>
      <c r="Y273" s="553"/>
      <c r="Z273" s="553"/>
      <c r="AA273" s="553"/>
      <c r="AB273" s="553"/>
      <c r="AC273" s="553"/>
      <c r="AD273" s="553"/>
      <c r="AE273" s="553"/>
      <c r="AF273" s="553"/>
      <c r="AG273" s="553"/>
      <c r="AH273" s="553"/>
      <c r="AI273" s="553"/>
      <c r="AJ273" s="553"/>
      <c r="AK273" s="553"/>
    </row>
    <row r="274" spans="7:37" x14ac:dyDescent="0.2">
      <c r="G274" s="553"/>
      <c r="H274" s="553"/>
      <c r="I274" s="553"/>
      <c r="J274" s="553"/>
      <c r="K274" s="553"/>
      <c r="L274" s="553"/>
      <c r="M274" s="553"/>
      <c r="N274" s="553"/>
      <c r="O274" s="553"/>
      <c r="P274" s="553"/>
      <c r="Q274" s="553"/>
      <c r="R274" s="553"/>
      <c r="S274" s="553"/>
      <c r="T274" s="553"/>
      <c r="U274" s="553"/>
      <c r="V274" s="553"/>
      <c r="W274" s="553"/>
      <c r="X274" s="553"/>
      <c r="Y274" s="553"/>
      <c r="Z274" s="553"/>
      <c r="AA274" s="553"/>
      <c r="AB274" s="553"/>
      <c r="AC274" s="553"/>
      <c r="AD274" s="553"/>
      <c r="AE274" s="553"/>
      <c r="AF274" s="553"/>
      <c r="AG274" s="553"/>
      <c r="AH274" s="553"/>
      <c r="AI274" s="553"/>
      <c r="AJ274" s="553"/>
      <c r="AK274" s="553"/>
    </row>
    <row r="275" spans="7:37" x14ac:dyDescent="0.2">
      <c r="G275" s="553"/>
      <c r="H275" s="553"/>
      <c r="I275" s="553"/>
      <c r="J275" s="553"/>
      <c r="K275" s="553"/>
      <c r="L275" s="553"/>
      <c r="M275" s="553"/>
      <c r="N275" s="553"/>
      <c r="O275" s="553"/>
      <c r="P275" s="553"/>
      <c r="Q275" s="553"/>
      <c r="R275" s="553"/>
      <c r="S275" s="553"/>
      <c r="T275" s="553"/>
      <c r="U275" s="553"/>
      <c r="V275" s="553"/>
      <c r="W275" s="553"/>
      <c r="X275" s="553"/>
      <c r="Y275" s="553"/>
      <c r="Z275" s="553"/>
      <c r="AA275" s="553"/>
      <c r="AB275" s="553"/>
      <c r="AC275" s="553"/>
      <c r="AD275" s="553"/>
      <c r="AE275" s="553"/>
      <c r="AF275" s="553"/>
      <c r="AG275" s="553"/>
      <c r="AH275" s="553"/>
      <c r="AI275" s="553"/>
      <c r="AJ275" s="553"/>
      <c r="AK275" s="553"/>
    </row>
    <row r="276" spans="7:37" x14ac:dyDescent="0.2">
      <c r="G276" s="553"/>
      <c r="H276" s="553"/>
      <c r="I276" s="553"/>
      <c r="J276" s="553"/>
      <c r="K276" s="553"/>
      <c r="L276" s="553"/>
      <c r="M276" s="553"/>
      <c r="N276" s="553"/>
      <c r="O276" s="553"/>
      <c r="P276" s="553"/>
      <c r="Q276" s="553"/>
      <c r="R276" s="553"/>
      <c r="S276" s="553"/>
      <c r="T276" s="553"/>
      <c r="U276" s="553"/>
      <c r="V276" s="553"/>
      <c r="W276" s="553"/>
      <c r="X276" s="553"/>
      <c r="Y276" s="553"/>
      <c r="Z276" s="553"/>
      <c r="AA276" s="553"/>
      <c r="AB276" s="553"/>
      <c r="AC276" s="553"/>
      <c r="AD276" s="553"/>
      <c r="AE276" s="553"/>
      <c r="AF276" s="553"/>
      <c r="AG276" s="553"/>
      <c r="AH276" s="553"/>
      <c r="AI276" s="553"/>
      <c r="AJ276" s="553"/>
      <c r="AK276" s="553"/>
    </row>
    <row r="277" spans="7:37" x14ac:dyDescent="0.2">
      <c r="G277" s="553"/>
      <c r="H277" s="553"/>
      <c r="I277" s="553"/>
      <c r="J277" s="553"/>
      <c r="K277" s="553"/>
      <c r="L277" s="553"/>
      <c r="M277" s="553"/>
      <c r="N277" s="553"/>
      <c r="O277" s="553"/>
      <c r="P277" s="553"/>
      <c r="Q277" s="553"/>
      <c r="R277" s="553"/>
      <c r="S277" s="553"/>
      <c r="T277" s="553"/>
      <c r="U277" s="553"/>
      <c r="V277" s="553"/>
      <c r="W277" s="553"/>
      <c r="X277" s="553"/>
      <c r="Y277" s="553"/>
      <c r="Z277" s="553"/>
      <c r="AA277" s="553"/>
      <c r="AB277" s="553"/>
      <c r="AC277" s="553"/>
      <c r="AD277" s="553"/>
      <c r="AE277" s="553"/>
      <c r="AF277" s="553"/>
      <c r="AG277" s="553"/>
      <c r="AH277" s="553"/>
      <c r="AI277" s="553"/>
      <c r="AJ277" s="553"/>
      <c r="AK277" s="553"/>
    </row>
    <row r="278" spans="7:37" x14ac:dyDescent="0.2">
      <c r="G278" s="553"/>
      <c r="H278" s="553"/>
      <c r="I278" s="553"/>
      <c r="J278" s="553"/>
      <c r="K278" s="553"/>
      <c r="L278" s="553"/>
      <c r="M278" s="553"/>
      <c r="N278" s="553"/>
      <c r="O278" s="553"/>
      <c r="P278" s="553"/>
      <c r="Q278" s="553"/>
      <c r="R278" s="553"/>
      <c r="S278" s="553"/>
      <c r="T278" s="553"/>
      <c r="U278" s="553"/>
      <c r="V278" s="553"/>
      <c r="W278" s="553"/>
      <c r="X278" s="553"/>
      <c r="Y278" s="553"/>
      <c r="Z278" s="553"/>
      <c r="AA278" s="553"/>
      <c r="AB278" s="553"/>
      <c r="AC278" s="553"/>
      <c r="AD278" s="553"/>
      <c r="AE278" s="553"/>
      <c r="AF278" s="553"/>
      <c r="AG278" s="553"/>
      <c r="AH278" s="553"/>
      <c r="AI278" s="553"/>
      <c r="AJ278" s="553"/>
      <c r="AK278" s="553"/>
    </row>
    <row r="279" spans="7:37" x14ac:dyDescent="0.2">
      <c r="G279" s="553"/>
      <c r="H279" s="553"/>
      <c r="I279" s="553"/>
      <c r="J279" s="553"/>
      <c r="K279" s="553"/>
      <c r="L279" s="553"/>
      <c r="M279" s="553"/>
      <c r="N279" s="553"/>
      <c r="O279" s="553"/>
      <c r="P279" s="553"/>
      <c r="Q279" s="553"/>
      <c r="R279" s="553"/>
      <c r="S279" s="553"/>
      <c r="T279" s="553"/>
      <c r="U279" s="553"/>
      <c r="V279" s="553"/>
      <c r="W279" s="553"/>
      <c r="X279" s="553"/>
      <c r="Y279" s="553"/>
      <c r="Z279" s="553"/>
      <c r="AA279" s="553"/>
      <c r="AB279" s="553"/>
      <c r="AC279" s="553"/>
      <c r="AD279" s="553"/>
      <c r="AE279" s="553"/>
      <c r="AF279" s="553"/>
      <c r="AG279" s="553"/>
      <c r="AH279" s="553"/>
      <c r="AI279" s="553"/>
      <c r="AJ279" s="553"/>
      <c r="AK279" s="553"/>
    </row>
    <row r="280" spans="7:37" x14ac:dyDescent="0.2">
      <c r="G280" s="553"/>
      <c r="H280" s="553"/>
      <c r="I280" s="553"/>
      <c r="J280" s="553"/>
      <c r="K280" s="553"/>
      <c r="L280" s="553"/>
      <c r="M280" s="553"/>
      <c r="N280" s="553"/>
      <c r="O280" s="553"/>
      <c r="P280" s="553"/>
      <c r="Q280" s="553"/>
      <c r="R280" s="553"/>
      <c r="S280" s="553"/>
      <c r="T280" s="553"/>
      <c r="U280" s="553"/>
      <c r="V280" s="553"/>
      <c r="W280" s="553"/>
      <c r="X280" s="553"/>
      <c r="Y280" s="553"/>
      <c r="Z280" s="553"/>
      <c r="AA280" s="553"/>
      <c r="AB280" s="553"/>
      <c r="AC280" s="553"/>
      <c r="AD280" s="553"/>
      <c r="AE280" s="553"/>
      <c r="AF280" s="553"/>
      <c r="AG280" s="553"/>
      <c r="AH280" s="553"/>
      <c r="AI280" s="553"/>
      <c r="AJ280" s="553"/>
      <c r="AK280" s="553"/>
    </row>
    <row r="281" spans="7:37" x14ac:dyDescent="0.2">
      <c r="G281" s="553"/>
      <c r="H281" s="553"/>
      <c r="I281" s="553"/>
      <c r="J281" s="553"/>
      <c r="K281" s="553"/>
      <c r="L281" s="553"/>
      <c r="M281" s="553"/>
      <c r="N281" s="553"/>
      <c r="O281" s="553"/>
      <c r="P281" s="553"/>
      <c r="Q281" s="553"/>
      <c r="R281" s="553"/>
      <c r="S281" s="553"/>
      <c r="T281" s="553"/>
      <c r="U281" s="553"/>
      <c r="V281" s="553"/>
      <c r="W281" s="553"/>
      <c r="X281" s="553"/>
      <c r="Y281" s="553"/>
      <c r="Z281" s="553"/>
      <c r="AA281" s="553"/>
      <c r="AB281" s="553"/>
      <c r="AC281" s="553"/>
      <c r="AD281" s="553"/>
      <c r="AE281" s="553"/>
      <c r="AF281" s="553"/>
      <c r="AG281" s="553"/>
      <c r="AH281" s="553"/>
      <c r="AI281" s="553"/>
      <c r="AJ281" s="553"/>
      <c r="AK281" s="553"/>
    </row>
    <row r="282" spans="7:37" x14ac:dyDescent="0.2">
      <c r="G282" s="553"/>
      <c r="H282" s="553"/>
      <c r="I282" s="553"/>
      <c r="J282" s="553"/>
      <c r="K282" s="553"/>
      <c r="L282" s="553"/>
      <c r="M282" s="553"/>
      <c r="N282" s="553"/>
      <c r="O282" s="553"/>
      <c r="P282" s="553"/>
      <c r="Q282" s="553"/>
      <c r="R282" s="553"/>
      <c r="S282" s="553"/>
      <c r="T282" s="553"/>
      <c r="U282" s="553"/>
      <c r="V282" s="553"/>
      <c r="W282" s="553"/>
      <c r="X282" s="553"/>
      <c r="Y282" s="553"/>
      <c r="Z282" s="553"/>
      <c r="AA282" s="553"/>
      <c r="AB282" s="553"/>
      <c r="AC282" s="553"/>
      <c r="AD282" s="553"/>
      <c r="AE282" s="553"/>
      <c r="AF282" s="553"/>
      <c r="AG282" s="553"/>
      <c r="AH282" s="553"/>
      <c r="AI282" s="553"/>
      <c r="AJ282" s="553"/>
      <c r="AK282" s="553"/>
    </row>
    <row r="283" spans="7:37" x14ac:dyDescent="0.2">
      <c r="G283" s="553"/>
      <c r="H283" s="553"/>
      <c r="I283" s="553"/>
      <c r="J283" s="553"/>
      <c r="K283" s="553"/>
      <c r="L283" s="553"/>
      <c r="M283" s="553"/>
      <c r="N283" s="553"/>
      <c r="O283" s="553"/>
      <c r="P283" s="553"/>
      <c r="Q283" s="553"/>
      <c r="R283" s="553"/>
      <c r="S283" s="553"/>
      <c r="T283" s="553"/>
      <c r="U283" s="553"/>
      <c r="V283" s="553"/>
      <c r="W283" s="553"/>
      <c r="X283" s="553"/>
      <c r="Y283" s="553"/>
      <c r="Z283" s="553"/>
      <c r="AA283" s="553"/>
      <c r="AB283" s="553"/>
      <c r="AC283" s="553"/>
      <c r="AD283" s="553"/>
      <c r="AE283" s="553"/>
      <c r="AF283" s="553"/>
      <c r="AG283" s="553"/>
      <c r="AH283" s="553"/>
      <c r="AI283" s="553"/>
      <c r="AJ283" s="553"/>
      <c r="AK283" s="553"/>
    </row>
    <row r="284" spans="7:37" x14ac:dyDescent="0.2">
      <c r="G284" s="553"/>
      <c r="H284" s="553"/>
      <c r="I284" s="553"/>
      <c r="J284" s="553"/>
      <c r="K284" s="553"/>
      <c r="L284" s="553"/>
      <c r="M284" s="553"/>
      <c r="N284" s="553"/>
      <c r="O284" s="553"/>
      <c r="P284" s="553"/>
      <c r="Q284" s="553"/>
      <c r="R284" s="553"/>
      <c r="S284" s="553"/>
      <c r="T284" s="553"/>
      <c r="U284" s="553"/>
      <c r="V284" s="553"/>
      <c r="W284" s="553"/>
      <c r="X284" s="553"/>
      <c r="Y284" s="553"/>
      <c r="Z284" s="553"/>
      <c r="AA284" s="553"/>
      <c r="AB284" s="553"/>
      <c r="AC284" s="553"/>
      <c r="AD284" s="553"/>
      <c r="AE284" s="553"/>
      <c r="AF284" s="553"/>
      <c r="AG284" s="553"/>
      <c r="AH284" s="553"/>
      <c r="AI284" s="553"/>
      <c r="AJ284" s="553"/>
      <c r="AK284" s="553"/>
    </row>
    <row r="285" spans="7:37" x14ac:dyDescent="0.2">
      <c r="G285" s="553"/>
      <c r="H285" s="553"/>
      <c r="I285" s="553"/>
      <c r="J285" s="553"/>
      <c r="K285" s="553"/>
      <c r="L285" s="553"/>
      <c r="M285" s="553"/>
      <c r="N285" s="553"/>
      <c r="O285" s="553"/>
      <c r="P285" s="553"/>
      <c r="Q285" s="553"/>
      <c r="R285" s="553"/>
      <c r="S285" s="553"/>
      <c r="T285" s="553"/>
      <c r="U285" s="553"/>
      <c r="V285" s="553"/>
      <c r="W285" s="553"/>
      <c r="X285" s="553"/>
      <c r="Y285" s="553"/>
      <c r="Z285" s="553"/>
      <c r="AA285" s="553"/>
      <c r="AB285" s="553"/>
      <c r="AC285" s="553"/>
      <c r="AD285" s="553"/>
      <c r="AE285" s="553"/>
      <c r="AF285" s="553"/>
      <c r="AG285" s="553"/>
      <c r="AH285" s="553"/>
      <c r="AI285" s="553"/>
      <c r="AJ285" s="553"/>
      <c r="AK285" s="553"/>
    </row>
    <row r="286" spans="7:37" x14ac:dyDescent="0.2">
      <c r="G286" s="553"/>
      <c r="H286" s="553"/>
      <c r="I286" s="553"/>
      <c r="J286" s="553"/>
      <c r="K286" s="553"/>
      <c r="L286" s="553"/>
      <c r="M286" s="553"/>
      <c r="N286" s="553"/>
      <c r="O286" s="553"/>
      <c r="P286" s="553"/>
      <c r="Q286" s="553"/>
      <c r="R286" s="553"/>
      <c r="S286" s="553"/>
      <c r="T286" s="553"/>
      <c r="U286" s="553"/>
      <c r="V286" s="553"/>
      <c r="W286" s="553"/>
      <c r="X286" s="553"/>
      <c r="Y286" s="553"/>
      <c r="Z286" s="553"/>
      <c r="AA286" s="553"/>
      <c r="AB286" s="553"/>
      <c r="AC286" s="553"/>
      <c r="AD286" s="553"/>
      <c r="AE286" s="553"/>
      <c r="AF286" s="553"/>
      <c r="AG286" s="553"/>
      <c r="AH286" s="553"/>
      <c r="AI286" s="553"/>
      <c r="AJ286" s="553"/>
      <c r="AK286" s="553"/>
    </row>
    <row r="287" spans="7:37" x14ac:dyDescent="0.2">
      <c r="G287" s="553"/>
      <c r="H287" s="553"/>
      <c r="I287" s="553"/>
      <c r="J287" s="553"/>
      <c r="K287" s="553"/>
      <c r="L287" s="553"/>
      <c r="M287" s="553"/>
      <c r="N287" s="553"/>
      <c r="O287" s="553"/>
      <c r="P287" s="553"/>
      <c r="Q287" s="553"/>
      <c r="R287" s="553"/>
      <c r="S287" s="553"/>
      <c r="T287" s="553"/>
      <c r="U287" s="553"/>
      <c r="V287" s="553"/>
      <c r="W287" s="553"/>
      <c r="X287" s="553"/>
      <c r="Y287" s="553"/>
      <c r="Z287" s="553"/>
      <c r="AA287" s="553"/>
      <c r="AB287" s="553"/>
      <c r="AC287" s="553"/>
      <c r="AD287" s="553"/>
      <c r="AE287" s="553"/>
      <c r="AF287" s="553"/>
      <c r="AG287" s="553"/>
      <c r="AH287" s="553"/>
      <c r="AI287" s="553"/>
      <c r="AJ287" s="553"/>
      <c r="AK287" s="553"/>
    </row>
    <row r="288" spans="7:37" x14ac:dyDescent="0.2">
      <c r="G288" s="553"/>
      <c r="H288" s="553"/>
      <c r="I288" s="553"/>
      <c r="J288" s="553"/>
      <c r="K288" s="553"/>
      <c r="L288" s="553"/>
      <c r="M288" s="553"/>
      <c r="N288" s="553"/>
      <c r="O288" s="553"/>
      <c r="P288" s="553"/>
      <c r="Q288" s="553"/>
      <c r="R288" s="553"/>
      <c r="S288" s="553"/>
      <c r="T288" s="553"/>
      <c r="U288" s="553"/>
      <c r="V288" s="553"/>
      <c r="W288" s="553"/>
      <c r="X288" s="553"/>
      <c r="Y288" s="553"/>
      <c r="Z288" s="553"/>
      <c r="AA288" s="553"/>
      <c r="AB288" s="553"/>
      <c r="AC288" s="553"/>
      <c r="AD288" s="553"/>
      <c r="AE288" s="553"/>
      <c r="AF288" s="553"/>
      <c r="AG288" s="553"/>
      <c r="AH288" s="553"/>
      <c r="AI288" s="553"/>
      <c r="AJ288" s="553"/>
      <c r="AK288" s="553"/>
    </row>
    <row r="289" spans="7:37" x14ac:dyDescent="0.2">
      <c r="G289" s="553"/>
      <c r="H289" s="553"/>
      <c r="I289" s="553"/>
      <c r="J289" s="553"/>
      <c r="K289" s="553"/>
      <c r="L289" s="553"/>
      <c r="M289" s="553"/>
      <c r="N289" s="553"/>
      <c r="O289" s="553"/>
      <c r="P289" s="553"/>
      <c r="Q289" s="553"/>
      <c r="R289" s="553"/>
      <c r="S289" s="553"/>
      <c r="T289" s="553"/>
      <c r="U289" s="553"/>
      <c r="V289" s="553"/>
      <c r="W289" s="553"/>
      <c r="X289" s="553"/>
      <c r="Y289" s="553"/>
      <c r="Z289" s="553"/>
      <c r="AA289" s="553"/>
      <c r="AB289" s="553"/>
      <c r="AC289" s="553"/>
      <c r="AD289" s="553"/>
      <c r="AE289" s="553"/>
      <c r="AF289" s="553"/>
      <c r="AG289" s="553"/>
      <c r="AH289" s="553"/>
      <c r="AI289" s="553"/>
      <c r="AJ289" s="553"/>
      <c r="AK289" s="553"/>
    </row>
    <row r="290" spans="7:37" x14ac:dyDescent="0.2">
      <c r="G290" s="553"/>
      <c r="H290" s="553"/>
      <c r="I290" s="553"/>
      <c r="J290" s="553"/>
      <c r="K290" s="553"/>
      <c r="L290" s="553"/>
      <c r="M290" s="553"/>
      <c r="N290" s="553"/>
      <c r="O290" s="553"/>
      <c r="P290" s="553"/>
      <c r="Q290" s="553"/>
      <c r="R290" s="553"/>
      <c r="S290" s="553"/>
      <c r="T290" s="553"/>
      <c r="U290" s="553"/>
      <c r="V290" s="553"/>
      <c r="W290" s="553"/>
      <c r="X290" s="553"/>
      <c r="Y290" s="553"/>
      <c r="Z290" s="553"/>
      <c r="AA290" s="553"/>
      <c r="AB290" s="553"/>
      <c r="AC290" s="553"/>
      <c r="AD290" s="553"/>
      <c r="AE290" s="553"/>
      <c r="AF290" s="553"/>
      <c r="AG290" s="553"/>
      <c r="AH290" s="553"/>
      <c r="AI290" s="553"/>
      <c r="AJ290" s="553"/>
      <c r="AK290" s="553"/>
    </row>
    <row r="291" spans="7:37" x14ac:dyDescent="0.2">
      <c r="G291" s="553"/>
      <c r="H291" s="553"/>
      <c r="I291" s="553"/>
      <c r="J291" s="553"/>
      <c r="K291" s="553"/>
      <c r="L291" s="553"/>
      <c r="M291" s="553"/>
      <c r="N291" s="553"/>
      <c r="O291" s="553"/>
      <c r="P291" s="553"/>
      <c r="Q291" s="553"/>
      <c r="R291" s="553"/>
      <c r="S291" s="553"/>
      <c r="T291" s="553"/>
      <c r="U291" s="553"/>
      <c r="V291" s="553"/>
      <c r="W291" s="553"/>
      <c r="X291" s="553"/>
      <c r="Y291" s="553"/>
      <c r="Z291" s="553"/>
      <c r="AA291" s="553"/>
      <c r="AB291" s="553"/>
      <c r="AC291" s="553"/>
      <c r="AD291" s="553"/>
      <c r="AE291" s="553"/>
      <c r="AF291" s="553"/>
      <c r="AG291" s="553"/>
      <c r="AH291" s="553"/>
      <c r="AI291" s="553"/>
      <c r="AJ291" s="553"/>
      <c r="AK291" s="553"/>
    </row>
    <row r="292" spans="7:37" x14ac:dyDescent="0.2">
      <c r="G292" s="553"/>
      <c r="H292" s="553"/>
      <c r="I292" s="553"/>
      <c r="J292" s="553"/>
      <c r="K292" s="553"/>
      <c r="L292" s="553"/>
      <c r="M292" s="553"/>
      <c r="N292" s="553"/>
      <c r="O292" s="553"/>
      <c r="P292" s="553"/>
      <c r="Q292" s="553"/>
      <c r="R292" s="553"/>
      <c r="S292" s="553"/>
      <c r="T292" s="553"/>
      <c r="U292" s="553"/>
      <c r="V292" s="553"/>
      <c r="W292" s="553"/>
      <c r="X292" s="553"/>
      <c r="Y292" s="553"/>
      <c r="Z292" s="553"/>
      <c r="AA292" s="553"/>
      <c r="AB292" s="553"/>
      <c r="AC292" s="553"/>
      <c r="AD292" s="553"/>
      <c r="AE292" s="553"/>
      <c r="AF292" s="553"/>
      <c r="AG292" s="553"/>
      <c r="AH292" s="553"/>
      <c r="AI292" s="553"/>
      <c r="AJ292" s="553"/>
      <c r="AK292" s="553"/>
    </row>
    <row r="293" spans="7:37" x14ac:dyDescent="0.2">
      <c r="G293" s="553"/>
      <c r="H293" s="553"/>
      <c r="I293" s="553"/>
      <c r="J293" s="553"/>
      <c r="K293" s="553"/>
      <c r="L293" s="553"/>
      <c r="M293" s="553"/>
      <c r="N293" s="553"/>
      <c r="O293" s="553"/>
      <c r="P293" s="553"/>
      <c r="Q293" s="553"/>
      <c r="R293" s="553"/>
      <c r="S293" s="553"/>
      <c r="T293" s="553"/>
      <c r="U293" s="553"/>
      <c r="V293" s="553"/>
      <c r="W293" s="553"/>
      <c r="X293" s="553"/>
      <c r="Y293" s="553"/>
      <c r="Z293" s="553"/>
      <c r="AA293" s="553"/>
      <c r="AB293" s="553"/>
      <c r="AC293" s="553"/>
      <c r="AD293" s="553"/>
      <c r="AE293" s="553"/>
      <c r="AF293" s="553"/>
      <c r="AG293" s="553"/>
      <c r="AH293" s="553"/>
      <c r="AI293" s="553"/>
      <c r="AJ293" s="553"/>
      <c r="AK293" s="553"/>
    </row>
    <row r="294" spans="7:37" x14ac:dyDescent="0.2">
      <c r="G294" s="553"/>
      <c r="H294" s="553"/>
      <c r="I294" s="553"/>
      <c r="J294" s="553"/>
      <c r="K294" s="553"/>
      <c r="L294" s="553"/>
      <c r="M294" s="553"/>
      <c r="N294" s="553"/>
      <c r="O294" s="553"/>
      <c r="P294" s="553"/>
      <c r="Q294" s="553"/>
      <c r="R294" s="553"/>
      <c r="S294" s="553"/>
      <c r="T294" s="553"/>
      <c r="U294" s="553"/>
      <c r="V294" s="553"/>
      <c r="W294" s="553"/>
      <c r="X294" s="553"/>
      <c r="Y294" s="553"/>
      <c r="Z294" s="553"/>
      <c r="AA294" s="553"/>
      <c r="AB294" s="553"/>
      <c r="AC294" s="553"/>
      <c r="AD294" s="553"/>
      <c r="AE294" s="553"/>
      <c r="AF294" s="553"/>
      <c r="AG294" s="553"/>
      <c r="AH294" s="553"/>
      <c r="AI294" s="553"/>
      <c r="AJ294" s="553"/>
      <c r="AK294" s="553"/>
    </row>
    <row r="295" spans="7:37" x14ac:dyDescent="0.2">
      <c r="G295" s="553"/>
      <c r="H295" s="553"/>
      <c r="I295" s="553"/>
      <c r="J295" s="553"/>
      <c r="K295" s="553"/>
      <c r="L295" s="553"/>
      <c r="M295" s="553"/>
      <c r="N295" s="553"/>
      <c r="O295" s="553"/>
      <c r="P295" s="553"/>
      <c r="Q295" s="553"/>
      <c r="R295" s="553"/>
      <c r="S295" s="553"/>
      <c r="T295" s="553"/>
      <c r="U295" s="553"/>
      <c r="V295" s="553"/>
      <c r="W295" s="553"/>
      <c r="X295" s="553"/>
      <c r="Y295" s="553"/>
      <c r="Z295" s="553"/>
      <c r="AA295" s="553"/>
      <c r="AB295" s="553"/>
      <c r="AC295" s="553"/>
      <c r="AD295" s="553"/>
      <c r="AE295" s="553"/>
      <c r="AF295" s="553"/>
      <c r="AG295" s="553"/>
      <c r="AH295" s="553"/>
      <c r="AI295" s="553"/>
      <c r="AJ295" s="553"/>
      <c r="AK295" s="553"/>
    </row>
    <row r="296" spans="7:37" x14ac:dyDescent="0.2">
      <c r="G296" s="553"/>
      <c r="H296" s="553"/>
      <c r="I296" s="553"/>
      <c r="J296" s="553"/>
      <c r="K296" s="553"/>
      <c r="L296" s="553"/>
      <c r="M296" s="553"/>
      <c r="N296" s="553"/>
      <c r="O296" s="553"/>
      <c r="P296" s="553"/>
      <c r="Q296" s="553"/>
      <c r="R296" s="553"/>
      <c r="S296" s="553"/>
      <c r="T296" s="553"/>
      <c r="U296" s="553"/>
      <c r="V296" s="553"/>
      <c r="W296" s="553"/>
      <c r="X296" s="553"/>
      <c r="Y296" s="553"/>
      <c r="Z296" s="553"/>
      <c r="AA296" s="553"/>
      <c r="AB296" s="553"/>
      <c r="AC296" s="553"/>
      <c r="AD296" s="553"/>
      <c r="AE296" s="553"/>
      <c r="AF296" s="553"/>
      <c r="AG296" s="553"/>
      <c r="AH296" s="553"/>
      <c r="AI296" s="553"/>
      <c r="AJ296" s="553"/>
      <c r="AK296" s="553"/>
    </row>
    <row r="297" spans="7:37" x14ac:dyDescent="0.2">
      <c r="G297" s="553"/>
      <c r="H297" s="553"/>
      <c r="I297" s="553"/>
      <c r="J297" s="553"/>
      <c r="K297" s="553"/>
      <c r="L297" s="553"/>
      <c r="M297" s="553"/>
      <c r="N297" s="553"/>
      <c r="O297" s="553"/>
      <c r="P297" s="553"/>
      <c r="Q297" s="553"/>
      <c r="R297" s="553"/>
      <c r="S297" s="553"/>
      <c r="T297" s="553"/>
      <c r="U297" s="553"/>
      <c r="V297" s="553"/>
      <c r="W297" s="553"/>
      <c r="X297" s="553"/>
      <c r="Y297" s="553"/>
      <c r="Z297" s="553"/>
      <c r="AA297" s="553"/>
      <c r="AB297" s="553"/>
      <c r="AC297" s="553"/>
      <c r="AD297" s="553"/>
      <c r="AE297" s="553"/>
      <c r="AF297" s="553"/>
      <c r="AG297" s="553"/>
      <c r="AH297" s="553"/>
      <c r="AI297" s="553"/>
      <c r="AJ297" s="553"/>
      <c r="AK297" s="553"/>
    </row>
    <row r="298" spans="7:37" x14ac:dyDescent="0.2">
      <c r="G298" s="553"/>
      <c r="H298" s="553"/>
      <c r="I298" s="553"/>
      <c r="J298" s="553"/>
      <c r="K298" s="553"/>
      <c r="L298" s="553"/>
      <c r="M298" s="553"/>
      <c r="N298" s="553"/>
      <c r="O298" s="553"/>
      <c r="P298" s="553"/>
      <c r="Q298" s="553"/>
      <c r="R298" s="553"/>
      <c r="S298" s="553"/>
      <c r="T298" s="553"/>
      <c r="U298" s="553"/>
      <c r="V298" s="553"/>
      <c r="W298" s="553"/>
      <c r="X298" s="553"/>
      <c r="Y298" s="553"/>
      <c r="Z298" s="553"/>
      <c r="AA298" s="553"/>
      <c r="AB298" s="553"/>
      <c r="AC298" s="553"/>
      <c r="AD298" s="553"/>
      <c r="AE298" s="553"/>
      <c r="AF298" s="553"/>
      <c r="AG298" s="553"/>
      <c r="AH298" s="553"/>
      <c r="AI298" s="553"/>
      <c r="AJ298" s="553"/>
      <c r="AK298" s="553"/>
    </row>
    <row r="299" spans="7:37" x14ac:dyDescent="0.2">
      <c r="G299" s="553"/>
      <c r="H299" s="553"/>
      <c r="I299" s="553"/>
      <c r="J299" s="553"/>
      <c r="K299" s="553"/>
      <c r="L299" s="553"/>
      <c r="M299" s="553"/>
      <c r="N299" s="553"/>
      <c r="O299" s="553"/>
      <c r="P299" s="553"/>
      <c r="Q299" s="553"/>
      <c r="R299" s="553"/>
      <c r="S299" s="553"/>
      <c r="T299" s="553"/>
      <c r="U299" s="553"/>
      <c r="V299" s="553"/>
      <c r="W299" s="553"/>
      <c r="X299" s="553"/>
      <c r="Y299" s="553"/>
      <c r="Z299" s="553"/>
      <c r="AA299" s="553"/>
      <c r="AB299" s="553"/>
      <c r="AC299" s="553"/>
      <c r="AD299" s="553"/>
      <c r="AE299" s="553"/>
      <c r="AF299" s="553"/>
      <c r="AG299" s="553"/>
      <c r="AH299" s="553"/>
      <c r="AI299" s="553"/>
      <c r="AJ299" s="553"/>
      <c r="AK299" s="553"/>
    </row>
    <row r="300" spans="7:37" x14ac:dyDescent="0.2">
      <c r="G300" s="553"/>
      <c r="H300" s="553"/>
      <c r="I300" s="553"/>
      <c r="J300" s="553"/>
      <c r="K300" s="553"/>
      <c r="L300" s="553"/>
      <c r="M300" s="553"/>
      <c r="N300" s="553"/>
      <c r="O300" s="553"/>
      <c r="P300" s="553"/>
      <c r="Q300" s="553"/>
      <c r="R300" s="553"/>
      <c r="S300" s="553"/>
      <c r="T300" s="553"/>
      <c r="U300" s="553"/>
      <c r="V300" s="553"/>
      <c r="W300" s="553"/>
      <c r="X300" s="553"/>
      <c r="Y300" s="553"/>
      <c r="Z300" s="553"/>
      <c r="AA300" s="553"/>
      <c r="AB300" s="553"/>
      <c r="AC300" s="553"/>
      <c r="AD300" s="553"/>
      <c r="AE300" s="553"/>
      <c r="AF300" s="553"/>
      <c r="AG300" s="553"/>
      <c r="AH300" s="553"/>
      <c r="AI300" s="553"/>
      <c r="AJ300" s="553"/>
      <c r="AK300" s="553"/>
    </row>
    <row r="301" spans="7:37" x14ac:dyDescent="0.2">
      <c r="G301" s="553"/>
      <c r="H301" s="553"/>
      <c r="I301" s="553"/>
      <c r="J301" s="553"/>
      <c r="K301" s="553"/>
      <c r="L301" s="553"/>
      <c r="M301" s="553"/>
      <c r="N301" s="553"/>
      <c r="O301" s="553"/>
      <c r="P301" s="553"/>
      <c r="Q301" s="553"/>
      <c r="R301" s="553"/>
      <c r="S301" s="553"/>
      <c r="T301" s="553"/>
      <c r="U301" s="553"/>
      <c r="V301" s="553"/>
      <c r="W301" s="553"/>
      <c r="X301" s="553"/>
      <c r="Y301" s="553"/>
      <c r="Z301" s="553"/>
      <c r="AA301" s="553"/>
      <c r="AB301" s="553"/>
      <c r="AC301" s="553"/>
      <c r="AD301" s="553"/>
      <c r="AE301" s="553"/>
      <c r="AF301" s="553"/>
      <c r="AG301" s="553"/>
      <c r="AH301" s="553"/>
      <c r="AI301" s="553"/>
      <c r="AJ301" s="553"/>
      <c r="AK301" s="553"/>
    </row>
    <row r="302" spans="7:37" x14ac:dyDescent="0.2">
      <c r="G302" s="553"/>
      <c r="H302" s="553"/>
      <c r="I302" s="553"/>
      <c r="J302" s="553"/>
      <c r="K302" s="553"/>
      <c r="L302" s="553"/>
      <c r="M302" s="553"/>
      <c r="N302" s="553"/>
      <c r="O302" s="553"/>
      <c r="P302" s="553"/>
      <c r="Q302" s="553"/>
      <c r="R302" s="553"/>
      <c r="S302" s="553"/>
      <c r="T302" s="553"/>
      <c r="U302" s="553"/>
      <c r="V302" s="553"/>
      <c r="W302" s="553"/>
      <c r="X302" s="553"/>
      <c r="Y302" s="553"/>
      <c r="Z302" s="553"/>
      <c r="AA302" s="553"/>
      <c r="AB302" s="553"/>
      <c r="AC302" s="553"/>
      <c r="AD302" s="553"/>
      <c r="AE302" s="553"/>
      <c r="AF302" s="553"/>
      <c r="AG302" s="553"/>
      <c r="AH302" s="553"/>
      <c r="AI302" s="553"/>
      <c r="AJ302" s="553"/>
      <c r="AK302" s="553"/>
    </row>
    <row r="303" spans="7:37" x14ac:dyDescent="0.2">
      <c r="G303" s="553"/>
      <c r="H303" s="553"/>
      <c r="I303" s="553"/>
      <c r="J303" s="553"/>
      <c r="K303" s="553"/>
      <c r="L303" s="553"/>
      <c r="M303" s="553"/>
      <c r="N303" s="553"/>
      <c r="O303" s="553"/>
      <c r="P303" s="553"/>
      <c r="Q303" s="553"/>
      <c r="R303" s="553"/>
      <c r="S303" s="553"/>
      <c r="T303" s="553"/>
      <c r="U303" s="553"/>
      <c r="V303" s="553"/>
      <c r="W303" s="553"/>
      <c r="X303" s="553"/>
      <c r="Y303" s="553"/>
      <c r="Z303" s="553"/>
      <c r="AA303" s="553"/>
      <c r="AB303" s="553"/>
      <c r="AC303" s="553"/>
      <c r="AD303" s="553"/>
      <c r="AE303" s="553"/>
      <c r="AF303" s="553"/>
      <c r="AG303" s="553"/>
      <c r="AH303" s="553"/>
      <c r="AI303" s="553"/>
      <c r="AJ303" s="553"/>
      <c r="AK303" s="553"/>
    </row>
    <row r="304" spans="7:37" x14ac:dyDescent="0.2">
      <c r="G304" s="553"/>
      <c r="H304" s="553"/>
      <c r="I304" s="553"/>
      <c r="J304" s="553"/>
      <c r="K304" s="553"/>
      <c r="L304" s="553"/>
      <c r="M304" s="553"/>
      <c r="N304" s="553"/>
      <c r="O304" s="553"/>
      <c r="P304" s="553"/>
      <c r="Q304" s="553"/>
      <c r="R304" s="553"/>
      <c r="S304" s="553"/>
      <c r="T304" s="553"/>
      <c r="U304" s="553"/>
      <c r="V304" s="553"/>
      <c r="W304" s="553"/>
      <c r="X304" s="553"/>
      <c r="Y304" s="553"/>
      <c r="Z304" s="553"/>
      <c r="AA304" s="553"/>
      <c r="AB304" s="553"/>
      <c r="AC304" s="553"/>
      <c r="AD304" s="553"/>
      <c r="AE304" s="553"/>
      <c r="AF304" s="553"/>
      <c r="AG304" s="553"/>
      <c r="AH304" s="553"/>
      <c r="AI304" s="553"/>
      <c r="AJ304" s="553"/>
      <c r="AK304" s="553"/>
    </row>
    <row r="305" spans="7:37" x14ac:dyDescent="0.2">
      <c r="G305" s="553"/>
      <c r="H305" s="553"/>
      <c r="I305" s="553"/>
      <c r="J305" s="553"/>
      <c r="K305" s="553"/>
      <c r="L305" s="553"/>
      <c r="M305" s="553"/>
      <c r="N305" s="553"/>
      <c r="O305" s="553"/>
      <c r="P305" s="553"/>
      <c r="Q305" s="553"/>
      <c r="R305" s="553"/>
      <c r="S305" s="553"/>
      <c r="T305" s="553"/>
      <c r="U305" s="553"/>
      <c r="V305" s="553"/>
      <c r="W305" s="553"/>
      <c r="X305" s="553"/>
      <c r="Y305" s="553"/>
      <c r="Z305" s="553"/>
      <c r="AA305" s="553"/>
      <c r="AB305" s="553"/>
      <c r="AC305" s="553"/>
      <c r="AD305" s="553"/>
      <c r="AE305" s="553"/>
      <c r="AF305" s="553"/>
      <c r="AG305" s="553"/>
      <c r="AH305" s="553"/>
      <c r="AI305" s="553"/>
      <c r="AJ305" s="553"/>
      <c r="AK305" s="553"/>
    </row>
    <row r="306" spans="7:37" x14ac:dyDescent="0.2">
      <c r="G306" s="553"/>
      <c r="H306" s="553"/>
      <c r="I306" s="553"/>
      <c r="J306" s="553"/>
      <c r="K306" s="553"/>
      <c r="L306" s="553"/>
      <c r="M306" s="553"/>
      <c r="N306" s="553"/>
      <c r="O306" s="553"/>
      <c r="P306" s="553"/>
      <c r="Q306" s="553"/>
      <c r="R306" s="553"/>
      <c r="S306" s="553"/>
      <c r="T306" s="553"/>
      <c r="U306" s="553"/>
      <c r="V306" s="553"/>
      <c r="W306" s="553"/>
      <c r="X306" s="553"/>
      <c r="Y306" s="553"/>
      <c r="Z306" s="553"/>
      <c r="AA306" s="553"/>
      <c r="AB306" s="553"/>
      <c r="AC306" s="553"/>
      <c r="AD306" s="553"/>
      <c r="AE306" s="553"/>
      <c r="AF306" s="553"/>
      <c r="AG306" s="553"/>
      <c r="AH306" s="553"/>
      <c r="AI306" s="553"/>
      <c r="AJ306" s="553"/>
      <c r="AK306" s="553"/>
    </row>
    <row r="307" spans="7:37" x14ac:dyDescent="0.2">
      <c r="G307" s="553"/>
      <c r="H307" s="553"/>
      <c r="I307" s="553"/>
      <c r="J307" s="553"/>
      <c r="K307" s="553"/>
      <c r="L307" s="553"/>
      <c r="M307" s="553"/>
      <c r="N307" s="553"/>
      <c r="O307" s="553"/>
      <c r="P307" s="553"/>
      <c r="Q307" s="553"/>
      <c r="R307" s="553"/>
      <c r="S307" s="553"/>
      <c r="T307" s="553"/>
      <c r="U307" s="553"/>
      <c r="V307" s="553"/>
      <c r="W307" s="553"/>
      <c r="X307" s="553"/>
      <c r="Y307" s="553"/>
      <c r="Z307" s="553"/>
      <c r="AA307" s="553"/>
      <c r="AB307" s="553"/>
      <c r="AC307" s="553"/>
      <c r="AD307" s="553"/>
      <c r="AE307" s="553"/>
      <c r="AF307" s="553"/>
      <c r="AG307" s="553"/>
      <c r="AH307" s="553"/>
      <c r="AI307" s="553"/>
      <c r="AJ307" s="553"/>
      <c r="AK307" s="553"/>
    </row>
    <row r="308" spans="7:37" x14ac:dyDescent="0.2">
      <c r="G308" s="553"/>
      <c r="H308" s="553"/>
      <c r="I308" s="553"/>
      <c r="J308" s="553"/>
      <c r="K308" s="553"/>
      <c r="L308" s="553"/>
      <c r="M308" s="553"/>
      <c r="N308" s="553"/>
      <c r="O308" s="553"/>
      <c r="P308" s="553"/>
      <c r="Q308" s="553"/>
      <c r="R308" s="553"/>
      <c r="S308" s="553"/>
      <c r="T308" s="553"/>
      <c r="U308" s="553"/>
      <c r="V308" s="553"/>
      <c r="W308" s="553"/>
      <c r="X308" s="553"/>
      <c r="Y308" s="553"/>
      <c r="Z308" s="553"/>
      <c r="AA308" s="553"/>
      <c r="AB308" s="553"/>
      <c r="AC308" s="553"/>
      <c r="AD308" s="553"/>
      <c r="AE308" s="553"/>
      <c r="AF308" s="553"/>
      <c r="AG308" s="553"/>
      <c r="AH308" s="553"/>
      <c r="AI308" s="553"/>
      <c r="AJ308" s="553"/>
      <c r="AK308" s="553"/>
    </row>
    <row r="309" spans="7:37" x14ac:dyDescent="0.2">
      <c r="G309" s="553"/>
      <c r="H309" s="553"/>
      <c r="I309" s="553"/>
      <c r="J309" s="553"/>
      <c r="K309" s="553"/>
      <c r="L309" s="553"/>
      <c r="M309" s="553"/>
      <c r="N309" s="553"/>
      <c r="O309" s="553"/>
      <c r="P309" s="553"/>
      <c r="Q309" s="553"/>
      <c r="R309" s="553"/>
      <c r="S309" s="553"/>
      <c r="T309" s="553"/>
      <c r="U309" s="553"/>
      <c r="V309" s="553"/>
      <c r="W309" s="553"/>
      <c r="X309" s="553"/>
      <c r="Y309" s="553"/>
      <c r="Z309" s="553"/>
      <c r="AA309" s="553"/>
      <c r="AB309" s="553"/>
      <c r="AC309" s="553"/>
      <c r="AD309" s="553"/>
      <c r="AE309" s="553"/>
      <c r="AF309" s="553"/>
      <c r="AG309" s="553"/>
      <c r="AH309" s="553"/>
      <c r="AI309" s="553"/>
      <c r="AJ309" s="553"/>
      <c r="AK309" s="553"/>
    </row>
    <row r="310" spans="7:37" x14ac:dyDescent="0.2">
      <c r="G310" s="553"/>
      <c r="H310" s="553"/>
      <c r="I310" s="553"/>
      <c r="J310" s="553"/>
      <c r="K310" s="553"/>
      <c r="L310" s="553"/>
      <c r="M310" s="553"/>
      <c r="N310" s="553"/>
      <c r="O310" s="553"/>
      <c r="P310" s="553"/>
      <c r="Q310" s="553"/>
      <c r="R310" s="553"/>
      <c r="S310" s="553"/>
      <c r="T310" s="553"/>
      <c r="U310" s="553"/>
      <c r="V310" s="553"/>
      <c r="W310" s="553"/>
      <c r="X310" s="553"/>
      <c r="Y310" s="553"/>
      <c r="Z310" s="553"/>
      <c r="AA310" s="553"/>
      <c r="AB310" s="553"/>
      <c r="AC310" s="553"/>
      <c r="AD310" s="553"/>
      <c r="AE310" s="553"/>
      <c r="AF310" s="553"/>
      <c r="AG310" s="553"/>
      <c r="AH310" s="553"/>
      <c r="AI310" s="553"/>
      <c r="AJ310" s="553"/>
      <c r="AK310" s="553"/>
    </row>
  </sheetData>
  <mergeCells count="2">
    <mergeCell ref="G6:T6"/>
    <mergeCell ref="U6:AH6"/>
  </mergeCells>
  <pageMargins left="0.7" right="0.7" top="0.75" bottom="0.75" header="0.3" footer="0.3"/>
  <pageSetup paperSize="9" scale="51"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2725E-8528-453D-A382-08F874A1F769}">
  <dimension ref="A1:AL217"/>
  <sheetViews>
    <sheetView tabSelected="1" view="pageBreakPreview" zoomScale="150" zoomScaleNormal="100" zoomScaleSheetLayoutView="150" workbookViewId="0">
      <selection activeCell="AD22" sqref="AD22"/>
    </sheetView>
  </sheetViews>
  <sheetFormatPr defaultColWidth="8.85546875" defaultRowHeight="12.75" x14ac:dyDescent="0.2"/>
  <cols>
    <col min="1" max="2" width="0.85546875" style="619" customWidth="1"/>
    <col min="3" max="3" width="2.7109375" style="619" customWidth="1"/>
    <col min="4" max="4" width="35.140625" style="619" customWidth="1"/>
    <col min="5" max="5" width="3" style="619" customWidth="1"/>
    <col min="6" max="6" width="15.7109375" style="619" customWidth="1"/>
    <col min="7" max="8" width="15.7109375" style="619" hidden="1" customWidth="1"/>
    <col min="9" max="9" width="15.140625" style="619" hidden="1" customWidth="1"/>
    <col min="10" max="11" width="12.7109375" style="619" hidden="1" customWidth="1"/>
    <col min="12" max="12" width="15.7109375" style="619" hidden="1" customWidth="1"/>
    <col min="13" max="13" width="16.28515625" style="619" hidden="1" customWidth="1"/>
    <col min="14" max="14" width="15.7109375" style="619" hidden="1" customWidth="1"/>
    <col min="15" max="15" width="15.28515625" style="619" hidden="1" customWidth="1"/>
    <col min="16" max="16" width="15" style="619" customWidth="1"/>
    <col min="17" max="17" width="15.7109375" style="619" hidden="1" customWidth="1"/>
    <col min="18" max="18" width="14.42578125" style="619" hidden="1" customWidth="1"/>
    <col min="19" max="20" width="15.7109375" style="619" customWidth="1"/>
    <col min="21" max="29" width="15.7109375" style="619" hidden="1" customWidth="1"/>
    <col min="30" max="30" width="15.7109375" style="619" customWidth="1"/>
    <col min="31" max="32" width="15.7109375" style="619" hidden="1" customWidth="1"/>
    <col min="33" max="33" width="15.7109375" style="619" customWidth="1"/>
    <col min="34" max="34" width="2" style="619" customWidth="1"/>
    <col min="35" max="35" width="1.7109375" style="619" customWidth="1"/>
    <col min="36" max="36" width="19.85546875" style="619" bestFit="1" customWidth="1"/>
    <col min="37" max="37" width="11" style="619" hidden="1" customWidth="1"/>
    <col min="38" max="38" width="12.5703125" style="619" customWidth="1"/>
    <col min="39" max="256" width="8.85546875" style="619"/>
    <col min="257" max="258" width="0.85546875" style="619" customWidth="1"/>
    <col min="259" max="259" width="2.7109375" style="619" customWidth="1"/>
    <col min="260" max="260" width="35.140625" style="619" customWidth="1"/>
    <col min="261" max="261" width="3" style="619" customWidth="1"/>
    <col min="262" max="262" width="15.7109375" style="619" customWidth="1"/>
    <col min="263" max="271" width="0" style="619" hidden="1" customWidth="1"/>
    <col min="272" max="272" width="12.7109375" style="619" customWidth="1"/>
    <col min="273" max="274" width="0" style="619" hidden="1" customWidth="1"/>
    <col min="275" max="276" width="15.7109375" style="619" customWidth="1"/>
    <col min="277" max="285" width="0" style="619" hidden="1" customWidth="1"/>
    <col min="286" max="286" width="15.7109375" style="619" customWidth="1"/>
    <col min="287" max="288" width="0" style="619" hidden="1" customWidth="1"/>
    <col min="289" max="289" width="15.7109375" style="619" customWidth="1"/>
    <col min="290" max="290" width="2" style="619" customWidth="1"/>
    <col min="291" max="291" width="1.7109375" style="619" customWidth="1"/>
    <col min="292" max="292" width="19.85546875" style="619" bestFit="1" customWidth="1"/>
    <col min="293" max="293" width="0" style="619" hidden="1" customWidth="1"/>
    <col min="294" max="294" width="12.5703125" style="619" customWidth="1"/>
    <col min="295" max="512" width="8.85546875" style="619"/>
    <col min="513" max="514" width="0.85546875" style="619" customWidth="1"/>
    <col min="515" max="515" width="2.7109375" style="619" customWidth="1"/>
    <col min="516" max="516" width="35.140625" style="619" customWidth="1"/>
    <col min="517" max="517" width="3" style="619" customWidth="1"/>
    <col min="518" max="518" width="15.7109375" style="619" customWidth="1"/>
    <col min="519" max="527" width="0" style="619" hidden="1" customWidth="1"/>
    <col min="528" max="528" width="12.7109375" style="619" customWidth="1"/>
    <col min="529" max="530" width="0" style="619" hidden="1" customWidth="1"/>
    <col min="531" max="532" width="15.7109375" style="619" customWidth="1"/>
    <col min="533" max="541" width="0" style="619" hidden="1" customWidth="1"/>
    <col min="542" max="542" width="15.7109375" style="619" customWidth="1"/>
    <col min="543" max="544" width="0" style="619" hidden="1" customWidth="1"/>
    <col min="545" max="545" width="15.7109375" style="619" customWidth="1"/>
    <col min="546" max="546" width="2" style="619" customWidth="1"/>
    <col min="547" max="547" width="1.7109375" style="619" customWidth="1"/>
    <col min="548" max="548" width="19.85546875" style="619" bestFit="1" customWidth="1"/>
    <col min="549" max="549" width="0" style="619" hidden="1" customWidth="1"/>
    <col min="550" max="550" width="12.5703125" style="619" customWidth="1"/>
    <col min="551" max="768" width="8.85546875" style="619"/>
    <col min="769" max="770" width="0.85546875" style="619" customWidth="1"/>
    <col min="771" max="771" width="2.7109375" style="619" customWidth="1"/>
    <col min="772" max="772" width="35.140625" style="619" customWidth="1"/>
    <col min="773" max="773" width="3" style="619" customWidth="1"/>
    <col min="774" max="774" width="15.7109375" style="619" customWidth="1"/>
    <col min="775" max="783" width="0" style="619" hidden="1" customWidth="1"/>
    <col min="784" max="784" width="12.7109375" style="619" customWidth="1"/>
    <col min="785" max="786" width="0" style="619" hidden="1" customWidth="1"/>
    <col min="787" max="788" width="15.7109375" style="619" customWidth="1"/>
    <col min="789" max="797" width="0" style="619" hidden="1" customWidth="1"/>
    <col min="798" max="798" width="15.7109375" style="619" customWidth="1"/>
    <col min="799" max="800" width="0" style="619" hidden="1" customWidth="1"/>
    <col min="801" max="801" width="15.7109375" style="619" customWidth="1"/>
    <col min="802" max="802" width="2" style="619" customWidth="1"/>
    <col min="803" max="803" width="1.7109375" style="619" customWidth="1"/>
    <col min="804" max="804" width="19.85546875" style="619" bestFit="1" customWidth="1"/>
    <col min="805" max="805" width="0" style="619" hidden="1" customWidth="1"/>
    <col min="806" max="806" width="12.5703125" style="619" customWidth="1"/>
    <col min="807" max="1024" width="8.85546875" style="619"/>
    <col min="1025" max="1026" width="0.85546875" style="619" customWidth="1"/>
    <col min="1027" max="1027" width="2.7109375" style="619" customWidth="1"/>
    <col min="1028" max="1028" width="35.140625" style="619" customWidth="1"/>
    <col min="1029" max="1029" width="3" style="619" customWidth="1"/>
    <col min="1030" max="1030" width="15.7109375" style="619" customWidth="1"/>
    <col min="1031" max="1039" width="0" style="619" hidden="1" customWidth="1"/>
    <col min="1040" max="1040" width="12.7109375" style="619" customWidth="1"/>
    <col min="1041" max="1042" width="0" style="619" hidden="1" customWidth="1"/>
    <col min="1043" max="1044" width="15.7109375" style="619" customWidth="1"/>
    <col min="1045" max="1053" width="0" style="619" hidden="1" customWidth="1"/>
    <col min="1054" max="1054" width="15.7109375" style="619" customWidth="1"/>
    <col min="1055" max="1056" width="0" style="619" hidden="1" customWidth="1"/>
    <col min="1057" max="1057" width="15.7109375" style="619" customWidth="1"/>
    <col min="1058" max="1058" width="2" style="619" customWidth="1"/>
    <col min="1059" max="1059" width="1.7109375" style="619" customWidth="1"/>
    <col min="1060" max="1060" width="19.85546875" style="619" bestFit="1" customWidth="1"/>
    <col min="1061" max="1061" width="0" style="619" hidden="1" customWidth="1"/>
    <col min="1062" max="1062" width="12.5703125" style="619" customWidth="1"/>
    <col min="1063" max="1280" width="8.85546875" style="619"/>
    <col min="1281" max="1282" width="0.85546875" style="619" customWidth="1"/>
    <col min="1283" max="1283" width="2.7109375" style="619" customWidth="1"/>
    <col min="1284" max="1284" width="35.140625" style="619" customWidth="1"/>
    <col min="1285" max="1285" width="3" style="619" customWidth="1"/>
    <col min="1286" max="1286" width="15.7109375" style="619" customWidth="1"/>
    <col min="1287" max="1295" width="0" style="619" hidden="1" customWidth="1"/>
    <col min="1296" max="1296" width="12.7109375" style="619" customWidth="1"/>
    <col min="1297" max="1298" width="0" style="619" hidden="1" customWidth="1"/>
    <col min="1299" max="1300" width="15.7109375" style="619" customWidth="1"/>
    <col min="1301" max="1309" width="0" style="619" hidden="1" customWidth="1"/>
    <col min="1310" max="1310" width="15.7109375" style="619" customWidth="1"/>
    <col min="1311" max="1312" width="0" style="619" hidden="1" customWidth="1"/>
    <col min="1313" max="1313" width="15.7109375" style="619" customWidth="1"/>
    <col min="1314" max="1314" width="2" style="619" customWidth="1"/>
    <col min="1315" max="1315" width="1.7109375" style="619" customWidth="1"/>
    <col min="1316" max="1316" width="19.85546875" style="619" bestFit="1" customWidth="1"/>
    <col min="1317" max="1317" width="0" style="619" hidden="1" customWidth="1"/>
    <col min="1318" max="1318" width="12.5703125" style="619" customWidth="1"/>
    <col min="1319" max="1536" width="8.85546875" style="619"/>
    <col min="1537" max="1538" width="0.85546875" style="619" customWidth="1"/>
    <col min="1539" max="1539" width="2.7109375" style="619" customWidth="1"/>
    <col min="1540" max="1540" width="35.140625" style="619" customWidth="1"/>
    <col min="1541" max="1541" width="3" style="619" customWidth="1"/>
    <col min="1542" max="1542" width="15.7109375" style="619" customWidth="1"/>
    <col min="1543" max="1551" width="0" style="619" hidden="1" customWidth="1"/>
    <col min="1552" max="1552" width="12.7109375" style="619" customWidth="1"/>
    <col min="1553" max="1554" width="0" style="619" hidden="1" customWidth="1"/>
    <col min="1555" max="1556" width="15.7109375" style="619" customWidth="1"/>
    <col min="1557" max="1565" width="0" style="619" hidden="1" customWidth="1"/>
    <col min="1566" max="1566" width="15.7109375" style="619" customWidth="1"/>
    <col min="1567" max="1568" width="0" style="619" hidden="1" customWidth="1"/>
    <col min="1569" max="1569" width="15.7109375" style="619" customWidth="1"/>
    <col min="1570" max="1570" width="2" style="619" customWidth="1"/>
    <col min="1571" max="1571" width="1.7109375" style="619" customWidth="1"/>
    <col min="1572" max="1572" width="19.85546875" style="619" bestFit="1" customWidth="1"/>
    <col min="1573" max="1573" width="0" style="619" hidden="1" customWidth="1"/>
    <col min="1574" max="1574" width="12.5703125" style="619" customWidth="1"/>
    <col min="1575" max="1792" width="8.85546875" style="619"/>
    <col min="1793" max="1794" width="0.85546875" style="619" customWidth="1"/>
    <col min="1795" max="1795" width="2.7109375" style="619" customWidth="1"/>
    <col min="1796" max="1796" width="35.140625" style="619" customWidth="1"/>
    <col min="1797" max="1797" width="3" style="619" customWidth="1"/>
    <col min="1798" max="1798" width="15.7109375" style="619" customWidth="1"/>
    <col min="1799" max="1807" width="0" style="619" hidden="1" customWidth="1"/>
    <col min="1808" max="1808" width="12.7109375" style="619" customWidth="1"/>
    <col min="1809" max="1810" width="0" style="619" hidden="1" customWidth="1"/>
    <col min="1811" max="1812" width="15.7109375" style="619" customWidth="1"/>
    <col min="1813" max="1821" width="0" style="619" hidden="1" customWidth="1"/>
    <col min="1822" max="1822" width="15.7109375" style="619" customWidth="1"/>
    <col min="1823" max="1824" width="0" style="619" hidden="1" customWidth="1"/>
    <col min="1825" max="1825" width="15.7109375" style="619" customWidth="1"/>
    <col min="1826" max="1826" width="2" style="619" customWidth="1"/>
    <col min="1827" max="1827" width="1.7109375" style="619" customWidth="1"/>
    <col min="1828" max="1828" width="19.85546875" style="619" bestFit="1" customWidth="1"/>
    <col min="1829" max="1829" width="0" style="619" hidden="1" customWidth="1"/>
    <col min="1830" max="1830" width="12.5703125" style="619" customWidth="1"/>
    <col min="1831" max="2048" width="8.85546875" style="619"/>
    <col min="2049" max="2050" width="0.85546875" style="619" customWidth="1"/>
    <col min="2051" max="2051" width="2.7109375" style="619" customWidth="1"/>
    <col min="2052" max="2052" width="35.140625" style="619" customWidth="1"/>
    <col min="2053" max="2053" width="3" style="619" customWidth="1"/>
    <col min="2054" max="2054" width="15.7109375" style="619" customWidth="1"/>
    <col min="2055" max="2063" width="0" style="619" hidden="1" customWidth="1"/>
    <col min="2064" max="2064" width="12.7109375" style="619" customWidth="1"/>
    <col min="2065" max="2066" width="0" style="619" hidden="1" customWidth="1"/>
    <col min="2067" max="2068" width="15.7109375" style="619" customWidth="1"/>
    <col min="2069" max="2077" width="0" style="619" hidden="1" customWidth="1"/>
    <col min="2078" max="2078" width="15.7109375" style="619" customWidth="1"/>
    <col min="2079" max="2080" width="0" style="619" hidden="1" customWidth="1"/>
    <col min="2081" max="2081" width="15.7109375" style="619" customWidth="1"/>
    <col min="2082" max="2082" width="2" style="619" customWidth="1"/>
    <col min="2083" max="2083" width="1.7109375" style="619" customWidth="1"/>
    <col min="2084" max="2084" width="19.85546875" style="619" bestFit="1" customWidth="1"/>
    <col min="2085" max="2085" width="0" style="619" hidden="1" customWidth="1"/>
    <col min="2086" max="2086" width="12.5703125" style="619" customWidth="1"/>
    <col min="2087" max="2304" width="8.85546875" style="619"/>
    <col min="2305" max="2306" width="0.85546875" style="619" customWidth="1"/>
    <col min="2307" max="2307" width="2.7109375" style="619" customWidth="1"/>
    <col min="2308" max="2308" width="35.140625" style="619" customWidth="1"/>
    <col min="2309" max="2309" width="3" style="619" customWidth="1"/>
    <col min="2310" max="2310" width="15.7109375" style="619" customWidth="1"/>
    <col min="2311" max="2319" width="0" style="619" hidden="1" customWidth="1"/>
    <col min="2320" max="2320" width="12.7109375" style="619" customWidth="1"/>
    <col min="2321" max="2322" width="0" style="619" hidden="1" customWidth="1"/>
    <col min="2323" max="2324" width="15.7109375" style="619" customWidth="1"/>
    <col min="2325" max="2333" width="0" style="619" hidden="1" customWidth="1"/>
    <col min="2334" max="2334" width="15.7109375" style="619" customWidth="1"/>
    <col min="2335" max="2336" width="0" style="619" hidden="1" customWidth="1"/>
    <col min="2337" max="2337" width="15.7109375" style="619" customWidth="1"/>
    <col min="2338" max="2338" width="2" style="619" customWidth="1"/>
    <col min="2339" max="2339" width="1.7109375" style="619" customWidth="1"/>
    <col min="2340" max="2340" width="19.85546875" style="619" bestFit="1" customWidth="1"/>
    <col min="2341" max="2341" width="0" style="619" hidden="1" customWidth="1"/>
    <col min="2342" max="2342" width="12.5703125" style="619" customWidth="1"/>
    <col min="2343" max="2560" width="8.85546875" style="619"/>
    <col min="2561" max="2562" width="0.85546875" style="619" customWidth="1"/>
    <col min="2563" max="2563" width="2.7109375" style="619" customWidth="1"/>
    <col min="2564" max="2564" width="35.140625" style="619" customWidth="1"/>
    <col min="2565" max="2565" width="3" style="619" customWidth="1"/>
    <col min="2566" max="2566" width="15.7109375" style="619" customWidth="1"/>
    <col min="2567" max="2575" width="0" style="619" hidden="1" customWidth="1"/>
    <col min="2576" max="2576" width="12.7109375" style="619" customWidth="1"/>
    <col min="2577" max="2578" width="0" style="619" hidden="1" customWidth="1"/>
    <col min="2579" max="2580" width="15.7109375" style="619" customWidth="1"/>
    <col min="2581" max="2589" width="0" style="619" hidden="1" customWidth="1"/>
    <col min="2590" max="2590" width="15.7109375" style="619" customWidth="1"/>
    <col min="2591" max="2592" width="0" style="619" hidden="1" customWidth="1"/>
    <col min="2593" max="2593" width="15.7109375" style="619" customWidth="1"/>
    <col min="2594" max="2594" width="2" style="619" customWidth="1"/>
    <col min="2595" max="2595" width="1.7109375" style="619" customWidth="1"/>
    <col min="2596" max="2596" width="19.85546875" style="619" bestFit="1" customWidth="1"/>
    <col min="2597" max="2597" width="0" style="619" hidden="1" customWidth="1"/>
    <col min="2598" max="2598" width="12.5703125" style="619" customWidth="1"/>
    <col min="2599" max="2816" width="8.85546875" style="619"/>
    <col min="2817" max="2818" width="0.85546875" style="619" customWidth="1"/>
    <col min="2819" max="2819" width="2.7109375" style="619" customWidth="1"/>
    <col min="2820" max="2820" width="35.140625" style="619" customWidth="1"/>
    <col min="2821" max="2821" width="3" style="619" customWidth="1"/>
    <col min="2822" max="2822" width="15.7109375" style="619" customWidth="1"/>
    <col min="2823" max="2831" width="0" style="619" hidden="1" customWidth="1"/>
    <col min="2832" max="2832" width="12.7109375" style="619" customWidth="1"/>
    <col min="2833" max="2834" width="0" style="619" hidden="1" customWidth="1"/>
    <col min="2835" max="2836" width="15.7109375" style="619" customWidth="1"/>
    <col min="2837" max="2845" width="0" style="619" hidden="1" customWidth="1"/>
    <col min="2846" max="2846" width="15.7109375" style="619" customWidth="1"/>
    <col min="2847" max="2848" width="0" style="619" hidden="1" customWidth="1"/>
    <col min="2849" max="2849" width="15.7109375" style="619" customWidth="1"/>
    <col min="2850" max="2850" width="2" style="619" customWidth="1"/>
    <col min="2851" max="2851" width="1.7109375" style="619" customWidth="1"/>
    <col min="2852" max="2852" width="19.85546875" style="619" bestFit="1" customWidth="1"/>
    <col min="2853" max="2853" width="0" style="619" hidden="1" customWidth="1"/>
    <col min="2854" max="2854" width="12.5703125" style="619" customWidth="1"/>
    <col min="2855" max="3072" width="8.85546875" style="619"/>
    <col min="3073" max="3074" width="0.85546875" style="619" customWidth="1"/>
    <col min="3075" max="3075" width="2.7109375" style="619" customWidth="1"/>
    <col min="3076" max="3076" width="35.140625" style="619" customWidth="1"/>
    <col min="3077" max="3077" width="3" style="619" customWidth="1"/>
    <col min="3078" max="3078" width="15.7109375" style="619" customWidth="1"/>
    <col min="3079" max="3087" width="0" style="619" hidden="1" customWidth="1"/>
    <col min="3088" max="3088" width="12.7109375" style="619" customWidth="1"/>
    <col min="3089" max="3090" width="0" style="619" hidden="1" customWidth="1"/>
    <col min="3091" max="3092" width="15.7109375" style="619" customWidth="1"/>
    <col min="3093" max="3101" width="0" style="619" hidden="1" customWidth="1"/>
    <col min="3102" max="3102" width="15.7109375" style="619" customWidth="1"/>
    <col min="3103" max="3104" width="0" style="619" hidden="1" customWidth="1"/>
    <col min="3105" max="3105" width="15.7109375" style="619" customWidth="1"/>
    <col min="3106" max="3106" width="2" style="619" customWidth="1"/>
    <col min="3107" max="3107" width="1.7109375" style="619" customWidth="1"/>
    <col min="3108" max="3108" width="19.85546875" style="619" bestFit="1" customWidth="1"/>
    <col min="3109" max="3109" width="0" style="619" hidden="1" customWidth="1"/>
    <col min="3110" max="3110" width="12.5703125" style="619" customWidth="1"/>
    <col min="3111" max="3328" width="8.85546875" style="619"/>
    <col min="3329" max="3330" width="0.85546875" style="619" customWidth="1"/>
    <col min="3331" max="3331" width="2.7109375" style="619" customWidth="1"/>
    <col min="3332" max="3332" width="35.140625" style="619" customWidth="1"/>
    <col min="3333" max="3333" width="3" style="619" customWidth="1"/>
    <col min="3334" max="3334" width="15.7109375" style="619" customWidth="1"/>
    <col min="3335" max="3343" width="0" style="619" hidden="1" customWidth="1"/>
    <col min="3344" max="3344" width="12.7109375" style="619" customWidth="1"/>
    <col min="3345" max="3346" width="0" style="619" hidden="1" customWidth="1"/>
    <col min="3347" max="3348" width="15.7109375" style="619" customWidth="1"/>
    <col min="3349" max="3357" width="0" style="619" hidden="1" customWidth="1"/>
    <col min="3358" max="3358" width="15.7109375" style="619" customWidth="1"/>
    <col min="3359" max="3360" width="0" style="619" hidden="1" customWidth="1"/>
    <col min="3361" max="3361" width="15.7109375" style="619" customWidth="1"/>
    <col min="3362" max="3362" width="2" style="619" customWidth="1"/>
    <col min="3363" max="3363" width="1.7109375" style="619" customWidth="1"/>
    <col min="3364" max="3364" width="19.85546875" style="619" bestFit="1" customWidth="1"/>
    <col min="3365" max="3365" width="0" style="619" hidden="1" customWidth="1"/>
    <col min="3366" max="3366" width="12.5703125" style="619" customWidth="1"/>
    <col min="3367" max="3584" width="8.85546875" style="619"/>
    <col min="3585" max="3586" width="0.85546875" style="619" customWidth="1"/>
    <col min="3587" max="3587" width="2.7109375" style="619" customWidth="1"/>
    <col min="3588" max="3588" width="35.140625" style="619" customWidth="1"/>
    <col min="3589" max="3589" width="3" style="619" customWidth="1"/>
    <col min="3590" max="3590" width="15.7109375" style="619" customWidth="1"/>
    <col min="3591" max="3599" width="0" style="619" hidden="1" customWidth="1"/>
    <col min="3600" max="3600" width="12.7109375" style="619" customWidth="1"/>
    <col min="3601" max="3602" width="0" style="619" hidden="1" customWidth="1"/>
    <col min="3603" max="3604" width="15.7109375" style="619" customWidth="1"/>
    <col min="3605" max="3613" width="0" style="619" hidden="1" customWidth="1"/>
    <col min="3614" max="3614" width="15.7109375" style="619" customWidth="1"/>
    <col min="3615" max="3616" width="0" style="619" hidden="1" customWidth="1"/>
    <col min="3617" max="3617" width="15.7109375" style="619" customWidth="1"/>
    <col min="3618" max="3618" width="2" style="619" customWidth="1"/>
    <col min="3619" max="3619" width="1.7109375" style="619" customWidth="1"/>
    <col min="3620" max="3620" width="19.85546875" style="619" bestFit="1" customWidth="1"/>
    <col min="3621" max="3621" width="0" style="619" hidden="1" customWidth="1"/>
    <col min="3622" max="3622" width="12.5703125" style="619" customWidth="1"/>
    <col min="3623" max="3840" width="8.85546875" style="619"/>
    <col min="3841" max="3842" width="0.85546875" style="619" customWidth="1"/>
    <col min="3843" max="3843" width="2.7109375" style="619" customWidth="1"/>
    <col min="3844" max="3844" width="35.140625" style="619" customWidth="1"/>
    <col min="3845" max="3845" width="3" style="619" customWidth="1"/>
    <col min="3846" max="3846" width="15.7109375" style="619" customWidth="1"/>
    <col min="3847" max="3855" width="0" style="619" hidden="1" customWidth="1"/>
    <col min="3856" max="3856" width="12.7109375" style="619" customWidth="1"/>
    <col min="3857" max="3858" width="0" style="619" hidden="1" customWidth="1"/>
    <col min="3859" max="3860" width="15.7109375" style="619" customWidth="1"/>
    <col min="3861" max="3869" width="0" style="619" hidden="1" customWidth="1"/>
    <col min="3870" max="3870" width="15.7109375" style="619" customWidth="1"/>
    <col min="3871" max="3872" width="0" style="619" hidden="1" customWidth="1"/>
    <col min="3873" max="3873" width="15.7109375" style="619" customWidth="1"/>
    <col min="3874" max="3874" width="2" style="619" customWidth="1"/>
    <col min="3875" max="3875" width="1.7109375" style="619" customWidth="1"/>
    <col min="3876" max="3876" width="19.85546875" style="619" bestFit="1" customWidth="1"/>
    <col min="3877" max="3877" width="0" style="619" hidden="1" customWidth="1"/>
    <col min="3878" max="3878" width="12.5703125" style="619" customWidth="1"/>
    <col min="3879" max="4096" width="8.85546875" style="619"/>
    <col min="4097" max="4098" width="0.85546875" style="619" customWidth="1"/>
    <col min="4099" max="4099" width="2.7109375" style="619" customWidth="1"/>
    <col min="4100" max="4100" width="35.140625" style="619" customWidth="1"/>
    <col min="4101" max="4101" width="3" style="619" customWidth="1"/>
    <col min="4102" max="4102" width="15.7109375" style="619" customWidth="1"/>
    <col min="4103" max="4111" width="0" style="619" hidden="1" customWidth="1"/>
    <col min="4112" max="4112" width="12.7109375" style="619" customWidth="1"/>
    <col min="4113" max="4114" width="0" style="619" hidden="1" customWidth="1"/>
    <col min="4115" max="4116" width="15.7109375" style="619" customWidth="1"/>
    <col min="4117" max="4125" width="0" style="619" hidden="1" customWidth="1"/>
    <col min="4126" max="4126" width="15.7109375" style="619" customWidth="1"/>
    <col min="4127" max="4128" width="0" style="619" hidden="1" customWidth="1"/>
    <col min="4129" max="4129" width="15.7109375" style="619" customWidth="1"/>
    <col min="4130" max="4130" width="2" style="619" customWidth="1"/>
    <col min="4131" max="4131" width="1.7109375" style="619" customWidth="1"/>
    <col min="4132" max="4132" width="19.85546875" style="619" bestFit="1" customWidth="1"/>
    <col min="4133" max="4133" width="0" style="619" hidden="1" customWidth="1"/>
    <col min="4134" max="4134" width="12.5703125" style="619" customWidth="1"/>
    <col min="4135" max="4352" width="8.85546875" style="619"/>
    <col min="4353" max="4354" width="0.85546875" style="619" customWidth="1"/>
    <col min="4355" max="4355" width="2.7109375" style="619" customWidth="1"/>
    <col min="4356" max="4356" width="35.140625" style="619" customWidth="1"/>
    <col min="4357" max="4357" width="3" style="619" customWidth="1"/>
    <col min="4358" max="4358" width="15.7109375" style="619" customWidth="1"/>
    <col min="4359" max="4367" width="0" style="619" hidden="1" customWidth="1"/>
    <col min="4368" max="4368" width="12.7109375" style="619" customWidth="1"/>
    <col min="4369" max="4370" width="0" style="619" hidden="1" customWidth="1"/>
    <col min="4371" max="4372" width="15.7109375" style="619" customWidth="1"/>
    <col min="4373" max="4381" width="0" style="619" hidden="1" customWidth="1"/>
    <col min="4382" max="4382" width="15.7109375" style="619" customWidth="1"/>
    <col min="4383" max="4384" width="0" style="619" hidden="1" customWidth="1"/>
    <col min="4385" max="4385" width="15.7109375" style="619" customWidth="1"/>
    <col min="4386" max="4386" width="2" style="619" customWidth="1"/>
    <col min="4387" max="4387" width="1.7109375" style="619" customWidth="1"/>
    <col min="4388" max="4388" width="19.85546875" style="619" bestFit="1" customWidth="1"/>
    <col min="4389" max="4389" width="0" style="619" hidden="1" customWidth="1"/>
    <col min="4390" max="4390" width="12.5703125" style="619" customWidth="1"/>
    <col min="4391" max="4608" width="8.85546875" style="619"/>
    <col min="4609" max="4610" width="0.85546875" style="619" customWidth="1"/>
    <col min="4611" max="4611" width="2.7109375" style="619" customWidth="1"/>
    <col min="4612" max="4612" width="35.140625" style="619" customWidth="1"/>
    <col min="4613" max="4613" width="3" style="619" customWidth="1"/>
    <col min="4614" max="4614" width="15.7109375" style="619" customWidth="1"/>
    <col min="4615" max="4623" width="0" style="619" hidden="1" customWidth="1"/>
    <col min="4624" max="4624" width="12.7109375" style="619" customWidth="1"/>
    <col min="4625" max="4626" width="0" style="619" hidden="1" customWidth="1"/>
    <col min="4627" max="4628" width="15.7109375" style="619" customWidth="1"/>
    <col min="4629" max="4637" width="0" style="619" hidden="1" customWidth="1"/>
    <col min="4638" max="4638" width="15.7109375" style="619" customWidth="1"/>
    <col min="4639" max="4640" width="0" style="619" hidden="1" customWidth="1"/>
    <col min="4641" max="4641" width="15.7109375" style="619" customWidth="1"/>
    <col min="4642" max="4642" width="2" style="619" customWidth="1"/>
    <col min="4643" max="4643" width="1.7109375" style="619" customWidth="1"/>
    <col min="4644" max="4644" width="19.85546875" style="619" bestFit="1" customWidth="1"/>
    <col min="4645" max="4645" width="0" style="619" hidden="1" customWidth="1"/>
    <col min="4646" max="4646" width="12.5703125" style="619" customWidth="1"/>
    <col min="4647" max="4864" width="8.85546875" style="619"/>
    <col min="4865" max="4866" width="0.85546875" style="619" customWidth="1"/>
    <col min="4867" max="4867" width="2.7109375" style="619" customWidth="1"/>
    <col min="4868" max="4868" width="35.140625" style="619" customWidth="1"/>
    <col min="4869" max="4869" width="3" style="619" customWidth="1"/>
    <col min="4870" max="4870" width="15.7109375" style="619" customWidth="1"/>
    <col min="4871" max="4879" width="0" style="619" hidden="1" customWidth="1"/>
    <col min="4880" max="4880" width="12.7109375" style="619" customWidth="1"/>
    <col min="4881" max="4882" width="0" style="619" hidden="1" customWidth="1"/>
    <col min="4883" max="4884" width="15.7109375" style="619" customWidth="1"/>
    <col min="4885" max="4893" width="0" style="619" hidden="1" customWidth="1"/>
    <col min="4894" max="4894" width="15.7109375" style="619" customWidth="1"/>
    <col min="4895" max="4896" width="0" style="619" hidden="1" customWidth="1"/>
    <col min="4897" max="4897" width="15.7109375" style="619" customWidth="1"/>
    <col min="4898" max="4898" width="2" style="619" customWidth="1"/>
    <col min="4899" max="4899" width="1.7109375" style="619" customWidth="1"/>
    <col min="4900" max="4900" width="19.85546875" style="619" bestFit="1" customWidth="1"/>
    <col min="4901" max="4901" width="0" style="619" hidden="1" customWidth="1"/>
    <col min="4902" max="4902" width="12.5703125" style="619" customWidth="1"/>
    <col min="4903" max="5120" width="8.85546875" style="619"/>
    <col min="5121" max="5122" width="0.85546875" style="619" customWidth="1"/>
    <col min="5123" max="5123" width="2.7109375" style="619" customWidth="1"/>
    <col min="5124" max="5124" width="35.140625" style="619" customWidth="1"/>
    <col min="5125" max="5125" width="3" style="619" customWidth="1"/>
    <col min="5126" max="5126" width="15.7109375" style="619" customWidth="1"/>
    <col min="5127" max="5135" width="0" style="619" hidden="1" customWidth="1"/>
    <col min="5136" max="5136" width="12.7109375" style="619" customWidth="1"/>
    <col min="5137" max="5138" width="0" style="619" hidden="1" customWidth="1"/>
    <col min="5139" max="5140" width="15.7109375" style="619" customWidth="1"/>
    <col min="5141" max="5149" width="0" style="619" hidden="1" customWidth="1"/>
    <col min="5150" max="5150" width="15.7109375" style="619" customWidth="1"/>
    <col min="5151" max="5152" width="0" style="619" hidden="1" customWidth="1"/>
    <col min="5153" max="5153" width="15.7109375" style="619" customWidth="1"/>
    <col min="5154" max="5154" width="2" style="619" customWidth="1"/>
    <col min="5155" max="5155" width="1.7109375" style="619" customWidth="1"/>
    <col min="5156" max="5156" width="19.85546875" style="619" bestFit="1" customWidth="1"/>
    <col min="5157" max="5157" width="0" style="619" hidden="1" customWidth="1"/>
    <col min="5158" max="5158" width="12.5703125" style="619" customWidth="1"/>
    <col min="5159" max="5376" width="8.85546875" style="619"/>
    <col min="5377" max="5378" width="0.85546875" style="619" customWidth="1"/>
    <col min="5379" max="5379" width="2.7109375" style="619" customWidth="1"/>
    <col min="5380" max="5380" width="35.140625" style="619" customWidth="1"/>
    <col min="5381" max="5381" width="3" style="619" customWidth="1"/>
    <col min="5382" max="5382" width="15.7109375" style="619" customWidth="1"/>
    <col min="5383" max="5391" width="0" style="619" hidden="1" customWidth="1"/>
    <col min="5392" max="5392" width="12.7109375" style="619" customWidth="1"/>
    <col min="5393" max="5394" width="0" style="619" hidden="1" customWidth="1"/>
    <col min="5395" max="5396" width="15.7109375" style="619" customWidth="1"/>
    <col min="5397" max="5405" width="0" style="619" hidden="1" customWidth="1"/>
    <col min="5406" max="5406" width="15.7109375" style="619" customWidth="1"/>
    <col min="5407" max="5408" width="0" style="619" hidden="1" customWidth="1"/>
    <col min="5409" max="5409" width="15.7109375" style="619" customWidth="1"/>
    <col min="5410" max="5410" width="2" style="619" customWidth="1"/>
    <col min="5411" max="5411" width="1.7109375" style="619" customWidth="1"/>
    <col min="5412" max="5412" width="19.85546875" style="619" bestFit="1" customWidth="1"/>
    <col min="5413" max="5413" width="0" style="619" hidden="1" customWidth="1"/>
    <col min="5414" max="5414" width="12.5703125" style="619" customWidth="1"/>
    <col min="5415" max="5632" width="8.85546875" style="619"/>
    <col min="5633" max="5634" width="0.85546875" style="619" customWidth="1"/>
    <col min="5635" max="5635" width="2.7109375" style="619" customWidth="1"/>
    <col min="5636" max="5636" width="35.140625" style="619" customWidth="1"/>
    <col min="5637" max="5637" width="3" style="619" customWidth="1"/>
    <col min="5638" max="5638" width="15.7109375" style="619" customWidth="1"/>
    <col min="5639" max="5647" width="0" style="619" hidden="1" customWidth="1"/>
    <col min="5648" max="5648" width="12.7109375" style="619" customWidth="1"/>
    <col min="5649" max="5650" width="0" style="619" hidden="1" customWidth="1"/>
    <col min="5651" max="5652" width="15.7109375" style="619" customWidth="1"/>
    <col min="5653" max="5661" width="0" style="619" hidden="1" customWidth="1"/>
    <col min="5662" max="5662" width="15.7109375" style="619" customWidth="1"/>
    <col min="5663" max="5664" width="0" style="619" hidden="1" customWidth="1"/>
    <col min="5665" max="5665" width="15.7109375" style="619" customWidth="1"/>
    <col min="5666" max="5666" width="2" style="619" customWidth="1"/>
    <col min="5667" max="5667" width="1.7109375" style="619" customWidth="1"/>
    <col min="5668" max="5668" width="19.85546875" style="619" bestFit="1" customWidth="1"/>
    <col min="5669" max="5669" width="0" style="619" hidden="1" customWidth="1"/>
    <col min="5670" max="5670" width="12.5703125" style="619" customWidth="1"/>
    <col min="5671" max="5888" width="8.85546875" style="619"/>
    <col min="5889" max="5890" width="0.85546875" style="619" customWidth="1"/>
    <col min="5891" max="5891" width="2.7109375" style="619" customWidth="1"/>
    <col min="5892" max="5892" width="35.140625" style="619" customWidth="1"/>
    <col min="5893" max="5893" width="3" style="619" customWidth="1"/>
    <col min="5894" max="5894" width="15.7109375" style="619" customWidth="1"/>
    <col min="5895" max="5903" width="0" style="619" hidden="1" customWidth="1"/>
    <col min="5904" max="5904" width="12.7109375" style="619" customWidth="1"/>
    <col min="5905" max="5906" width="0" style="619" hidden="1" customWidth="1"/>
    <col min="5907" max="5908" width="15.7109375" style="619" customWidth="1"/>
    <col min="5909" max="5917" width="0" style="619" hidden="1" customWidth="1"/>
    <col min="5918" max="5918" width="15.7109375" style="619" customWidth="1"/>
    <col min="5919" max="5920" width="0" style="619" hidden="1" customWidth="1"/>
    <col min="5921" max="5921" width="15.7109375" style="619" customWidth="1"/>
    <col min="5922" max="5922" width="2" style="619" customWidth="1"/>
    <col min="5923" max="5923" width="1.7109375" style="619" customWidth="1"/>
    <col min="5924" max="5924" width="19.85546875" style="619" bestFit="1" customWidth="1"/>
    <col min="5925" max="5925" width="0" style="619" hidden="1" customWidth="1"/>
    <col min="5926" max="5926" width="12.5703125" style="619" customWidth="1"/>
    <col min="5927" max="6144" width="8.85546875" style="619"/>
    <col min="6145" max="6146" width="0.85546875" style="619" customWidth="1"/>
    <col min="6147" max="6147" width="2.7109375" style="619" customWidth="1"/>
    <col min="6148" max="6148" width="35.140625" style="619" customWidth="1"/>
    <col min="6149" max="6149" width="3" style="619" customWidth="1"/>
    <col min="6150" max="6150" width="15.7109375" style="619" customWidth="1"/>
    <col min="6151" max="6159" width="0" style="619" hidden="1" customWidth="1"/>
    <col min="6160" max="6160" width="12.7109375" style="619" customWidth="1"/>
    <col min="6161" max="6162" width="0" style="619" hidden="1" customWidth="1"/>
    <col min="6163" max="6164" width="15.7109375" style="619" customWidth="1"/>
    <col min="6165" max="6173" width="0" style="619" hidden="1" customWidth="1"/>
    <col min="6174" max="6174" width="15.7109375" style="619" customWidth="1"/>
    <col min="6175" max="6176" width="0" style="619" hidden="1" customWidth="1"/>
    <col min="6177" max="6177" width="15.7109375" style="619" customWidth="1"/>
    <col min="6178" max="6178" width="2" style="619" customWidth="1"/>
    <col min="6179" max="6179" width="1.7109375" style="619" customWidth="1"/>
    <col min="6180" max="6180" width="19.85546875" style="619" bestFit="1" customWidth="1"/>
    <col min="6181" max="6181" width="0" style="619" hidden="1" customWidth="1"/>
    <col min="6182" max="6182" width="12.5703125" style="619" customWidth="1"/>
    <col min="6183" max="6400" width="8.85546875" style="619"/>
    <col min="6401" max="6402" width="0.85546875" style="619" customWidth="1"/>
    <col min="6403" max="6403" width="2.7109375" style="619" customWidth="1"/>
    <col min="6404" max="6404" width="35.140625" style="619" customWidth="1"/>
    <col min="6405" max="6405" width="3" style="619" customWidth="1"/>
    <col min="6406" max="6406" width="15.7109375" style="619" customWidth="1"/>
    <col min="6407" max="6415" width="0" style="619" hidden="1" customWidth="1"/>
    <col min="6416" max="6416" width="12.7109375" style="619" customWidth="1"/>
    <col min="6417" max="6418" width="0" style="619" hidden="1" customWidth="1"/>
    <col min="6419" max="6420" width="15.7109375" style="619" customWidth="1"/>
    <col min="6421" max="6429" width="0" style="619" hidden="1" customWidth="1"/>
    <col min="6430" max="6430" width="15.7109375" style="619" customWidth="1"/>
    <col min="6431" max="6432" width="0" style="619" hidden="1" customWidth="1"/>
    <col min="6433" max="6433" width="15.7109375" style="619" customWidth="1"/>
    <col min="6434" max="6434" width="2" style="619" customWidth="1"/>
    <col min="6435" max="6435" width="1.7109375" style="619" customWidth="1"/>
    <col min="6436" max="6436" width="19.85546875" style="619" bestFit="1" customWidth="1"/>
    <col min="6437" max="6437" width="0" style="619" hidden="1" customWidth="1"/>
    <col min="6438" max="6438" width="12.5703125" style="619" customWidth="1"/>
    <col min="6439" max="6656" width="8.85546875" style="619"/>
    <col min="6657" max="6658" width="0.85546875" style="619" customWidth="1"/>
    <col min="6659" max="6659" width="2.7109375" style="619" customWidth="1"/>
    <col min="6660" max="6660" width="35.140625" style="619" customWidth="1"/>
    <col min="6661" max="6661" width="3" style="619" customWidth="1"/>
    <col min="6662" max="6662" width="15.7109375" style="619" customWidth="1"/>
    <col min="6663" max="6671" width="0" style="619" hidden="1" customWidth="1"/>
    <col min="6672" max="6672" width="12.7109375" style="619" customWidth="1"/>
    <col min="6673" max="6674" width="0" style="619" hidden="1" customWidth="1"/>
    <col min="6675" max="6676" width="15.7109375" style="619" customWidth="1"/>
    <col min="6677" max="6685" width="0" style="619" hidden="1" customWidth="1"/>
    <col min="6686" max="6686" width="15.7109375" style="619" customWidth="1"/>
    <col min="6687" max="6688" width="0" style="619" hidden="1" customWidth="1"/>
    <col min="6689" max="6689" width="15.7109375" style="619" customWidth="1"/>
    <col min="6690" max="6690" width="2" style="619" customWidth="1"/>
    <col min="6691" max="6691" width="1.7109375" style="619" customWidth="1"/>
    <col min="6692" max="6692" width="19.85546875" style="619" bestFit="1" customWidth="1"/>
    <col min="6693" max="6693" width="0" style="619" hidden="1" customWidth="1"/>
    <col min="6694" max="6694" width="12.5703125" style="619" customWidth="1"/>
    <col min="6695" max="6912" width="8.85546875" style="619"/>
    <col min="6913" max="6914" width="0.85546875" style="619" customWidth="1"/>
    <col min="6915" max="6915" width="2.7109375" style="619" customWidth="1"/>
    <col min="6916" max="6916" width="35.140625" style="619" customWidth="1"/>
    <col min="6917" max="6917" width="3" style="619" customWidth="1"/>
    <col min="6918" max="6918" width="15.7109375" style="619" customWidth="1"/>
    <col min="6919" max="6927" width="0" style="619" hidden="1" customWidth="1"/>
    <col min="6928" max="6928" width="12.7109375" style="619" customWidth="1"/>
    <col min="6929" max="6930" width="0" style="619" hidden="1" customWidth="1"/>
    <col min="6931" max="6932" width="15.7109375" style="619" customWidth="1"/>
    <col min="6933" max="6941" width="0" style="619" hidden="1" customWidth="1"/>
    <col min="6942" max="6942" width="15.7109375" style="619" customWidth="1"/>
    <col min="6943" max="6944" width="0" style="619" hidden="1" customWidth="1"/>
    <col min="6945" max="6945" width="15.7109375" style="619" customWidth="1"/>
    <col min="6946" max="6946" width="2" style="619" customWidth="1"/>
    <col min="6947" max="6947" width="1.7109375" style="619" customWidth="1"/>
    <col min="6948" max="6948" width="19.85546875" style="619" bestFit="1" customWidth="1"/>
    <col min="6949" max="6949" width="0" style="619" hidden="1" customWidth="1"/>
    <col min="6950" max="6950" width="12.5703125" style="619" customWidth="1"/>
    <col min="6951" max="7168" width="8.85546875" style="619"/>
    <col min="7169" max="7170" width="0.85546875" style="619" customWidth="1"/>
    <col min="7171" max="7171" width="2.7109375" style="619" customWidth="1"/>
    <col min="7172" max="7172" width="35.140625" style="619" customWidth="1"/>
    <col min="7173" max="7173" width="3" style="619" customWidth="1"/>
    <col min="7174" max="7174" width="15.7109375" style="619" customWidth="1"/>
    <col min="7175" max="7183" width="0" style="619" hidden="1" customWidth="1"/>
    <col min="7184" max="7184" width="12.7109375" style="619" customWidth="1"/>
    <col min="7185" max="7186" width="0" style="619" hidden="1" customWidth="1"/>
    <col min="7187" max="7188" width="15.7109375" style="619" customWidth="1"/>
    <col min="7189" max="7197" width="0" style="619" hidden="1" customWidth="1"/>
    <col min="7198" max="7198" width="15.7109375" style="619" customWidth="1"/>
    <col min="7199" max="7200" width="0" style="619" hidden="1" customWidth="1"/>
    <col min="7201" max="7201" width="15.7109375" style="619" customWidth="1"/>
    <col min="7202" max="7202" width="2" style="619" customWidth="1"/>
    <col min="7203" max="7203" width="1.7109375" style="619" customWidth="1"/>
    <col min="7204" max="7204" width="19.85546875" style="619" bestFit="1" customWidth="1"/>
    <col min="7205" max="7205" width="0" style="619" hidden="1" customWidth="1"/>
    <col min="7206" max="7206" width="12.5703125" style="619" customWidth="1"/>
    <col min="7207" max="7424" width="8.85546875" style="619"/>
    <col min="7425" max="7426" width="0.85546875" style="619" customWidth="1"/>
    <col min="7427" max="7427" width="2.7109375" style="619" customWidth="1"/>
    <col min="7428" max="7428" width="35.140625" style="619" customWidth="1"/>
    <col min="7429" max="7429" width="3" style="619" customWidth="1"/>
    <col min="7430" max="7430" width="15.7109375" style="619" customWidth="1"/>
    <col min="7431" max="7439" width="0" style="619" hidden="1" customWidth="1"/>
    <col min="7440" max="7440" width="12.7109375" style="619" customWidth="1"/>
    <col min="7441" max="7442" width="0" style="619" hidden="1" customWidth="1"/>
    <col min="7443" max="7444" width="15.7109375" style="619" customWidth="1"/>
    <col min="7445" max="7453" width="0" style="619" hidden="1" customWidth="1"/>
    <col min="7454" max="7454" width="15.7109375" style="619" customWidth="1"/>
    <col min="7455" max="7456" width="0" style="619" hidden="1" customWidth="1"/>
    <col min="7457" max="7457" width="15.7109375" style="619" customWidth="1"/>
    <col min="7458" max="7458" width="2" style="619" customWidth="1"/>
    <col min="7459" max="7459" width="1.7109375" style="619" customWidth="1"/>
    <col min="7460" max="7460" width="19.85546875" style="619" bestFit="1" customWidth="1"/>
    <col min="7461" max="7461" width="0" style="619" hidden="1" customWidth="1"/>
    <col min="7462" max="7462" width="12.5703125" style="619" customWidth="1"/>
    <col min="7463" max="7680" width="8.85546875" style="619"/>
    <col min="7681" max="7682" width="0.85546875" style="619" customWidth="1"/>
    <col min="7683" max="7683" width="2.7109375" style="619" customWidth="1"/>
    <col min="7684" max="7684" width="35.140625" style="619" customWidth="1"/>
    <col min="7685" max="7685" width="3" style="619" customWidth="1"/>
    <col min="7686" max="7686" width="15.7109375" style="619" customWidth="1"/>
    <col min="7687" max="7695" width="0" style="619" hidden="1" customWidth="1"/>
    <col min="7696" max="7696" width="12.7109375" style="619" customWidth="1"/>
    <col min="7697" max="7698" width="0" style="619" hidden="1" customWidth="1"/>
    <col min="7699" max="7700" width="15.7109375" style="619" customWidth="1"/>
    <col min="7701" max="7709" width="0" style="619" hidden="1" customWidth="1"/>
    <col min="7710" max="7710" width="15.7109375" style="619" customWidth="1"/>
    <col min="7711" max="7712" width="0" style="619" hidden="1" customWidth="1"/>
    <col min="7713" max="7713" width="15.7109375" style="619" customWidth="1"/>
    <col min="7714" max="7714" width="2" style="619" customWidth="1"/>
    <col min="7715" max="7715" width="1.7109375" style="619" customWidth="1"/>
    <col min="7716" max="7716" width="19.85546875" style="619" bestFit="1" customWidth="1"/>
    <col min="7717" max="7717" width="0" style="619" hidden="1" customWidth="1"/>
    <col min="7718" max="7718" width="12.5703125" style="619" customWidth="1"/>
    <col min="7719" max="7936" width="8.85546875" style="619"/>
    <col min="7937" max="7938" width="0.85546875" style="619" customWidth="1"/>
    <col min="7939" max="7939" width="2.7109375" style="619" customWidth="1"/>
    <col min="7940" max="7940" width="35.140625" style="619" customWidth="1"/>
    <col min="7941" max="7941" width="3" style="619" customWidth="1"/>
    <col min="7942" max="7942" width="15.7109375" style="619" customWidth="1"/>
    <col min="7943" max="7951" width="0" style="619" hidden="1" customWidth="1"/>
    <col min="7952" max="7952" width="12.7109375" style="619" customWidth="1"/>
    <col min="7953" max="7954" width="0" style="619" hidden="1" customWidth="1"/>
    <col min="7955" max="7956" width="15.7109375" style="619" customWidth="1"/>
    <col min="7957" max="7965" width="0" style="619" hidden="1" customWidth="1"/>
    <col min="7966" max="7966" width="15.7109375" style="619" customWidth="1"/>
    <col min="7967" max="7968" width="0" style="619" hidden="1" customWidth="1"/>
    <col min="7969" max="7969" width="15.7109375" style="619" customWidth="1"/>
    <col min="7970" max="7970" width="2" style="619" customWidth="1"/>
    <col min="7971" max="7971" width="1.7109375" style="619" customWidth="1"/>
    <col min="7972" max="7972" width="19.85546875" style="619" bestFit="1" customWidth="1"/>
    <col min="7973" max="7973" width="0" style="619" hidden="1" customWidth="1"/>
    <col min="7974" max="7974" width="12.5703125" style="619" customWidth="1"/>
    <col min="7975" max="8192" width="8.85546875" style="619"/>
    <col min="8193" max="8194" width="0.85546875" style="619" customWidth="1"/>
    <col min="8195" max="8195" width="2.7109375" style="619" customWidth="1"/>
    <col min="8196" max="8196" width="35.140625" style="619" customWidth="1"/>
    <col min="8197" max="8197" width="3" style="619" customWidth="1"/>
    <col min="8198" max="8198" width="15.7109375" style="619" customWidth="1"/>
    <col min="8199" max="8207" width="0" style="619" hidden="1" customWidth="1"/>
    <col min="8208" max="8208" width="12.7109375" style="619" customWidth="1"/>
    <col min="8209" max="8210" width="0" style="619" hidden="1" customWidth="1"/>
    <col min="8211" max="8212" width="15.7109375" style="619" customWidth="1"/>
    <col min="8213" max="8221" width="0" style="619" hidden="1" customWidth="1"/>
    <col min="8222" max="8222" width="15.7109375" style="619" customWidth="1"/>
    <col min="8223" max="8224" width="0" style="619" hidden="1" customWidth="1"/>
    <col min="8225" max="8225" width="15.7109375" style="619" customWidth="1"/>
    <col min="8226" max="8226" width="2" style="619" customWidth="1"/>
    <col min="8227" max="8227" width="1.7109375" style="619" customWidth="1"/>
    <col min="8228" max="8228" width="19.85546875" style="619" bestFit="1" customWidth="1"/>
    <col min="8229" max="8229" width="0" style="619" hidden="1" customWidth="1"/>
    <col min="8230" max="8230" width="12.5703125" style="619" customWidth="1"/>
    <col min="8231" max="8448" width="8.85546875" style="619"/>
    <col min="8449" max="8450" width="0.85546875" style="619" customWidth="1"/>
    <col min="8451" max="8451" width="2.7109375" style="619" customWidth="1"/>
    <col min="8452" max="8452" width="35.140625" style="619" customWidth="1"/>
    <col min="8453" max="8453" width="3" style="619" customWidth="1"/>
    <col min="8454" max="8454" width="15.7109375" style="619" customWidth="1"/>
    <col min="8455" max="8463" width="0" style="619" hidden="1" customWidth="1"/>
    <col min="8464" max="8464" width="12.7109375" style="619" customWidth="1"/>
    <col min="8465" max="8466" width="0" style="619" hidden="1" customWidth="1"/>
    <col min="8467" max="8468" width="15.7109375" style="619" customWidth="1"/>
    <col min="8469" max="8477" width="0" style="619" hidden="1" customWidth="1"/>
    <col min="8478" max="8478" width="15.7109375" style="619" customWidth="1"/>
    <col min="8479" max="8480" width="0" style="619" hidden="1" customWidth="1"/>
    <col min="8481" max="8481" width="15.7109375" style="619" customWidth="1"/>
    <col min="8482" max="8482" width="2" style="619" customWidth="1"/>
    <col min="8483" max="8483" width="1.7109375" style="619" customWidth="1"/>
    <col min="8484" max="8484" width="19.85546875" style="619" bestFit="1" customWidth="1"/>
    <col min="8485" max="8485" width="0" style="619" hidden="1" customWidth="1"/>
    <col min="8486" max="8486" width="12.5703125" style="619" customWidth="1"/>
    <col min="8487" max="8704" width="8.85546875" style="619"/>
    <col min="8705" max="8706" width="0.85546875" style="619" customWidth="1"/>
    <col min="8707" max="8707" width="2.7109375" style="619" customWidth="1"/>
    <col min="8708" max="8708" width="35.140625" style="619" customWidth="1"/>
    <col min="8709" max="8709" width="3" style="619" customWidth="1"/>
    <col min="8710" max="8710" width="15.7109375" style="619" customWidth="1"/>
    <col min="8711" max="8719" width="0" style="619" hidden="1" customWidth="1"/>
    <col min="8720" max="8720" width="12.7109375" style="619" customWidth="1"/>
    <col min="8721" max="8722" width="0" style="619" hidden="1" customWidth="1"/>
    <col min="8723" max="8724" width="15.7109375" style="619" customWidth="1"/>
    <col min="8725" max="8733" width="0" style="619" hidden="1" customWidth="1"/>
    <col min="8734" max="8734" width="15.7109375" style="619" customWidth="1"/>
    <col min="8735" max="8736" width="0" style="619" hidden="1" customWidth="1"/>
    <col min="8737" max="8737" width="15.7109375" style="619" customWidth="1"/>
    <col min="8738" max="8738" width="2" style="619" customWidth="1"/>
    <col min="8739" max="8739" width="1.7109375" style="619" customWidth="1"/>
    <col min="8740" max="8740" width="19.85546875" style="619" bestFit="1" customWidth="1"/>
    <col min="8741" max="8741" width="0" style="619" hidden="1" customWidth="1"/>
    <col min="8742" max="8742" width="12.5703125" style="619" customWidth="1"/>
    <col min="8743" max="8960" width="8.85546875" style="619"/>
    <col min="8961" max="8962" width="0.85546875" style="619" customWidth="1"/>
    <col min="8963" max="8963" width="2.7109375" style="619" customWidth="1"/>
    <col min="8964" max="8964" width="35.140625" style="619" customWidth="1"/>
    <col min="8965" max="8965" width="3" style="619" customWidth="1"/>
    <col min="8966" max="8966" width="15.7109375" style="619" customWidth="1"/>
    <col min="8967" max="8975" width="0" style="619" hidden="1" customWidth="1"/>
    <col min="8976" max="8976" width="12.7109375" style="619" customWidth="1"/>
    <col min="8977" max="8978" width="0" style="619" hidden="1" customWidth="1"/>
    <col min="8979" max="8980" width="15.7109375" style="619" customWidth="1"/>
    <col min="8981" max="8989" width="0" style="619" hidden="1" customWidth="1"/>
    <col min="8990" max="8990" width="15.7109375" style="619" customWidth="1"/>
    <col min="8991" max="8992" width="0" style="619" hidden="1" customWidth="1"/>
    <col min="8993" max="8993" width="15.7109375" style="619" customWidth="1"/>
    <col min="8994" max="8994" width="2" style="619" customWidth="1"/>
    <col min="8995" max="8995" width="1.7109375" style="619" customWidth="1"/>
    <col min="8996" max="8996" width="19.85546875" style="619" bestFit="1" customWidth="1"/>
    <col min="8997" max="8997" width="0" style="619" hidden="1" customWidth="1"/>
    <col min="8998" max="8998" width="12.5703125" style="619" customWidth="1"/>
    <col min="8999" max="9216" width="8.85546875" style="619"/>
    <col min="9217" max="9218" width="0.85546875" style="619" customWidth="1"/>
    <col min="9219" max="9219" width="2.7109375" style="619" customWidth="1"/>
    <col min="9220" max="9220" width="35.140625" style="619" customWidth="1"/>
    <col min="9221" max="9221" width="3" style="619" customWidth="1"/>
    <col min="9222" max="9222" width="15.7109375" style="619" customWidth="1"/>
    <col min="9223" max="9231" width="0" style="619" hidden="1" customWidth="1"/>
    <col min="9232" max="9232" width="12.7109375" style="619" customWidth="1"/>
    <col min="9233" max="9234" width="0" style="619" hidden="1" customWidth="1"/>
    <col min="9235" max="9236" width="15.7109375" style="619" customWidth="1"/>
    <col min="9237" max="9245" width="0" style="619" hidden="1" customWidth="1"/>
    <col min="9246" max="9246" width="15.7109375" style="619" customWidth="1"/>
    <col min="9247" max="9248" width="0" style="619" hidden="1" customWidth="1"/>
    <col min="9249" max="9249" width="15.7109375" style="619" customWidth="1"/>
    <col min="9250" max="9250" width="2" style="619" customWidth="1"/>
    <col min="9251" max="9251" width="1.7109375" style="619" customWidth="1"/>
    <col min="9252" max="9252" width="19.85546875" style="619" bestFit="1" customWidth="1"/>
    <col min="9253" max="9253" width="0" style="619" hidden="1" customWidth="1"/>
    <col min="9254" max="9254" width="12.5703125" style="619" customWidth="1"/>
    <col min="9255" max="9472" width="8.85546875" style="619"/>
    <col min="9473" max="9474" width="0.85546875" style="619" customWidth="1"/>
    <col min="9475" max="9475" width="2.7109375" style="619" customWidth="1"/>
    <col min="9476" max="9476" width="35.140625" style="619" customWidth="1"/>
    <col min="9477" max="9477" width="3" style="619" customWidth="1"/>
    <col min="9478" max="9478" width="15.7109375" style="619" customWidth="1"/>
    <col min="9479" max="9487" width="0" style="619" hidden="1" customWidth="1"/>
    <col min="9488" max="9488" width="12.7109375" style="619" customWidth="1"/>
    <col min="9489" max="9490" width="0" style="619" hidden="1" customWidth="1"/>
    <col min="9491" max="9492" width="15.7109375" style="619" customWidth="1"/>
    <col min="9493" max="9501" width="0" style="619" hidden="1" customWidth="1"/>
    <col min="9502" max="9502" width="15.7109375" style="619" customWidth="1"/>
    <col min="9503" max="9504" width="0" style="619" hidden="1" customWidth="1"/>
    <col min="9505" max="9505" width="15.7109375" style="619" customWidth="1"/>
    <col min="9506" max="9506" width="2" style="619" customWidth="1"/>
    <col min="9507" max="9507" width="1.7109375" style="619" customWidth="1"/>
    <col min="9508" max="9508" width="19.85546875" style="619" bestFit="1" customWidth="1"/>
    <col min="9509" max="9509" width="0" style="619" hidden="1" customWidth="1"/>
    <col min="9510" max="9510" width="12.5703125" style="619" customWidth="1"/>
    <col min="9511" max="9728" width="8.85546875" style="619"/>
    <col min="9729" max="9730" width="0.85546875" style="619" customWidth="1"/>
    <col min="9731" max="9731" width="2.7109375" style="619" customWidth="1"/>
    <col min="9732" max="9732" width="35.140625" style="619" customWidth="1"/>
    <col min="9733" max="9733" width="3" style="619" customWidth="1"/>
    <col min="9734" max="9734" width="15.7109375" style="619" customWidth="1"/>
    <col min="9735" max="9743" width="0" style="619" hidden="1" customWidth="1"/>
    <col min="9744" max="9744" width="12.7109375" style="619" customWidth="1"/>
    <col min="9745" max="9746" width="0" style="619" hidden="1" customWidth="1"/>
    <col min="9747" max="9748" width="15.7109375" style="619" customWidth="1"/>
    <col min="9749" max="9757" width="0" style="619" hidden="1" customWidth="1"/>
    <col min="9758" max="9758" width="15.7109375" style="619" customWidth="1"/>
    <col min="9759" max="9760" width="0" style="619" hidden="1" customWidth="1"/>
    <col min="9761" max="9761" width="15.7109375" style="619" customWidth="1"/>
    <col min="9762" max="9762" width="2" style="619" customWidth="1"/>
    <col min="9763" max="9763" width="1.7109375" style="619" customWidth="1"/>
    <col min="9764" max="9764" width="19.85546875" style="619" bestFit="1" customWidth="1"/>
    <col min="9765" max="9765" width="0" style="619" hidden="1" customWidth="1"/>
    <col min="9766" max="9766" width="12.5703125" style="619" customWidth="1"/>
    <col min="9767" max="9984" width="8.85546875" style="619"/>
    <col min="9985" max="9986" width="0.85546875" style="619" customWidth="1"/>
    <col min="9987" max="9987" width="2.7109375" style="619" customWidth="1"/>
    <col min="9988" max="9988" width="35.140625" style="619" customWidth="1"/>
    <col min="9989" max="9989" width="3" style="619" customWidth="1"/>
    <col min="9990" max="9990" width="15.7109375" style="619" customWidth="1"/>
    <col min="9991" max="9999" width="0" style="619" hidden="1" customWidth="1"/>
    <col min="10000" max="10000" width="12.7109375" style="619" customWidth="1"/>
    <col min="10001" max="10002" width="0" style="619" hidden="1" customWidth="1"/>
    <col min="10003" max="10004" width="15.7109375" style="619" customWidth="1"/>
    <col min="10005" max="10013" width="0" style="619" hidden="1" customWidth="1"/>
    <col min="10014" max="10014" width="15.7109375" style="619" customWidth="1"/>
    <col min="10015" max="10016" width="0" style="619" hidden="1" customWidth="1"/>
    <col min="10017" max="10017" width="15.7109375" style="619" customWidth="1"/>
    <col min="10018" max="10018" width="2" style="619" customWidth="1"/>
    <col min="10019" max="10019" width="1.7109375" style="619" customWidth="1"/>
    <col min="10020" max="10020" width="19.85546875" style="619" bestFit="1" customWidth="1"/>
    <col min="10021" max="10021" width="0" style="619" hidden="1" customWidth="1"/>
    <col min="10022" max="10022" width="12.5703125" style="619" customWidth="1"/>
    <col min="10023" max="10240" width="8.85546875" style="619"/>
    <col min="10241" max="10242" width="0.85546875" style="619" customWidth="1"/>
    <col min="10243" max="10243" width="2.7109375" style="619" customWidth="1"/>
    <col min="10244" max="10244" width="35.140625" style="619" customWidth="1"/>
    <col min="10245" max="10245" width="3" style="619" customWidth="1"/>
    <col min="10246" max="10246" width="15.7109375" style="619" customWidth="1"/>
    <col min="10247" max="10255" width="0" style="619" hidden="1" customWidth="1"/>
    <col min="10256" max="10256" width="12.7109375" style="619" customWidth="1"/>
    <col min="10257" max="10258" width="0" style="619" hidden="1" customWidth="1"/>
    <col min="10259" max="10260" width="15.7109375" style="619" customWidth="1"/>
    <col min="10261" max="10269" width="0" style="619" hidden="1" customWidth="1"/>
    <col min="10270" max="10270" width="15.7109375" style="619" customWidth="1"/>
    <col min="10271" max="10272" width="0" style="619" hidden="1" customWidth="1"/>
    <col min="10273" max="10273" width="15.7109375" style="619" customWidth="1"/>
    <col min="10274" max="10274" width="2" style="619" customWidth="1"/>
    <col min="10275" max="10275" width="1.7109375" style="619" customWidth="1"/>
    <col min="10276" max="10276" width="19.85546875" style="619" bestFit="1" customWidth="1"/>
    <col min="10277" max="10277" width="0" style="619" hidden="1" customWidth="1"/>
    <col min="10278" max="10278" width="12.5703125" style="619" customWidth="1"/>
    <col min="10279" max="10496" width="8.85546875" style="619"/>
    <col min="10497" max="10498" width="0.85546875" style="619" customWidth="1"/>
    <col min="10499" max="10499" width="2.7109375" style="619" customWidth="1"/>
    <col min="10500" max="10500" width="35.140625" style="619" customWidth="1"/>
    <col min="10501" max="10501" width="3" style="619" customWidth="1"/>
    <col min="10502" max="10502" width="15.7109375" style="619" customWidth="1"/>
    <col min="10503" max="10511" width="0" style="619" hidden="1" customWidth="1"/>
    <col min="10512" max="10512" width="12.7109375" style="619" customWidth="1"/>
    <col min="10513" max="10514" width="0" style="619" hidden="1" customWidth="1"/>
    <col min="10515" max="10516" width="15.7109375" style="619" customWidth="1"/>
    <col min="10517" max="10525" width="0" style="619" hidden="1" customWidth="1"/>
    <col min="10526" max="10526" width="15.7109375" style="619" customWidth="1"/>
    <col min="10527" max="10528" width="0" style="619" hidden="1" customWidth="1"/>
    <col min="10529" max="10529" width="15.7109375" style="619" customWidth="1"/>
    <col min="10530" max="10530" width="2" style="619" customWidth="1"/>
    <col min="10531" max="10531" width="1.7109375" style="619" customWidth="1"/>
    <col min="10532" max="10532" width="19.85546875" style="619" bestFit="1" customWidth="1"/>
    <col min="10533" max="10533" width="0" style="619" hidden="1" customWidth="1"/>
    <col min="10534" max="10534" width="12.5703125" style="619" customWidth="1"/>
    <col min="10535" max="10752" width="8.85546875" style="619"/>
    <col min="10753" max="10754" width="0.85546875" style="619" customWidth="1"/>
    <col min="10755" max="10755" width="2.7109375" style="619" customWidth="1"/>
    <col min="10756" max="10756" width="35.140625" style="619" customWidth="1"/>
    <col min="10757" max="10757" width="3" style="619" customWidth="1"/>
    <col min="10758" max="10758" width="15.7109375" style="619" customWidth="1"/>
    <col min="10759" max="10767" width="0" style="619" hidden="1" customWidth="1"/>
    <col min="10768" max="10768" width="12.7109375" style="619" customWidth="1"/>
    <col min="10769" max="10770" width="0" style="619" hidden="1" customWidth="1"/>
    <col min="10771" max="10772" width="15.7109375" style="619" customWidth="1"/>
    <col min="10773" max="10781" width="0" style="619" hidden="1" customWidth="1"/>
    <col min="10782" max="10782" width="15.7109375" style="619" customWidth="1"/>
    <col min="10783" max="10784" width="0" style="619" hidden="1" customWidth="1"/>
    <col min="10785" max="10785" width="15.7109375" style="619" customWidth="1"/>
    <col min="10786" max="10786" width="2" style="619" customWidth="1"/>
    <col min="10787" max="10787" width="1.7109375" style="619" customWidth="1"/>
    <col min="10788" max="10788" width="19.85546875" style="619" bestFit="1" customWidth="1"/>
    <col min="10789" max="10789" width="0" style="619" hidden="1" customWidth="1"/>
    <col min="10790" max="10790" width="12.5703125" style="619" customWidth="1"/>
    <col min="10791" max="11008" width="8.85546875" style="619"/>
    <col min="11009" max="11010" width="0.85546875" style="619" customWidth="1"/>
    <col min="11011" max="11011" width="2.7109375" style="619" customWidth="1"/>
    <col min="11012" max="11012" width="35.140625" style="619" customWidth="1"/>
    <col min="11013" max="11013" width="3" style="619" customWidth="1"/>
    <col min="11014" max="11014" width="15.7109375" style="619" customWidth="1"/>
    <col min="11015" max="11023" width="0" style="619" hidden="1" customWidth="1"/>
    <col min="11024" max="11024" width="12.7109375" style="619" customWidth="1"/>
    <col min="11025" max="11026" width="0" style="619" hidden="1" customWidth="1"/>
    <col min="11027" max="11028" width="15.7109375" style="619" customWidth="1"/>
    <col min="11029" max="11037" width="0" style="619" hidden="1" customWidth="1"/>
    <col min="11038" max="11038" width="15.7109375" style="619" customWidth="1"/>
    <col min="11039" max="11040" width="0" style="619" hidden="1" customWidth="1"/>
    <col min="11041" max="11041" width="15.7109375" style="619" customWidth="1"/>
    <col min="11042" max="11042" width="2" style="619" customWidth="1"/>
    <col min="11043" max="11043" width="1.7109375" style="619" customWidth="1"/>
    <col min="11044" max="11044" width="19.85546875" style="619" bestFit="1" customWidth="1"/>
    <col min="11045" max="11045" width="0" style="619" hidden="1" customWidth="1"/>
    <col min="11046" max="11046" width="12.5703125" style="619" customWidth="1"/>
    <col min="11047" max="11264" width="8.85546875" style="619"/>
    <col min="11265" max="11266" width="0.85546875" style="619" customWidth="1"/>
    <col min="11267" max="11267" width="2.7109375" style="619" customWidth="1"/>
    <col min="11268" max="11268" width="35.140625" style="619" customWidth="1"/>
    <col min="11269" max="11269" width="3" style="619" customWidth="1"/>
    <col min="11270" max="11270" width="15.7109375" style="619" customWidth="1"/>
    <col min="11271" max="11279" width="0" style="619" hidden="1" customWidth="1"/>
    <col min="11280" max="11280" width="12.7109375" style="619" customWidth="1"/>
    <col min="11281" max="11282" width="0" style="619" hidden="1" customWidth="1"/>
    <col min="11283" max="11284" width="15.7109375" style="619" customWidth="1"/>
    <col min="11285" max="11293" width="0" style="619" hidden="1" customWidth="1"/>
    <col min="11294" max="11294" width="15.7109375" style="619" customWidth="1"/>
    <col min="11295" max="11296" width="0" style="619" hidden="1" customWidth="1"/>
    <col min="11297" max="11297" width="15.7109375" style="619" customWidth="1"/>
    <col min="11298" max="11298" width="2" style="619" customWidth="1"/>
    <col min="11299" max="11299" width="1.7109375" style="619" customWidth="1"/>
    <col min="11300" max="11300" width="19.85546875" style="619" bestFit="1" customWidth="1"/>
    <col min="11301" max="11301" width="0" style="619" hidden="1" customWidth="1"/>
    <col min="11302" max="11302" width="12.5703125" style="619" customWidth="1"/>
    <col min="11303" max="11520" width="8.85546875" style="619"/>
    <col min="11521" max="11522" width="0.85546875" style="619" customWidth="1"/>
    <col min="11523" max="11523" width="2.7109375" style="619" customWidth="1"/>
    <col min="11524" max="11524" width="35.140625" style="619" customWidth="1"/>
    <col min="11525" max="11525" width="3" style="619" customWidth="1"/>
    <col min="11526" max="11526" width="15.7109375" style="619" customWidth="1"/>
    <col min="11527" max="11535" width="0" style="619" hidden="1" customWidth="1"/>
    <col min="11536" max="11536" width="12.7109375" style="619" customWidth="1"/>
    <col min="11537" max="11538" width="0" style="619" hidden="1" customWidth="1"/>
    <col min="11539" max="11540" width="15.7109375" style="619" customWidth="1"/>
    <col min="11541" max="11549" width="0" style="619" hidden="1" customWidth="1"/>
    <col min="11550" max="11550" width="15.7109375" style="619" customWidth="1"/>
    <col min="11551" max="11552" width="0" style="619" hidden="1" customWidth="1"/>
    <col min="11553" max="11553" width="15.7109375" style="619" customWidth="1"/>
    <col min="11554" max="11554" width="2" style="619" customWidth="1"/>
    <col min="11555" max="11555" width="1.7109375" style="619" customWidth="1"/>
    <col min="11556" max="11556" width="19.85546875" style="619" bestFit="1" customWidth="1"/>
    <col min="11557" max="11557" width="0" style="619" hidden="1" customWidth="1"/>
    <col min="11558" max="11558" width="12.5703125" style="619" customWidth="1"/>
    <col min="11559" max="11776" width="8.85546875" style="619"/>
    <col min="11777" max="11778" width="0.85546875" style="619" customWidth="1"/>
    <col min="11779" max="11779" width="2.7109375" style="619" customWidth="1"/>
    <col min="11780" max="11780" width="35.140625" style="619" customWidth="1"/>
    <col min="11781" max="11781" width="3" style="619" customWidth="1"/>
    <col min="11782" max="11782" width="15.7109375" style="619" customWidth="1"/>
    <col min="11783" max="11791" width="0" style="619" hidden="1" customWidth="1"/>
    <col min="11792" max="11792" width="12.7109375" style="619" customWidth="1"/>
    <col min="11793" max="11794" width="0" style="619" hidden="1" customWidth="1"/>
    <col min="11795" max="11796" width="15.7109375" style="619" customWidth="1"/>
    <col min="11797" max="11805" width="0" style="619" hidden="1" customWidth="1"/>
    <col min="11806" max="11806" width="15.7109375" style="619" customWidth="1"/>
    <col min="11807" max="11808" width="0" style="619" hidden="1" customWidth="1"/>
    <col min="11809" max="11809" width="15.7109375" style="619" customWidth="1"/>
    <col min="11810" max="11810" width="2" style="619" customWidth="1"/>
    <col min="11811" max="11811" width="1.7109375" style="619" customWidth="1"/>
    <col min="11812" max="11812" width="19.85546875" style="619" bestFit="1" customWidth="1"/>
    <col min="11813" max="11813" width="0" style="619" hidden="1" customWidth="1"/>
    <col min="11814" max="11814" width="12.5703125" style="619" customWidth="1"/>
    <col min="11815" max="12032" width="8.85546875" style="619"/>
    <col min="12033" max="12034" width="0.85546875" style="619" customWidth="1"/>
    <col min="12035" max="12035" width="2.7109375" style="619" customWidth="1"/>
    <col min="12036" max="12036" width="35.140625" style="619" customWidth="1"/>
    <col min="12037" max="12037" width="3" style="619" customWidth="1"/>
    <col min="12038" max="12038" width="15.7109375" style="619" customWidth="1"/>
    <col min="12039" max="12047" width="0" style="619" hidden="1" customWidth="1"/>
    <col min="12048" max="12048" width="12.7109375" style="619" customWidth="1"/>
    <col min="12049" max="12050" width="0" style="619" hidden="1" customWidth="1"/>
    <col min="12051" max="12052" width="15.7109375" style="619" customWidth="1"/>
    <col min="12053" max="12061" width="0" style="619" hidden="1" customWidth="1"/>
    <col min="12062" max="12062" width="15.7109375" style="619" customWidth="1"/>
    <col min="12063" max="12064" width="0" style="619" hidden="1" customWidth="1"/>
    <col min="12065" max="12065" width="15.7109375" style="619" customWidth="1"/>
    <col min="12066" max="12066" width="2" style="619" customWidth="1"/>
    <col min="12067" max="12067" width="1.7109375" style="619" customWidth="1"/>
    <col min="12068" max="12068" width="19.85546875" style="619" bestFit="1" customWidth="1"/>
    <col min="12069" max="12069" width="0" style="619" hidden="1" customWidth="1"/>
    <col min="12070" max="12070" width="12.5703125" style="619" customWidth="1"/>
    <col min="12071" max="12288" width="8.85546875" style="619"/>
    <col min="12289" max="12290" width="0.85546875" style="619" customWidth="1"/>
    <col min="12291" max="12291" width="2.7109375" style="619" customWidth="1"/>
    <col min="12292" max="12292" width="35.140625" style="619" customWidth="1"/>
    <col min="12293" max="12293" width="3" style="619" customWidth="1"/>
    <col min="12294" max="12294" width="15.7109375" style="619" customWidth="1"/>
    <col min="12295" max="12303" width="0" style="619" hidden="1" customWidth="1"/>
    <col min="12304" max="12304" width="12.7109375" style="619" customWidth="1"/>
    <col min="12305" max="12306" width="0" style="619" hidden="1" customWidth="1"/>
    <col min="12307" max="12308" width="15.7109375" style="619" customWidth="1"/>
    <col min="12309" max="12317" width="0" style="619" hidden="1" customWidth="1"/>
    <col min="12318" max="12318" width="15.7109375" style="619" customWidth="1"/>
    <col min="12319" max="12320" width="0" style="619" hidden="1" customWidth="1"/>
    <col min="12321" max="12321" width="15.7109375" style="619" customWidth="1"/>
    <col min="12322" max="12322" width="2" style="619" customWidth="1"/>
    <col min="12323" max="12323" width="1.7109375" style="619" customWidth="1"/>
    <col min="12324" max="12324" width="19.85546875" style="619" bestFit="1" customWidth="1"/>
    <col min="12325" max="12325" width="0" style="619" hidden="1" customWidth="1"/>
    <col min="12326" max="12326" width="12.5703125" style="619" customWidth="1"/>
    <col min="12327" max="12544" width="8.85546875" style="619"/>
    <col min="12545" max="12546" width="0.85546875" style="619" customWidth="1"/>
    <col min="12547" max="12547" width="2.7109375" style="619" customWidth="1"/>
    <col min="12548" max="12548" width="35.140625" style="619" customWidth="1"/>
    <col min="12549" max="12549" width="3" style="619" customWidth="1"/>
    <col min="12550" max="12550" width="15.7109375" style="619" customWidth="1"/>
    <col min="12551" max="12559" width="0" style="619" hidden="1" customWidth="1"/>
    <col min="12560" max="12560" width="12.7109375" style="619" customWidth="1"/>
    <col min="12561" max="12562" width="0" style="619" hidden="1" customWidth="1"/>
    <col min="12563" max="12564" width="15.7109375" style="619" customWidth="1"/>
    <col min="12565" max="12573" width="0" style="619" hidden="1" customWidth="1"/>
    <col min="12574" max="12574" width="15.7109375" style="619" customWidth="1"/>
    <col min="12575" max="12576" width="0" style="619" hidden="1" customWidth="1"/>
    <col min="12577" max="12577" width="15.7109375" style="619" customWidth="1"/>
    <col min="12578" max="12578" width="2" style="619" customWidth="1"/>
    <col min="12579" max="12579" width="1.7109375" style="619" customWidth="1"/>
    <col min="12580" max="12580" width="19.85546875" style="619" bestFit="1" customWidth="1"/>
    <col min="12581" max="12581" width="0" style="619" hidden="1" customWidth="1"/>
    <col min="12582" max="12582" width="12.5703125" style="619" customWidth="1"/>
    <col min="12583" max="12800" width="8.85546875" style="619"/>
    <col min="12801" max="12802" width="0.85546875" style="619" customWidth="1"/>
    <col min="12803" max="12803" width="2.7109375" style="619" customWidth="1"/>
    <col min="12804" max="12804" width="35.140625" style="619" customWidth="1"/>
    <col min="12805" max="12805" width="3" style="619" customWidth="1"/>
    <col min="12806" max="12806" width="15.7109375" style="619" customWidth="1"/>
    <col min="12807" max="12815" width="0" style="619" hidden="1" customWidth="1"/>
    <col min="12816" max="12816" width="12.7109375" style="619" customWidth="1"/>
    <col min="12817" max="12818" width="0" style="619" hidden="1" customWidth="1"/>
    <col min="12819" max="12820" width="15.7109375" style="619" customWidth="1"/>
    <col min="12821" max="12829" width="0" style="619" hidden="1" customWidth="1"/>
    <col min="12830" max="12830" width="15.7109375" style="619" customWidth="1"/>
    <col min="12831" max="12832" width="0" style="619" hidden="1" customWidth="1"/>
    <col min="12833" max="12833" width="15.7109375" style="619" customWidth="1"/>
    <col min="12834" max="12834" width="2" style="619" customWidth="1"/>
    <col min="12835" max="12835" width="1.7109375" style="619" customWidth="1"/>
    <col min="12836" max="12836" width="19.85546875" style="619" bestFit="1" customWidth="1"/>
    <col min="12837" max="12837" width="0" style="619" hidden="1" customWidth="1"/>
    <col min="12838" max="12838" width="12.5703125" style="619" customWidth="1"/>
    <col min="12839" max="13056" width="8.85546875" style="619"/>
    <col min="13057" max="13058" width="0.85546875" style="619" customWidth="1"/>
    <col min="13059" max="13059" width="2.7109375" style="619" customWidth="1"/>
    <col min="13060" max="13060" width="35.140625" style="619" customWidth="1"/>
    <col min="13061" max="13061" width="3" style="619" customWidth="1"/>
    <col min="13062" max="13062" width="15.7109375" style="619" customWidth="1"/>
    <col min="13063" max="13071" width="0" style="619" hidden="1" customWidth="1"/>
    <col min="13072" max="13072" width="12.7109375" style="619" customWidth="1"/>
    <col min="13073" max="13074" width="0" style="619" hidden="1" customWidth="1"/>
    <col min="13075" max="13076" width="15.7109375" style="619" customWidth="1"/>
    <col min="13077" max="13085" width="0" style="619" hidden="1" customWidth="1"/>
    <col min="13086" max="13086" width="15.7109375" style="619" customWidth="1"/>
    <col min="13087" max="13088" width="0" style="619" hidden="1" customWidth="1"/>
    <col min="13089" max="13089" width="15.7109375" style="619" customWidth="1"/>
    <col min="13090" max="13090" width="2" style="619" customWidth="1"/>
    <col min="13091" max="13091" width="1.7109375" style="619" customWidth="1"/>
    <col min="13092" max="13092" width="19.85546875" style="619" bestFit="1" customWidth="1"/>
    <col min="13093" max="13093" width="0" style="619" hidden="1" customWidth="1"/>
    <col min="13094" max="13094" width="12.5703125" style="619" customWidth="1"/>
    <col min="13095" max="13312" width="8.85546875" style="619"/>
    <col min="13313" max="13314" width="0.85546875" style="619" customWidth="1"/>
    <col min="13315" max="13315" width="2.7109375" style="619" customWidth="1"/>
    <col min="13316" max="13316" width="35.140625" style="619" customWidth="1"/>
    <col min="13317" max="13317" width="3" style="619" customWidth="1"/>
    <col min="13318" max="13318" width="15.7109375" style="619" customWidth="1"/>
    <col min="13319" max="13327" width="0" style="619" hidden="1" customWidth="1"/>
    <col min="13328" max="13328" width="12.7109375" style="619" customWidth="1"/>
    <col min="13329" max="13330" width="0" style="619" hidden="1" customWidth="1"/>
    <col min="13331" max="13332" width="15.7109375" style="619" customWidth="1"/>
    <col min="13333" max="13341" width="0" style="619" hidden="1" customWidth="1"/>
    <col min="13342" max="13342" width="15.7109375" style="619" customWidth="1"/>
    <col min="13343" max="13344" width="0" style="619" hidden="1" customWidth="1"/>
    <col min="13345" max="13345" width="15.7109375" style="619" customWidth="1"/>
    <col min="13346" max="13346" width="2" style="619" customWidth="1"/>
    <col min="13347" max="13347" width="1.7109375" style="619" customWidth="1"/>
    <col min="13348" max="13348" width="19.85546875" style="619" bestFit="1" customWidth="1"/>
    <col min="13349" max="13349" width="0" style="619" hidden="1" customWidth="1"/>
    <col min="13350" max="13350" width="12.5703125" style="619" customWidth="1"/>
    <col min="13351" max="13568" width="8.85546875" style="619"/>
    <col min="13569" max="13570" width="0.85546875" style="619" customWidth="1"/>
    <col min="13571" max="13571" width="2.7109375" style="619" customWidth="1"/>
    <col min="13572" max="13572" width="35.140625" style="619" customWidth="1"/>
    <col min="13573" max="13573" width="3" style="619" customWidth="1"/>
    <col min="13574" max="13574" width="15.7109375" style="619" customWidth="1"/>
    <col min="13575" max="13583" width="0" style="619" hidden="1" customWidth="1"/>
    <col min="13584" max="13584" width="12.7109375" style="619" customWidth="1"/>
    <col min="13585" max="13586" width="0" style="619" hidden="1" customWidth="1"/>
    <col min="13587" max="13588" width="15.7109375" style="619" customWidth="1"/>
    <col min="13589" max="13597" width="0" style="619" hidden="1" customWidth="1"/>
    <col min="13598" max="13598" width="15.7109375" style="619" customWidth="1"/>
    <col min="13599" max="13600" width="0" style="619" hidden="1" customWidth="1"/>
    <col min="13601" max="13601" width="15.7109375" style="619" customWidth="1"/>
    <col min="13602" max="13602" width="2" style="619" customWidth="1"/>
    <col min="13603" max="13603" width="1.7109375" style="619" customWidth="1"/>
    <col min="13604" max="13604" width="19.85546875" style="619" bestFit="1" customWidth="1"/>
    <col min="13605" max="13605" width="0" style="619" hidden="1" customWidth="1"/>
    <col min="13606" max="13606" width="12.5703125" style="619" customWidth="1"/>
    <col min="13607" max="13824" width="8.85546875" style="619"/>
    <col min="13825" max="13826" width="0.85546875" style="619" customWidth="1"/>
    <col min="13827" max="13827" width="2.7109375" style="619" customWidth="1"/>
    <col min="13828" max="13828" width="35.140625" style="619" customWidth="1"/>
    <col min="13829" max="13829" width="3" style="619" customWidth="1"/>
    <col min="13830" max="13830" width="15.7109375" style="619" customWidth="1"/>
    <col min="13831" max="13839" width="0" style="619" hidden="1" customWidth="1"/>
    <col min="13840" max="13840" width="12.7109375" style="619" customWidth="1"/>
    <col min="13841" max="13842" width="0" style="619" hidden="1" customWidth="1"/>
    <col min="13843" max="13844" width="15.7109375" style="619" customWidth="1"/>
    <col min="13845" max="13853" width="0" style="619" hidden="1" customWidth="1"/>
    <col min="13854" max="13854" width="15.7109375" style="619" customWidth="1"/>
    <col min="13855" max="13856" width="0" style="619" hidden="1" customWidth="1"/>
    <col min="13857" max="13857" width="15.7109375" style="619" customWidth="1"/>
    <col min="13858" max="13858" width="2" style="619" customWidth="1"/>
    <col min="13859" max="13859" width="1.7109375" style="619" customWidth="1"/>
    <col min="13860" max="13860" width="19.85546875" style="619" bestFit="1" customWidth="1"/>
    <col min="13861" max="13861" width="0" style="619" hidden="1" customWidth="1"/>
    <col min="13862" max="13862" width="12.5703125" style="619" customWidth="1"/>
    <col min="13863" max="14080" width="8.85546875" style="619"/>
    <col min="14081" max="14082" width="0.85546875" style="619" customWidth="1"/>
    <col min="14083" max="14083" width="2.7109375" style="619" customWidth="1"/>
    <col min="14084" max="14084" width="35.140625" style="619" customWidth="1"/>
    <col min="14085" max="14085" width="3" style="619" customWidth="1"/>
    <col min="14086" max="14086" width="15.7109375" style="619" customWidth="1"/>
    <col min="14087" max="14095" width="0" style="619" hidden="1" customWidth="1"/>
    <col min="14096" max="14096" width="12.7109375" style="619" customWidth="1"/>
    <col min="14097" max="14098" width="0" style="619" hidden="1" customWidth="1"/>
    <col min="14099" max="14100" width="15.7109375" style="619" customWidth="1"/>
    <col min="14101" max="14109" width="0" style="619" hidden="1" customWidth="1"/>
    <col min="14110" max="14110" width="15.7109375" style="619" customWidth="1"/>
    <col min="14111" max="14112" width="0" style="619" hidden="1" customWidth="1"/>
    <col min="14113" max="14113" width="15.7109375" style="619" customWidth="1"/>
    <col min="14114" max="14114" width="2" style="619" customWidth="1"/>
    <col min="14115" max="14115" width="1.7109375" style="619" customWidth="1"/>
    <col min="14116" max="14116" width="19.85546875" style="619" bestFit="1" customWidth="1"/>
    <col min="14117" max="14117" width="0" style="619" hidden="1" customWidth="1"/>
    <col min="14118" max="14118" width="12.5703125" style="619" customWidth="1"/>
    <col min="14119" max="14336" width="8.85546875" style="619"/>
    <col min="14337" max="14338" width="0.85546875" style="619" customWidth="1"/>
    <col min="14339" max="14339" width="2.7109375" style="619" customWidth="1"/>
    <col min="14340" max="14340" width="35.140625" style="619" customWidth="1"/>
    <col min="14341" max="14341" width="3" style="619" customWidth="1"/>
    <col min="14342" max="14342" width="15.7109375" style="619" customWidth="1"/>
    <col min="14343" max="14351" width="0" style="619" hidden="1" customWidth="1"/>
    <col min="14352" max="14352" width="12.7109375" style="619" customWidth="1"/>
    <col min="14353" max="14354" width="0" style="619" hidden="1" customWidth="1"/>
    <col min="14355" max="14356" width="15.7109375" style="619" customWidth="1"/>
    <col min="14357" max="14365" width="0" style="619" hidden="1" customWidth="1"/>
    <col min="14366" max="14366" width="15.7109375" style="619" customWidth="1"/>
    <col min="14367" max="14368" width="0" style="619" hidden="1" customWidth="1"/>
    <col min="14369" max="14369" width="15.7109375" style="619" customWidth="1"/>
    <col min="14370" max="14370" width="2" style="619" customWidth="1"/>
    <col min="14371" max="14371" width="1.7109375" style="619" customWidth="1"/>
    <col min="14372" max="14372" width="19.85546875" style="619" bestFit="1" customWidth="1"/>
    <col min="14373" max="14373" width="0" style="619" hidden="1" customWidth="1"/>
    <col min="14374" max="14374" width="12.5703125" style="619" customWidth="1"/>
    <col min="14375" max="14592" width="8.85546875" style="619"/>
    <col min="14593" max="14594" width="0.85546875" style="619" customWidth="1"/>
    <col min="14595" max="14595" width="2.7109375" style="619" customWidth="1"/>
    <col min="14596" max="14596" width="35.140625" style="619" customWidth="1"/>
    <col min="14597" max="14597" width="3" style="619" customWidth="1"/>
    <col min="14598" max="14598" width="15.7109375" style="619" customWidth="1"/>
    <col min="14599" max="14607" width="0" style="619" hidden="1" customWidth="1"/>
    <col min="14608" max="14608" width="12.7109375" style="619" customWidth="1"/>
    <col min="14609" max="14610" width="0" style="619" hidden="1" customWidth="1"/>
    <col min="14611" max="14612" width="15.7109375" style="619" customWidth="1"/>
    <col min="14613" max="14621" width="0" style="619" hidden="1" customWidth="1"/>
    <col min="14622" max="14622" width="15.7109375" style="619" customWidth="1"/>
    <col min="14623" max="14624" width="0" style="619" hidden="1" customWidth="1"/>
    <col min="14625" max="14625" width="15.7109375" style="619" customWidth="1"/>
    <col min="14626" max="14626" width="2" style="619" customWidth="1"/>
    <col min="14627" max="14627" width="1.7109375" style="619" customWidth="1"/>
    <col min="14628" max="14628" width="19.85546875" style="619" bestFit="1" customWidth="1"/>
    <col min="14629" max="14629" width="0" style="619" hidden="1" customWidth="1"/>
    <col min="14630" max="14630" width="12.5703125" style="619" customWidth="1"/>
    <col min="14631" max="14848" width="8.85546875" style="619"/>
    <col min="14849" max="14850" width="0.85546875" style="619" customWidth="1"/>
    <col min="14851" max="14851" width="2.7109375" style="619" customWidth="1"/>
    <col min="14852" max="14852" width="35.140625" style="619" customWidth="1"/>
    <col min="14853" max="14853" width="3" style="619" customWidth="1"/>
    <col min="14854" max="14854" width="15.7109375" style="619" customWidth="1"/>
    <col min="14855" max="14863" width="0" style="619" hidden="1" customWidth="1"/>
    <col min="14864" max="14864" width="12.7109375" style="619" customWidth="1"/>
    <col min="14865" max="14866" width="0" style="619" hidden="1" customWidth="1"/>
    <col min="14867" max="14868" width="15.7109375" style="619" customWidth="1"/>
    <col min="14869" max="14877" width="0" style="619" hidden="1" customWidth="1"/>
    <col min="14878" max="14878" width="15.7109375" style="619" customWidth="1"/>
    <col min="14879" max="14880" width="0" style="619" hidden="1" customWidth="1"/>
    <col min="14881" max="14881" width="15.7109375" style="619" customWidth="1"/>
    <col min="14882" max="14882" width="2" style="619" customWidth="1"/>
    <col min="14883" max="14883" width="1.7109375" style="619" customWidth="1"/>
    <col min="14884" max="14884" width="19.85546875" style="619" bestFit="1" customWidth="1"/>
    <col min="14885" max="14885" width="0" style="619" hidden="1" customWidth="1"/>
    <col min="14886" max="14886" width="12.5703125" style="619" customWidth="1"/>
    <col min="14887" max="15104" width="8.85546875" style="619"/>
    <col min="15105" max="15106" width="0.85546875" style="619" customWidth="1"/>
    <col min="15107" max="15107" width="2.7109375" style="619" customWidth="1"/>
    <col min="15108" max="15108" width="35.140625" style="619" customWidth="1"/>
    <col min="15109" max="15109" width="3" style="619" customWidth="1"/>
    <col min="15110" max="15110" width="15.7109375" style="619" customWidth="1"/>
    <col min="15111" max="15119" width="0" style="619" hidden="1" customWidth="1"/>
    <col min="15120" max="15120" width="12.7109375" style="619" customWidth="1"/>
    <col min="15121" max="15122" width="0" style="619" hidden="1" customWidth="1"/>
    <col min="15123" max="15124" width="15.7109375" style="619" customWidth="1"/>
    <col min="15125" max="15133" width="0" style="619" hidden="1" customWidth="1"/>
    <col min="15134" max="15134" width="15.7109375" style="619" customWidth="1"/>
    <col min="15135" max="15136" width="0" style="619" hidden="1" customWidth="1"/>
    <col min="15137" max="15137" width="15.7109375" style="619" customWidth="1"/>
    <col min="15138" max="15138" width="2" style="619" customWidth="1"/>
    <col min="15139" max="15139" width="1.7109375" style="619" customWidth="1"/>
    <col min="15140" max="15140" width="19.85546875" style="619" bestFit="1" customWidth="1"/>
    <col min="15141" max="15141" width="0" style="619" hidden="1" customWidth="1"/>
    <col min="15142" max="15142" width="12.5703125" style="619" customWidth="1"/>
    <col min="15143" max="15360" width="8.85546875" style="619"/>
    <col min="15361" max="15362" width="0.85546875" style="619" customWidth="1"/>
    <col min="15363" max="15363" width="2.7109375" style="619" customWidth="1"/>
    <col min="15364" max="15364" width="35.140625" style="619" customWidth="1"/>
    <col min="15365" max="15365" width="3" style="619" customWidth="1"/>
    <col min="15366" max="15366" width="15.7109375" style="619" customWidth="1"/>
    <col min="15367" max="15375" width="0" style="619" hidden="1" customWidth="1"/>
    <col min="15376" max="15376" width="12.7109375" style="619" customWidth="1"/>
    <col min="15377" max="15378" width="0" style="619" hidden="1" customWidth="1"/>
    <col min="15379" max="15380" width="15.7109375" style="619" customWidth="1"/>
    <col min="15381" max="15389" width="0" style="619" hidden="1" customWidth="1"/>
    <col min="15390" max="15390" width="15.7109375" style="619" customWidth="1"/>
    <col min="15391" max="15392" width="0" style="619" hidden="1" customWidth="1"/>
    <col min="15393" max="15393" width="15.7109375" style="619" customWidth="1"/>
    <col min="15394" max="15394" width="2" style="619" customWidth="1"/>
    <col min="15395" max="15395" width="1.7109375" style="619" customWidth="1"/>
    <col min="15396" max="15396" width="19.85546875" style="619" bestFit="1" customWidth="1"/>
    <col min="15397" max="15397" width="0" style="619" hidden="1" customWidth="1"/>
    <col min="15398" max="15398" width="12.5703125" style="619" customWidth="1"/>
    <col min="15399" max="15616" width="8.85546875" style="619"/>
    <col min="15617" max="15618" width="0.85546875" style="619" customWidth="1"/>
    <col min="15619" max="15619" width="2.7109375" style="619" customWidth="1"/>
    <col min="15620" max="15620" width="35.140625" style="619" customWidth="1"/>
    <col min="15621" max="15621" width="3" style="619" customWidth="1"/>
    <col min="15622" max="15622" width="15.7109375" style="619" customWidth="1"/>
    <col min="15623" max="15631" width="0" style="619" hidden="1" customWidth="1"/>
    <col min="15632" max="15632" width="12.7109375" style="619" customWidth="1"/>
    <col min="15633" max="15634" width="0" style="619" hidden="1" customWidth="1"/>
    <col min="15635" max="15636" width="15.7109375" style="619" customWidth="1"/>
    <col min="15637" max="15645" width="0" style="619" hidden="1" customWidth="1"/>
    <col min="15646" max="15646" width="15.7109375" style="619" customWidth="1"/>
    <col min="15647" max="15648" width="0" style="619" hidden="1" customWidth="1"/>
    <col min="15649" max="15649" width="15.7109375" style="619" customWidth="1"/>
    <col min="15650" max="15650" width="2" style="619" customWidth="1"/>
    <col min="15651" max="15651" width="1.7109375" style="619" customWidth="1"/>
    <col min="15652" max="15652" width="19.85546875" style="619" bestFit="1" customWidth="1"/>
    <col min="15653" max="15653" width="0" style="619" hidden="1" customWidth="1"/>
    <col min="15654" max="15654" width="12.5703125" style="619" customWidth="1"/>
    <col min="15655" max="15872" width="8.85546875" style="619"/>
    <col min="15873" max="15874" width="0.85546875" style="619" customWidth="1"/>
    <col min="15875" max="15875" width="2.7109375" style="619" customWidth="1"/>
    <col min="15876" max="15876" width="35.140625" style="619" customWidth="1"/>
    <col min="15877" max="15877" width="3" style="619" customWidth="1"/>
    <col min="15878" max="15878" width="15.7109375" style="619" customWidth="1"/>
    <col min="15879" max="15887" width="0" style="619" hidden="1" customWidth="1"/>
    <col min="15888" max="15888" width="12.7109375" style="619" customWidth="1"/>
    <col min="15889" max="15890" width="0" style="619" hidden="1" customWidth="1"/>
    <col min="15891" max="15892" width="15.7109375" style="619" customWidth="1"/>
    <col min="15893" max="15901" width="0" style="619" hidden="1" customWidth="1"/>
    <col min="15902" max="15902" width="15.7109375" style="619" customWidth="1"/>
    <col min="15903" max="15904" width="0" style="619" hidden="1" customWidth="1"/>
    <col min="15905" max="15905" width="15.7109375" style="619" customWidth="1"/>
    <col min="15906" max="15906" width="2" style="619" customWidth="1"/>
    <col min="15907" max="15907" width="1.7109375" style="619" customWidth="1"/>
    <col min="15908" max="15908" width="19.85546875" style="619" bestFit="1" customWidth="1"/>
    <col min="15909" max="15909" width="0" style="619" hidden="1" customWidth="1"/>
    <col min="15910" max="15910" width="12.5703125" style="619" customWidth="1"/>
    <col min="15911" max="16128" width="8.85546875" style="619"/>
    <col min="16129" max="16130" width="0.85546875" style="619" customWidth="1"/>
    <col min="16131" max="16131" width="2.7109375" style="619" customWidth="1"/>
    <col min="16132" max="16132" width="35.140625" style="619" customWidth="1"/>
    <col min="16133" max="16133" width="3" style="619" customWidth="1"/>
    <col min="16134" max="16134" width="15.7109375" style="619" customWidth="1"/>
    <col min="16135" max="16143" width="0" style="619" hidden="1" customWidth="1"/>
    <col min="16144" max="16144" width="12.7109375" style="619" customWidth="1"/>
    <col min="16145" max="16146" width="0" style="619" hidden="1" customWidth="1"/>
    <col min="16147" max="16148" width="15.7109375" style="619" customWidth="1"/>
    <col min="16149" max="16157" width="0" style="619" hidden="1" customWidth="1"/>
    <col min="16158" max="16158" width="15.7109375" style="619" customWidth="1"/>
    <col min="16159" max="16160" width="0" style="619" hidden="1" customWidth="1"/>
    <col min="16161" max="16161" width="15.7109375" style="619" customWidth="1"/>
    <col min="16162" max="16162" width="2" style="619" customWidth="1"/>
    <col min="16163" max="16163" width="1.7109375" style="619" customWidth="1"/>
    <col min="16164" max="16164" width="19.85546875" style="619" bestFit="1" customWidth="1"/>
    <col min="16165" max="16165" width="0" style="619" hidden="1" customWidth="1"/>
    <col min="16166" max="16166" width="12.5703125" style="619" customWidth="1"/>
    <col min="16167" max="16384" width="8.85546875" style="619"/>
  </cols>
  <sheetData>
    <row r="1" spans="3:37" ht="15.75" x14ac:dyDescent="0.25">
      <c r="C1" s="620" t="s">
        <v>564</v>
      </c>
      <c r="D1" s="621"/>
      <c r="F1" s="621"/>
      <c r="G1" s="621"/>
      <c r="H1" s="621"/>
      <c r="I1" s="621"/>
      <c r="J1" s="621"/>
      <c r="K1" s="621"/>
      <c r="L1" s="621"/>
      <c r="M1" s="621"/>
      <c r="N1" s="621"/>
      <c r="O1" s="621"/>
      <c r="P1" s="621"/>
      <c r="Q1" s="621"/>
      <c r="R1" s="621"/>
      <c r="S1" s="621"/>
      <c r="AG1" s="621"/>
    </row>
    <row r="2" spans="3:37" x14ac:dyDescent="0.2">
      <c r="C2" s="237"/>
      <c r="D2" s="557"/>
      <c r="E2" s="558"/>
      <c r="F2" s="622" t="s">
        <v>1</v>
      </c>
      <c r="G2" s="559"/>
      <c r="H2" s="559"/>
      <c r="I2" s="559"/>
      <c r="J2" s="559"/>
      <c r="K2" s="559"/>
      <c r="L2" s="559"/>
      <c r="M2" s="559"/>
      <c r="N2" s="559"/>
      <c r="O2" s="559"/>
      <c r="P2" s="559"/>
      <c r="Q2" s="559"/>
      <c r="R2" s="559"/>
      <c r="S2" s="560"/>
      <c r="T2" s="622" t="s">
        <v>2</v>
      </c>
      <c r="U2" s="559"/>
      <c r="V2" s="559"/>
      <c r="W2" s="559"/>
      <c r="X2" s="559"/>
      <c r="Y2" s="559"/>
      <c r="Z2" s="559"/>
      <c r="AA2" s="559"/>
      <c r="AB2" s="559"/>
      <c r="AC2" s="559"/>
      <c r="AD2" s="559"/>
      <c r="AE2" s="559"/>
      <c r="AF2" s="559"/>
      <c r="AG2" s="560"/>
      <c r="AH2" s="623"/>
    </row>
    <row r="3" spans="3:37" x14ac:dyDescent="0.2">
      <c r="C3" s="230"/>
      <c r="D3" s="242"/>
      <c r="E3" s="248"/>
      <c r="F3" s="624" t="s">
        <v>3</v>
      </c>
      <c r="G3" s="249" t="s">
        <v>4</v>
      </c>
      <c r="H3" s="260" t="s">
        <v>5</v>
      </c>
      <c r="I3" s="249" t="s">
        <v>6</v>
      </c>
      <c r="J3" s="260" t="s">
        <v>7</v>
      </c>
      <c r="K3" s="249" t="s">
        <v>8</v>
      </c>
      <c r="L3" s="260" t="s">
        <v>9</v>
      </c>
      <c r="M3" s="249" t="s">
        <v>10</v>
      </c>
      <c r="N3" s="260" t="s">
        <v>11</v>
      </c>
      <c r="O3" s="249" t="s">
        <v>12</v>
      </c>
      <c r="P3" s="260" t="s">
        <v>13</v>
      </c>
      <c r="Q3" s="249" t="s">
        <v>14</v>
      </c>
      <c r="R3" s="260" t="s">
        <v>15</v>
      </c>
      <c r="S3" s="260" t="s">
        <v>16</v>
      </c>
      <c r="T3" s="249" t="s">
        <v>294</v>
      </c>
      <c r="U3" s="249" t="s">
        <v>4</v>
      </c>
      <c r="V3" s="625" t="s">
        <v>5</v>
      </c>
      <c r="W3" s="249" t="s">
        <v>6</v>
      </c>
      <c r="X3" s="248" t="s">
        <v>7</v>
      </c>
      <c r="Y3" s="249" t="s">
        <v>8</v>
      </c>
      <c r="Z3" s="248" t="s">
        <v>9</v>
      </c>
      <c r="AA3" s="249" t="s">
        <v>10</v>
      </c>
      <c r="AB3" s="248" t="s">
        <v>11</v>
      </c>
      <c r="AC3" s="249" t="s">
        <v>12</v>
      </c>
      <c r="AD3" s="248" t="s">
        <v>13</v>
      </c>
      <c r="AE3" s="249" t="s">
        <v>14</v>
      </c>
      <c r="AF3" s="248" t="s">
        <v>15</v>
      </c>
      <c r="AG3" s="260" t="s">
        <v>16</v>
      </c>
      <c r="AH3" s="623"/>
    </row>
    <row r="4" spans="3:37" x14ac:dyDescent="0.2">
      <c r="C4" s="563" t="s">
        <v>19</v>
      </c>
      <c r="D4" s="476"/>
      <c r="E4" s="256"/>
      <c r="F4" s="564" t="s">
        <v>20</v>
      </c>
      <c r="G4" s="257"/>
      <c r="H4" s="104"/>
      <c r="I4" s="257"/>
      <c r="J4" s="104"/>
      <c r="K4" s="257"/>
      <c r="L4" s="104"/>
      <c r="M4" s="257"/>
      <c r="N4" s="104"/>
      <c r="O4" s="257"/>
      <c r="P4" s="104"/>
      <c r="Q4" s="257"/>
      <c r="R4" s="104"/>
      <c r="S4" s="104"/>
      <c r="T4" s="257" t="s">
        <v>21</v>
      </c>
      <c r="U4" s="257"/>
      <c r="V4" s="254"/>
      <c r="W4" s="257"/>
      <c r="X4" s="256"/>
      <c r="Y4" s="257"/>
      <c r="Z4" s="256"/>
      <c r="AA4" s="257"/>
      <c r="AB4" s="256"/>
      <c r="AC4" s="257"/>
      <c r="AD4" s="256"/>
      <c r="AE4" s="257"/>
      <c r="AF4" s="256"/>
      <c r="AG4" s="104"/>
      <c r="AH4" s="623"/>
    </row>
    <row r="5" spans="3:37" x14ac:dyDescent="0.2">
      <c r="C5" s="230"/>
      <c r="D5" s="626"/>
      <c r="E5" s="248"/>
      <c r="F5" s="261"/>
      <c r="G5" s="261"/>
      <c r="H5" s="229"/>
      <c r="I5" s="261"/>
      <c r="J5" s="248"/>
      <c r="K5" s="261"/>
      <c r="L5" s="248"/>
      <c r="M5" s="261"/>
      <c r="N5" s="248"/>
      <c r="O5" s="261"/>
      <c r="P5" s="248"/>
      <c r="Q5" s="261"/>
      <c r="R5" s="248"/>
      <c r="S5" s="66"/>
      <c r="T5" s="261"/>
      <c r="U5" s="261"/>
      <c r="V5" s="229"/>
      <c r="W5" s="261"/>
      <c r="X5" s="248"/>
      <c r="Y5" s="261"/>
      <c r="Z5" s="248"/>
      <c r="AA5" s="261"/>
      <c r="AB5" s="248"/>
      <c r="AC5" s="261"/>
      <c r="AD5" s="248"/>
      <c r="AE5" s="261"/>
      <c r="AF5" s="248"/>
      <c r="AG5" s="66"/>
      <c r="AH5" s="623"/>
    </row>
    <row r="6" spans="3:37" x14ac:dyDescent="0.2">
      <c r="C6" s="259" t="s">
        <v>565</v>
      </c>
      <c r="D6" s="242"/>
      <c r="E6" s="570"/>
      <c r="F6" s="66">
        <f>SUM(F7:F38)</f>
        <v>23829037</v>
      </c>
      <c r="G6" s="66">
        <f>SUM(G7:G38)</f>
        <v>1236489</v>
      </c>
      <c r="H6" s="66">
        <f t="shared" ref="H6:R6" si="0">SUM(H7:H38)</f>
        <v>2807140</v>
      </c>
      <c r="I6" s="66">
        <f>SUM(I7:I38)</f>
        <v>3319954</v>
      </c>
      <c r="J6" s="66">
        <f>SUM(J7:J38)</f>
        <v>3550323</v>
      </c>
      <c r="K6" s="66">
        <f t="shared" si="0"/>
        <v>3161507</v>
      </c>
      <c r="L6" s="66">
        <f>SUM(L7:L38)</f>
        <v>1941577</v>
      </c>
      <c r="M6" s="66">
        <f t="shared" si="0"/>
        <v>2581412</v>
      </c>
      <c r="N6" s="66">
        <f t="shared" si="0"/>
        <v>900558</v>
      </c>
      <c r="O6" s="66">
        <f>SUM(O7:O38)</f>
        <v>2698953</v>
      </c>
      <c r="P6" s="66">
        <f>SUM(P7:P38)</f>
        <v>1360720</v>
      </c>
      <c r="Q6" s="66">
        <f t="shared" si="0"/>
        <v>0</v>
      </c>
      <c r="R6" s="66">
        <f t="shared" si="0"/>
        <v>0</v>
      </c>
      <c r="S6" s="66">
        <f t="shared" ref="S6:AF6" si="1">SUM(S7:S38)</f>
        <v>23558633</v>
      </c>
      <c r="T6" s="66">
        <f t="shared" si="1"/>
        <v>12801333</v>
      </c>
      <c r="U6" s="66">
        <f t="shared" si="1"/>
        <v>1191518</v>
      </c>
      <c r="V6" s="66">
        <f t="shared" si="1"/>
        <v>5522378</v>
      </c>
      <c r="W6" s="66">
        <f t="shared" si="1"/>
        <v>193328</v>
      </c>
      <c r="X6" s="66">
        <f t="shared" si="1"/>
        <v>236828</v>
      </c>
      <c r="Y6" s="66">
        <f t="shared" si="1"/>
        <v>536881</v>
      </c>
      <c r="Z6" s="66">
        <f t="shared" si="1"/>
        <v>309645</v>
      </c>
      <c r="AA6" s="66">
        <f t="shared" si="1"/>
        <v>149579</v>
      </c>
      <c r="AB6" s="66">
        <f t="shared" si="1"/>
        <v>389977</v>
      </c>
      <c r="AC6" s="66">
        <f t="shared" si="1"/>
        <v>143285</v>
      </c>
      <c r="AD6" s="66">
        <f t="shared" si="1"/>
        <v>307553</v>
      </c>
      <c r="AE6" s="66">
        <f t="shared" si="1"/>
        <v>558415</v>
      </c>
      <c r="AF6" s="66">
        <f t="shared" si="1"/>
        <v>3261946</v>
      </c>
      <c r="AG6" s="66">
        <f>SUM(AG7:AG38)</f>
        <v>8980972</v>
      </c>
      <c r="AH6" s="627"/>
      <c r="AJ6" s="628"/>
      <c r="AK6" s="628"/>
    </row>
    <row r="7" spans="3:37" ht="12" hidden="1" customHeight="1" x14ac:dyDescent="0.2">
      <c r="C7" s="259"/>
      <c r="D7" s="240" t="s">
        <v>566</v>
      </c>
      <c r="E7" s="583"/>
      <c r="F7" s="45">
        <v>0</v>
      </c>
      <c r="G7" s="45">
        <v>0</v>
      </c>
      <c r="H7" s="45">
        <v>0</v>
      </c>
      <c r="I7" s="45">
        <v>0</v>
      </c>
      <c r="J7" s="45">
        <v>0</v>
      </c>
      <c r="K7" s="45">
        <v>0</v>
      </c>
      <c r="L7" s="45">
        <v>0</v>
      </c>
      <c r="M7" s="45">
        <v>0</v>
      </c>
      <c r="N7" s="45">
        <v>0</v>
      </c>
      <c r="O7" s="45">
        <v>0</v>
      </c>
      <c r="P7" s="45">
        <v>0</v>
      </c>
      <c r="Q7" s="45">
        <v>0</v>
      </c>
      <c r="R7" s="45">
        <v>0</v>
      </c>
      <c r="S7" s="462">
        <f>SUM(G7:R7)</f>
        <v>0</v>
      </c>
      <c r="T7" s="45">
        <v>0</v>
      </c>
      <c r="U7" s="45">
        <v>0</v>
      </c>
      <c r="V7" s="45">
        <v>0</v>
      </c>
      <c r="W7" s="45">
        <v>0</v>
      </c>
      <c r="X7" s="45">
        <v>0</v>
      </c>
      <c r="Y7" s="45">
        <v>0</v>
      </c>
      <c r="Z7" s="45">
        <v>0</v>
      </c>
      <c r="AA7" s="45">
        <v>0</v>
      </c>
      <c r="AB7" s="45">
        <v>0</v>
      </c>
      <c r="AC7" s="45">
        <v>0</v>
      </c>
      <c r="AD7" s="45">
        <v>0</v>
      </c>
      <c r="AE7" s="45">
        <v>0</v>
      </c>
      <c r="AF7" s="45">
        <v>0</v>
      </c>
      <c r="AG7" s="462">
        <f t="shared" ref="AG7:AG20" si="2">SUM(U7:U7)</f>
        <v>0</v>
      </c>
      <c r="AH7" s="629"/>
      <c r="AJ7" s="628"/>
      <c r="AK7" s="628"/>
    </row>
    <row r="8" spans="3:37" ht="12.75" hidden="1" customHeight="1" x14ac:dyDescent="0.2">
      <c r="C8" s="259"/>
      <c r="D8" s="240" t="s">
        <v>567</v>
      </c>
      <c r="E8" s="583"/>
      <c r="F8" s="45">
        <v>0</v>
      </c>
      <c r="G8" s="45">
        <v>0</v>
      </c>
      <c r="H8" s="45">
        <v>0</v>
      </c>
      <c r="I8" s="45">
        <v>0</v>
      </c>
      <c r="J8" s="45">
        <v>0</v>
      </c>
      <c r="K8" s="45">
        <v>0</v>
      </c>
      <c r="L8" s="45">
        <v>0</v>
      </c>
      <c r="M8" s="45">
        <v>0</v>
      </c>
      <c r="N8" s="45">
        <v>0</v>
      </c>
      <c r="O8" s="45">
        <v>0</v>
      </c>
      <c r="P8" s="45">
        <v>0</v>
      </c>
      <c r="Q8" s="45">
        <v>0</v>
      </c>
      <c r="R8" s="45">
        <v>0</v>
      </c>
      <c r="S8" s="462">
        <f t="shared" ref="S8:S34" si="3">SUM(G8:R8)</f>
        <v>0</v>
      </c>
      <c r="T8" s="45">
        <v>0</v>
      </c>
      <c r="U8" s="45">
        <v>0</v>
      </c>
      <c r="V8" s="45">
        <v>0</v>
      </c>
      <c r="W8" s="45">
        <v>0</v>
      </c>
      <c r="X8" s="45">
        <v>0</v>
      </c>
      <c r="Y8" s="45">
        <v>0</v>
      </c>
      <c r="Z8" s="45">
        <v>0</v>
      </c>
      <c r="AA8" s="45">
        <v>0</v>
      </c>
      <c r="AB8" s="45">
        <v>0</v>
      </c>
      <c r="AC8" s="45">
        <v>0</v>
      </c>
      <c r="AD8" s="45">
        <v>0</v>
      </c>
      <c r="AE8" s="45">
        <v>0</v>
      </c>
      <c r="AF8" s="45">
        <v>0</v>
      </c>
      <c r="AG8" s="462">
        <f t="shared" si="2"/>
        <v>0</v>
      </c>
      <c r="AH8" s="629"/>
      <c r="AJ8" s="628"/>
      <c r="AK8" s="628"/>
    </row>
    <row r="9" spans="3:37" ht="12.75" hidden="1" customHeight="1" x14ac:dyDescent="0.2">
      <c r="C9" s="259"/>
      <c r="D9" s="240" t="s">
        <v>568</v>
      </c>
      <c r="E9" s="583"/>
      <c r="F9" s="45">
        <v>0</v>
      </c>
      <c r="G9" s="45">
        <v>0</v>
      </c>
      <c r="H9" s="45">
        <v>0</v>
      </c>
      <c r="I9" s="45">
        <v>0</v>
      </c>
      <c r="J9" s="45">
        <v>0</v>
      </c>
      <c r="K9" s="45">
        <v>0</v>
      </c>
      <c r="L9" s="45">
        <v>0</v>
      </c>
      <c r="M9" s="45">
        <v>0</v>
      </c>
      <c r="N9" s="45">
        <v>0</v>
      </c>
      <c r="O9" s="45">
        <v>0</v>
      </c>
      <c r="P9" s="45">
        <v>0</v>
      </c>
      <c r="Q9" s="45">
        <v>0</v>
      </c>
      <c r="R9" s="45">
        <v>0</v>
      </c>
      <c r="S9" s="462">
        <f t="shared" si="3"/>
        <v>0</v>
      </c>
      <c r="T9" s="45">
        <v>0</v>
      </c>
      <c r="U9" s="45">
        <v>0</v>
      </c>
      <c r="V9" s="45">
        <v>0</v>
      </c>
      <c r="W9" s="45">
        <v>0</v>
      </c>
      <c r="X9" s="45">
        <v>0</v>
      </c>
      <c r="Y9" s="45">
        <v>0</v>
      </c>
      <c r="Z9" s="45">
        <v>0</v>
      </c>
      <c r="AA9" s="45">
        <v>0</v>
      </c>
      <c r="AB9" s="45">
        <v>0</v>
      </c>
      <c r="AC9" s="45">
        <v>0</v>
      </c>
      <c r="AD9" s="45">
        <v>0</v>
      </c>
      <c r="AE9" s="45">
        <v>0</v>
      </c>
      <c r="AF9" s="45">
        <v>0</v>
      </c>
      <c r="AG9" s="462">
        <f t="shared" si="2"/>
        <v>0</v>
      </c>
      <c r="AH9" s="629"/>
      <c r="AJ9" s="628"/>
      <c r="AK9" s="628"/>
    </row>
    <row r="10" spans="3:37" ht="12.75" hidden="1" customHeight="1" x14ac:dyDescent="0.2">
      <c r="C10" s="259"/>
      <c r="D10" s="240" t="s">
        <v>569</v>
      </c>
      <c r="E10" s="553"/>
      <c r="F10" s="45">
        <v>0</v>
      </c>
      <c r="G10" s="45">
        <v>0</v>
      </c>
      <c r="H10" s="45">
        <v>0</v>
      </c>
      <c r="I10" s="45">
        <v>0</v>
      </c>
      <c r="J10" s="45">
        <v>0</v>
      </c>
      <c r="K10" s="45">
        <v>0</v>
      </c>
      <c r="L10" s="45">
        <v>0</v>
      </c>
      <c r="M10" s="45">
        <v>0</v>
      </c>
      <c r="N10" s="45">
        <v>0</v>
      </c>
      <c r="O10" s="45">
        <v>0</v>
      </c>
      <c r="P10" s="45">
        <v>0</v>
      </c>
      <c r="Q10" s="45">
        <v>0</v>
      </c>
      <c r="R10" s="45">
        <v>0</v>
      </c>
      <c r="S10" s="462">
        <f>SUM(G10:R10)</f>
        <v>0</v>
      </c>
      <c r="T10" s="45">
        <v>0</v>
      </c>
      <c r="U10" s="45">
        <v>0</v>
      </c>
      <c r="V10" s="45">
        <v>0</v>
      </c>
      <c r="W10" s="45">
        <v>0</v>
      </c>
      <c r="X10" s="45">
        <v>0</v>
      </c>
      <c r="Y10" s="45">
        <v>0</v>
      </c>
      <c r="Z10" s="45">
        <v>0</v>
      </c>
      <c r="AA10" s="45">
        <v>0</v>
      </c>
      <c r="AB10" s="45">
        <v>0</v>
      </c>
      <c r="AC10" s="45">
        <v>0</v>
      </c>
      <c r="AD10" s="45">
        <v>0</v>
      </c>
      <c r="AE10" s="45">
        <v>0</v>
      </c>
      <c r="AF10" s="45">
        <v>0</v>
      </c>
      <c r="AG10" s="462">
        <f t="shared" si="2"/>
        <v>0</v>
      </c>
      <c r="AH10" s="629"/>
      <c r="AJ10" s="628"/>
      <c r="AK10" s="628"/>
    </row>
    <row r="11" spans="3:37" hidden="1" x14ac:dyDescent="0.2">
      <c r="C11" s="259"/>
      <c r="D11" s="240" t="s">
        <v>570</v>
      </c>
      <c r="E11" s="583"/>
      <c r="F11" s="45">
        <v>0</v>
      </c>
      <c r="G11" s="45">
        <v>0</v>
      </c>
      <c r="H11" s="45">
        <v>0</v>
      </c>
      <c r="I11" s="45">
        <v>0</v>
      </c>
      <c r="J11" s="45">
        <v>0</v>
      </c>
      <c r="K11" s="45">
        <v>0</v>
      </c>
      <c r="L11" s="45">
        <v>0</v>
      </c>
      <c r="M11" s="45">
        <v>0</v>
      </c>
      <c r="N11" s="45">
        <v>0</v>
      </c>
      <c r="O11" s="45">
        <v>0</v>
      </c>
      <c r="P11" s="45">
        <v>0</v>
      </c>
      <c r="Q11" s="45">
        <v>0</v>
      </c>
      <c r="R11" s="45">
        <v>0</v>
      </c>
      <c r="S11" s="462">
        <f>SUM(G11:R11)</f>
        <v>0</v>
      </c>
      <c r="T11" s="45">
        <v>0</v>
      </c>
      <c r="U11" s="45">
        <v>0</v>
      </c>
      <c r="V11" s="45">
        <v>0</v>
      </c>
      <c r="W11" s="45">
        <v>0</v>
      </c>
      <c r="X11" s="45">
        <v>0</v>
      </c>
      <c r="Y11" s="45">
        <v>0</v>
      </c>
      <c r="Z11" s="45">
        <v>0</v>
      </c>
      <c r="AA11" s="45">
        <v>0</v>
      </c>
      <c r="AB11" s="45">
        <v>0</v>
      </c>
      <c r="AC11" s="45">
        <v>0</v>
      </c>
      <c r="AD11" s="45">
        <v>0</v>
      </c>
      <c r="AE11" s="45">
        <v>0</v>
      </c>
      <c r="AF11" s="45">
        <v>0</v>
      </c>
      <c r="AG11" s="462">
        <f t="shared" si="2"/>
        <v>0</v>
      </c>
      <c r="AH11" s="629"/>
      <c r="AJ11" s="628"/>
      <c r="AK11" s="628"/>
    </row>
    <row r="12" spans="3:37" ht="12.75" hidden="1" customHeight="1" x14ac:dyDescent="0.2">
      <c r="C12" s="259"/>
      <c r="D12" s="240" t="s">
        <v>571</v>
      </c>
      <c r="E12" s="583"/>
      <c r="F12" s="45">
        <v>0</v>
      </c>
      <c r="G12" s="45">
        <v>0</v>
      </c>
      <c r="H12" s="45">
        <v>0</v>
      </c>
      <c r="I12" s="45">
        <v>0</v>
      </c>
      <c r="J12" s="45">
        <v>0</v>
      </c>
      <c r="K12" s="45">
        <v>0</v>
      </c>
      <c r="L12" s="45">
        <v>0</v>
      </c>
      <c r="M12" s="45">
        <v>0</v>
      </c>
      <c r="N12" s="45">
        <v>0</v>
      </c>
      <c r="O12" s="45">
        <v>0</v>
      </c>
      <c r="P12" s="45">
        <v>0</v>
      </c>
      <c r="Q12" s="45">
        <v>0</v>
      </c>
      <c r="R12" s="45">
        <v>0</v>
      </c>
      <c r="S12" s="462">
        <f t="shared" si="3"/>
        <v>0</v>
      </c>
      <c r="T12" s="45">
        <v>0</v>
      </c>
      <c r="U12" s="45">
        <v>0</v>
      </c>
      <c r="V12" s="45">
        <v>0</v>
      </c>
      <c r="W12" s="45">
        <v>0</v>
      </c>
      <c r="X12" s="45">
        <v>0</v>
      </c>
      <c r="Y12" s="45">
        <v>0</v>
      </c>
      <c r="Z12" s="45">
        <v>0</v>
      </c>
      <c r="AA12" s="45">
        <v>0</v>
      </c>
      <c r="AB12" s="45">
        <v>0</v>
      </c>
      <c r="AC12" s="45">
        <v>0</v>
      </c>
      <c r="AD12" s="45">
        <v>0</v>
      </c>
      <c r="AE12" s="45">
        <v>0</v>
      </c>
      <c r="AF12" s="45">
        <v>0</v>
      </c>
      <c r="AG12" s="462">
        <f t="shared" si="2"/>
        <v>0</v>
      </c>
      <c r="AH12" s="629"/>
      <c r="AJ12" s="628"/>
      <c r="AK12" s="628"/>
    </row>
    <row r="13" spans="3:37" ht="12.75" hidden="1" customHeight="1" x14ac:dyDescent="0.2">
      <c r="C13" s="259"/>
      <c r="D13" s="240" t="s">
        <v>572</v>
      </c>
      <c r="E13" s="583"/>
      <c r="F13" s="45">
        <v>0</v>
      </c>
      <c r="G13" s="462">
        <v>0</v>
      </c>
      <c r="H13" s="462">
        <v>0</v>
      </c>
      <c r="I13" s="462">
        <v>0</v>
      </c>
      <c r="J13" s="462">
        <v>0</v>
      </c>
      <c r="K13" s="462">
        <v>0</v>
      </c>
      <c r="L13" s="462">
        <v>0</v>
      </c>
      <c r="M13" s="462">
        <v>0</v>
      </c>
      <c r="N13" s="462">
        <v>0</v>
      </c>
      <c r="O13" s="462">
        <v>0</v>
      </c>
      <c r="P13" s="462">
        <v>0</v>
      </c>
      <c r="Q13" s="462">
        <v>0</v>
      </c>
      <c r="R13" s="462">
        <v>0</v>
      </c>
      <c r="S13" s="462">
        <f t="shared" si="3"/>
        <v>0</v>
      </c>
      <c r="T13" s="45">
        <v>0</v>
      </c>
      <c r="U13" s="462">
        <v>0</v>
      </c>
      <c r="V13" s="462">
        <v>0</v>
      </c>
      <c r="W13" s="462">
        <v>0</v>
      </c>
      <c r="X13" s="462">
        <v>0</v>
      </c>
      <c r="Y13" s="462">
        <v>0</v>
      </c>
      <c r="Z13" s="462">
        <v>0</v>
      </c>
      <c r="AA13" s="462">
        <v>0</v>
      </c>
      <c r="AB13" s="462">
        <v>0</v>
      </c>
      <c r="AC13" s="462">
        <v>0</v>
      </c>
      <c r="AD13" s="462">
        <v>0</v>
      </c>
      <c r="AE13" s="462">
        <v>0</v>
      </c>
      <c r="AF13" s="462">
        <v>0</v>
      </c>
      <c r="AG13" s="462">
        <f t="shared" si="2"/>
        <v>0</v>
      </c>
      <c r="AH13" s="629"/>
      <c r="AJ13" s="628"/>
      <c r="AK13" s="628"/>
    </row>
    <row r="14" spans="3:37" ht="12.75" hidden="1" customHeight="1" x14ac:dyDescent="0.2">
      <c r="C14" s="259"/>
      <c r="D14" s="240" t="s">
        <v>573</v>
      </c>
      <c r="E14" s="583"/>
      <c r="F14" s="45">
        <v>0</v>
      </c>
      <c r="G14" s="45">
        <v>0</v>
      </c>
      <c r="H14" s="45">
        <v>0</v>
      </c>
      <c r="I14" s="45">
        <v>0</v>
      </c>
      <c r="J14" s="45">
        <v>0</v>
      </c>
      <c r="K14" s="45">
        <v>0</v>
      </c>
      <c r="L14" s="45">
        <v>0</v>
      </c>
      <c r="M14" s="45">
        <v>0</v>
      </c>
      <c r="N14" s="45">
        <v>0</v>
      </c>
      <c r="O14" s="45">
        <v>0</v>
      </c>
      <c r="P14" s="45">
        <v>0</v>
      </c>
      <c r="Q14" s="45">
        <v>0</v>
      </c>
      <c r="R14" s="45">
        <v>0</v>
      </c>
      <c r="S14" s="462">
        <f t="shared" si="3"/>
        <v>0</v>
      </c>
      <c r="T14" s="45">
        <v>0</v>
      </c>
      <c r="U14" s="45">
        <v>0</v>
      </c>
      <c r="V14" s="45">
        <v>0</v>
      </c>
      <c r="W14" s="45">
        <v>0</v>
      </c>
      <c r="X14" s="45">
        <v>0</v>
      </c>
      <c r="Y14" s="45">
        <v>0</v>
      </c>
      <c r="Z14" s="45">
        <v>0</v>
      </c>
      <c r="AA14" s="45">
        <v>0</v>
      </c>
      <c r="AB14" s="45">
        <v>0</v>
      </c>
      <c r="AC14" s="45">
        <v>0</v>
      </c>
      <c r="AD14" s="45">
        <v>0</v>
      </c>
      <c r="AE14" s="45">
        <v>0</v>
      </c>
      <c r="AF14" s="45">
        <v>0</v>
      </c>
      <c r="AG14" s="462">
        <f t="shared" si="2"/>
        <v>0</v>
      </c>
      <c r="AH14" s="629"/>
      <c r="AJ14" s="628"/>
      <c r="AK14" s="628"/>
    </row>
    <row r="15" spans="3:37" ht="12.75" hidden="1" customHeight="1" x14ac:dyDescent="0.2">
      <c r="C15" s="259"/>
      <c r="D15" s="240" t="s">
        <v>574</v>
      </c>
      <c r="E15" s="583"/>
      <c r="F15" s="45">
        <v>0</v>
      </c>
      <c r="G15" s="45">
        <v>0</v>
      </c>
      <c r="H15" s="45">
        <v>0</v>
      </c>
      <c r="I15" s="45">
        <v>0</v>
      </c>
      <c r="J15" s="45">
        <v>0</v>
      </c>
      <c r="K15" s="45">
        <v>0</v>
      </c>
      <c r="L15" s="45">
        <v>0</v>
      </c>
      <c r="M15" s="45">
        <v>0</v>
      </c>
      <c r="N15" s="45">
        <v>0</v>
      </c>
      <c r="O15" s="45">
        <v>0</v>
      </c>
      <c r="P15" s="45">
        <v>0</v>
      </c>
      <c r="Q15" s="45">
        <v>0</v>
      </c>
      <c r="R15" s="45">
        <v>0</v>
      </c>
      <c r="S15" s="462">
        <f t="shared" si="3"/>
        <v>0</v>
      </c>
      <c r="T15" s="45">
        <v>0</v>
      </c>
      <c r="U15" s="45">
        <v>0</v>
      </c>
      <c r="V15" s="45">
        <v>0</v>
      </c>
      <c r="W15" s="45">
        <v>0</v>
      </c>
      <c r="X15" s="45">
        <v>0</v>
      </c>
      <c r="Y15" s="45">
        <v>0</v>
      </c>
      <c r="Z15" s="45">
        <v>0</v>
      </c>
      <c r="AA15" s="45">
        <v>0</v>
      </c>
      <c r="AB15" s="45">
        <v>0</v>
      </c>
      <c r="AC15" s="45">
        <v>0</v>
      </c>
      <c r="AD15" s="45">
        <v>0</v>
      </c>
      <c r="AE15" s="45">
        <v>0</v>
      </c>
      <c r="AF15" s="45">
        <v>0</v>
      </c>
      <c r="AG15" s="462">
        <f t="shared" si="2"/>
        <v>0</v>
      </c>
      <c r="AH15" s="629"/>
      <c r="AJ15" s="628"/>
      <c r="AK15" s="628"/>
    </row>
    <row r="16" spans="3:37" ht="12.75" hidden="1" customHeight="1" x14ac:dyDescent="0.2">
      <c r="C16" s="259"/>
      <c r="D16" s="240" t="s">
        <v>575</v>
      </c>
      <c r="E16" s="583"/>
      <c r="F16" s="45">
        <v>0</v>
      </c>
      <c r="G16" s="462">
        <v>0</v>
      </c>
      <c r="H16" s="462">
        <v>0</v>
      </c>
      <c r="I16" s="462">
        <v>0</v>
      </c>
      <c r="J16" s="462">
        <v>0</v>
      </c>
      <c r="K16" s="462">
        <v>0</v>
      </c>
      <c r="L16" s="462">
        <v>0</v>
      </c>
      <c r="M16" s="462">
        <v>0</v>
      </c>
      <c r="N16" s="462">
        <v>0</v>
      </c>
      <c r="O16" s="462">
        <v>0</v>
      </c>
      <c r="P16" s="462">
        <v>0</v>
      </c>
      <c r="Q16" s="462">
        <v>0</v>
      </c>
      <c r="R16" s="462">
        <v>0</v>
      </c>
      <c r="S16" s="462">
        <f t="shared" si="3"/>
        <v>0</v>
      </c>
      <c r="T16" s="45">
        <v>0</v>
      </c>
      <c r="U16" s="462">
        <v>0</v>
      </c>
      <c r="V16" s="462">
        <v>0</v>
      </c>
      <c r="W16" s="462">
        <v>0</v>
      </c>
      <c r="X16" s="462">
        <v>0</v>
      </c>
      <c r="Y16" s="462">
        <v>0</v>
      </c>
      <c r="Z16" s="462">
        <v>0</v>
      </c>
      <c r="AA16" s="462">
        <v>0</v>
      </c>
      <c r="AB16" s="462">
        <v>0</v>
      </c>
      <c r="AC16" s="462">
        <v>0</v>
      </c>
      <c r="AD16" s="462">
        <v>0</v>
      </c>
      <c r="AE16" s="462">
        <v>0</v>
      </c>
      <c r="AF16" s="462">
        <v>0</v>
      </c>
      <c r="AG16" s="462">
        <f t="shared" si="2"/>
        <v>0</v>
      </c>
      <c r="AH16" s="629"/>
      <c r="AJ16" s="628"/>
      <c r="AK16" s="628"/>
    </row>
    <row r="17" spans="3:37" ht="12.75" hidden="1" customHeight="1" x14ac:dyDescent="0.2">
      <c r="C17" s="259"/>
      <c r="D17" s="240" t="s">
        <v>576</v>
      </c>
      <c r="E17" s="583"/>
      <c r="F17" s="45">
        <v>0</v>
      </c>
      <c r="G17" s="45">
        <v>0</v>
      </c>
      <c r="H17" s="45">
        <v>0</v>
      </c>
      <c r="I17" s="45">
        <v>0</v>
      </c>
      <c r="J17" s="45">
        <v>0</v>
      </c>
      <c r="K17" s="45">
        <v>0</v>
      </c>
      <c r="L17" s="45">
        <v>0</v>
      </c>
      <c r="M17" s="45">
        <v>0</v>
      </c>
      <c r="N17" s="45">
        <v>0</v>
      </c>
      <c r="O17" s="45">
        <v>0</v>
      </c>
      <c r="P17" s="45">
        <v>0</v>
      </c>
      <c r="Q17" s="45">
        <v>0</v>
      </c>
      <c r="R17" s="45">
        <v>0</v>
      </c>
      <c r="S17" s="462">
        <f t="shared" si="3"/>
        <v>0</v>
      </c>
      <c r="T17" s="45">
        <v>0</v>
      </c>
      <c r="U17" s="45">
        <v>0</v>
      </c>
      <c r="V17" s="45">
        <v>0</v>
      </c>
      <c r="W17" s="45">
        <v>0</v>
      </c>
      <c r="X17" s="45">
        <v>0</v>
      </c>
      <c r="Y17" s="45">
        <v>0</v>
      </c>
      <c r="Z17" s="45">
        <v>0</v>
      </c>
      <c r="AA17" s="45">
        <v>0</v>
      </c>
      <c r="AB17" s="45">
        <v>0</v>
      </c>
      <c r="AC17" s="45">
        <v>0</v>
      </c>
      <c r="AD17" s="45">
        <v>0</v>
      </c>
      <c r="AE17" s="45">
        <v>0</v>
      </c>
      <c r="AF17" s="45">
        <v>0</v>
      </c>
      <c r="AG17" s="462">
        <f t="shared" si="2"/>
        <v>0</v>
      </c>
      <c r="AH17" s="629"/>
      <c r="AJ17" s="628"/>
      <c r="AK17" s="628"/>
    </row>
    <row r="18" spans="3:37" x14ac:dyDescent="0.2">
      <c r="C18" s="259"/>
      <c r="D18" s="240" t="s">
        <v>577</v>
      </c>
      <c r="E18" s="583"/>
      <c r="F18" s="630">
        <v>1037</v>
      </c>
      <c r="G18" s="630">
        <v>316</v>
      </c>
      <c r="H18" s="630">
        <v>168</v>
      </c>
      <c r="I18" s="630">
        <v>91</v>
      </c>
      <c r="J18" s="630">
        <v>138</v>
      </c>
      <c r="K18" s="630">
        <v>118</v>
      </c>
      <c r="L18" s="630">
        <v>206</v>
      </c>
      <c r="M18" s="630">
        <v>157</v>
      </c>
      <c r="N18" s="630">
        <v>179</v>
      </c>
      <c r="O18" s="630">
        <v>280</v>
      </c>
      <c r="P18" s="630">
        <v>77</v>
      </c>
      <c r="Q18" s="630">
        <v>0</v>
      </c>
      <c r="R18" s="630">
        <v>0</v>
      </c>
      <c r="S18" s="462">
        <f>SUM(G18:R18)</f>
        <v>1730</v>
      </c>
      <c r="T18" s="630">
        <v>2345</v>
      </c>
      <c r="U18" s="630">
        <v>228</v>
      </c>
      <c r="V18" s="630">
        <v>407</v>
      </c>
      <c r="W18" s="630">
        <v>198</v>
      </c>
      <c r="X18" s="630">
        <v>167</v>
      </c>
      <c r="Y18" s="630">
        <v>84</v>
      </c>
      <c r="Z18" s="630">
        <v>204</v>
      </c>
      <c r="AA18" s="630">
        <v>142</v>
      </c>
      <c r="AB18" s="630">
        <v>262</v>
      </c>
      <c r="AC18" s="630">
        <v>130</v>
      </c>
      <c r="AD18" s="630">
        <v>173</v>
      </c>
      <c r="AE18" s="630">
        <v>168</v>
      </c>
      <c r="AF18" s="630">
        <v>182</v>
      </c>
      <c r="AG18" s="462">
        <f>SUM(U18:AD18)</f>
        <v>1995</v>
      </c>
      <c r="AH18" s="629"/>
      <c r="AJ18" s="628"/>
      <c r="AK18" s="628"/>
    </row>
    <row r="19" spans="3:37" ht="12.75" hidden="1" customHeight="1" x14ac:dyDescent="0.2">
      <c r="C19" s="259"/>
      <c r="D19" s="240" t="s">
        <v>578</v>
      </c>
      <c r="E19" s="583"/>
      <c r="F19" s="630">
        <v>0</v>
      </c>
      <c r="G19" s="630">
        <v>0</v>
      </c>
      <c r="H19" s="630">
        <v>0</v>
      </c>
      <c r="I19" s="630">
        <v>0</v>
      </c>
      <c r="J19" s="630">
        <v>0</v>
      </c>
      <c r="K19" s="630">
        <v>0</v>
      </c>
      <c r="L19" s="630">
        <v>0</v>
      </c>
      <c r="M19" s="630">
        <v>0</v>
      </c>
      <c r="N19" s="630">
        <v>0</v>
      </c>
      <c r="O19" s="630">
        <v>0</v>
      </c>
      <c r="P19" s="630">
        <v>0</v>
      </c>
      <c r="Q19" s="630">
        <v>0</v>
      </c>
      <c r="R19" s="630">
        <v>0</v>
      </c>
      <c r="S19" s="462">
        <f t="shared" si="3"/>
        <v>0</v>
      </c>
      <c r="T19" s="630">
        <v>0</v>
      </c>
      <c r="U19" s="630">
        <v>0</v>
      </c>
      <c r="V19" s="630">
        <v>0</v>
      </c>
      <c r="W19" s="630">
        <v>0</v>
      </c>
      <c r="X19" s="630">
        <v>0</v>
      </c>
      <c r="Y19" s="630">
        <v>0</v>
      </c>
      <c r="Z19" s="630">
        <v>0</v>
      </c>
      <c r="AA19" s="630">
        <v>0</v>
      </c>
      <c r="AB19" s="630">
        <v>0</v>
      </c>
      <c r="AC19" s="630">
        <v>0</v>
      </c>
      <c r="AD19" s="630">
        <v>0</v>
      </c>
      <c r="AE19" s="630">
        <v>0</v>
      </c>
      <c r="AF19" s="630">
        <v>0</v>
      </c>
      <c r="AG19" s="462">
        <f t="shared" si="2"/>
        <v>0</v>
      </c>
      <c r="AH19" s="629"/>
      <c r="AJ19" s="628"/>
      <c r="AK19" s="628"/>
    </row>
    <row r="20" spans="3:37" ht="12.75" hidden="1" customHeight="1" x14ac:dyDescent="0.2">
      <c r="C20" s="259"/>
      <c r="D20" s="240" t="s">
        <v>579</v>
      </c>
      <c r="E20" s="583"/>
      <c r="F20" s="630">
        <v>0</v>
      </c>
      <c r="G20" s="630">
        <v>0</v>
      </c>
      <c r="H20" s="630">
        <v>0</v>
      </c>
      <c r="I20" s="630">
        <v>0</v>
      </c>
      <c r="J20" s="630">
        <v>0</v>
      </c>
      <c r="K20" s="630">
        <v>0</v>
      </c>
      <c r="L20" s="630">
        <v>0</v>
      </c>
      <c r="M20" s="630">
        <v>0</v>
      </c>
      <c r="N20" s="630">
        <v>0</v>
      </c>
      <c r="O20" s="630">
        <v>0</v>
      </c>
      <c r="P20" s="630">
        <v>0</v>
      </c>
      <c r="Q20" s="630">
        <v>0</v>
      </c>
      <c r="R20" s="630">
        <v>0</v>
      </c>
      <c r="S20" s="462">
        <f t="shared" si="3"/>
        <v>0</v>
      </c>
      <c r="T20" s="630">
        <v>0</v>
      </c>
      <c r="U20" s="630">
        <v>0</v>
      </c>
      <c r="V20" s="630">
        <v>0</v>
      </c>
      <c r="W20" s="630">
        <v>0</v>
      </c>
      <c r="X20" s="630">
        <v>0</v>
      </c>
      <c r="Y20" s="630">
        <v>0</v>
      </c>
      <c r="Z20" s="630">
        <v>0</v>
      </c>
      <c r="AA20" s="630">
        <v>0</v>
      </c>
      <c r="AB20" s="630">
        <v>0</v>
      </c>
      <c r="AC20" s="630">
        <v>0</v>
      </c>
      <c r="AD20" s="630">
        <v>0</v>
      </c>
      <c r="AE20" s="630">
        <v>0</v>
      </c>
      <c r="AF20" s="630">
        <v>0</v>
      </c>
      <c r="AG20" s="462">
        <f t="shared" si="2"/>
        <v>0</v>
      </c>
      <c r="AH20" s="629"/>
      <c r="AJ20" s="628"/>
      <c r="AK20" s="628"/>
    </row>
    <row r="21" spans="3:37" ht="12.75" customHeight="1" x14ac:dyDescent="0.2">
      <c r="C21" s="259"/>
      <c r="D21" s="240" t="s">
        <v>580</v>
      </c>
      <c r="E21" s="553"/>
      <c r="F21" s="630">
        <v>0</v>
      </c>
      <c r="G21" s="630">
        <v>0</v>
      </c>
      <c r="H21" s="630">
        <v>0</v>
      </c>
      <c r="I21" s="630">
        <v>0</v>
      </c>
      <c r="J21" s="630">
        <v>0</v>
      </c>
      <c r="K21" s="630">
        <v>0</v>
      </c>
      <c r="L21" s="630">
        <v>0</v>
      </c>
      <c r="M21" s="630">
        <v>0</v>
      </c>
      <c r="N21" s="630">
        <v>0</v>
      </c>
      <c r="O21" s="630">
        <v>0</v>
      </c>
      <c r="P21" s="630">
        <v>0</v>
      </c>
      <c r="Q21" s="630">
        <v>0</v>
      </c>
      <c r="R21" s="630">
        <v>0</v>
      </c>
      <c r="S21" s="462">
        <f>SUM(G21:R21)</f>
        <v>0</v>
      </c>
      <c r="T21" s="630">
        <v>378078</v>
      </c>
      <c r="U21" s="630">
        <v>0</v>
      </c>
      <c r="V21" s="630">
        <v>378078</v>
      </c>
      <c r="W21" s="630">
        <v>0</v>
      </c>
      <c r="X21" s="630">
        <v>0</v>
      </c>
      <c r="Y21" s="630">
        <v>0</v>
      </c>
      <c r="Z21" s="630">
        <v>0</v>
      </c>
      <c r="AA21" s="630">
        <v>0</v>
      </c>
      <c r="AB21" s="630">
        <v>0</v>
      </c>
      <c r="AC21" s="630">
        <v>0</v>
      </c>
      <c r="AD21" s="630">
        <v>0</v>
      </c>
      <c r="AE21" s="630">
        <v>0</v>
      </c>
      <c r="AF21" s="630">
        <v>0</v>
      </c>
      <c r="AG21" s="462">
        <f t="shared" ref="AG21:AG26" si="4">SUM(U21:AD21)</f>
        <v>378078</v>
      </c>
      <c r="AH21" s="629"/>
      <c r="AJ21" s="628"/>
      <c r="AK21" s="628"/>
    </row>
    <row r="22" spans="3:37" x14ac:dyDescent="0.2">
      <c r="C22" s="259"/>
      <c r="D22" s="240" t="s">
        <v>581</v>
      </c>
      <c r="E22" s="570"/>
      <c r="F22" s="630">
        <v>10102000</v>
      </c>
      <c r="G22" s="630">
        <v>376261</v>
      </c>
      <c r="H22" s="630">
        <v>1466990</v>
      </c>
      <c r="I22" s="630">
        <v>764417</v>
      </c>
      <c r="J22" s="630">
        <v>2780720</v>
      </c>
      <c r="K22" s="630">
        <v>1213553</v>
      </c>
      <c r="L22" s="630">
        <v>716835</v>
      </c>
      <c r="M22" s="630">
        <v>2010551</v>
      </c>
      <c r="N22" s="630">
        <v>777625</v>
      </c>
      <c r="O22" s="630">
        <v>2213621</v>
      </c>
      <c r="P22" s="630">
        <v>1216723</v>
      </c>
      <c r="Q22" s="630">
        <v>0</v>
      </c>
      <c r="R22" s="630">
        <v>0</v>
      </c>
      <c r="S22" s="462">
        <f>SUM(G22:R22)</f>
        <v>13537296</v>
      </c>
      <c r="T22" s="630">
        <v>3462654</v>
      </c>
      <c r="U22" s="630">
        <v>236014</v>
      </c>
      <c r="V22" s="630">
        <v>324359</v>
      </c>
      <c r="W22" s="630">
        <v>183897</v>
      </c>
      <c r="X22" s="630">
        <v>236661</v>
      </c>
      <c r="Y22" s="630">
        <v>513409</v>
      </c>
      <c r="Z22" s="630">
        <v>241446</v>
      </c>
      <c r="AA22" s="630">
        <v>54544</v>
      </c>
      <c r="AB22" s="630">
        <v>368953</v>
      </c>
      <c r="AC22" s="630">
        <v>133269</v>
      </c>
      <c r="AD22" s="630">
        <v>279324</v>
      </c>
      <c r="AE22" s="630">
        <v>508862</v>
      </c>
      <c r="AF22" s="630">
        <v>381916</v>
      </c>
      <c r="AG22" s="462">
        <f t="shared" si="4"/>
        <v>2571876</v>
      </c>
      <c r="AH22" s="629"/>
      <c r="AJ22" s="631"/>
      <c r="AK22" s="628"/>
    </row>
    <row r="23" spans="3:37" ht="12.75" hidden="1" customHeight="1" x14ac:dyDescent="0.2">
      <c r="C23" s="259"/>
      <c r="D23" s="240" t="s">
        <v>582</v>
      </c>
      <c r="E23" s="583"/>
      <c r="F23" s="630">
        <v>0</v>
      </c>
      <c r="G23" s="630">
        <v>0</v>
      </c>
      <c r="H23" s="630">
        <v>0</v>
      </c>
      <c r="I23" s="630">
        <v>0</v>
      </c>
      <c r="J23" s="630">
        <v>0</v>
      </c>
      <c r="K23" s="630">
        <v>0</v>
      </c>
      <c r="L23" s="630">
        <v>0</v>
      </c>
      <c r="M23" s="630">
        <v>0</v>
      </c>
      <c r="N23" s="630">
        <v>0</v>
      </c>
      <c r="O23" s="630">
        <v>0</v>
      </c>
      <c r="P23" s="630">
        <v>0</v>
      </c>
      <c r="Q23" s="630">
        <v>0</v>
      </c>
      <c r="R23" s="630">
        <v>0</v>
      </c>
      <c r="S23" s="462">
        <f>SUM(G23:R23)</f>
        <v>0</v>
      </c>
      <c r="T23" s="630">
        <v>0</v>
      </c>
      <c r="U23" s="630">
        <v>0</v>
      </c>
      <c r="V23" s="630">
        <v>0</v>
      </c>
      <c r="W23" s="630">
        <v>0</v>
      </c>
      <c r="X23" s="630">
        <v>0</v>
      </c>
      <c r="Y23" s="630">
        <v>0</v>
      </c>
      <c r="Z23" s="630">
        <v>0</v>
      </c>
      <c r="AA23" s="630">
        <v>0</v>
      </c>
      <c r="AB23" s="630">
        <v>0</v>
      </c>
      <c r="AC23" s="630">
        <v>0</v>
      </c>
      <c r="AD23" s="630">
        <v>0</v>
      </c>
      <c r="AE23" s="630">
        <v>0</v>
      </c>
      <c r="AF23" s="630">
        <v>0</v>
      </c>
      <c r="AG23" s="462">
        <f t="shared" si="4"/>
        <v>0</v>
      </c>
      <c r="AH23" s="629"/>
      <c r="AJ23" s="628"/>
      <c r="AK23" s="628"/>
    </row>
    <row r="24" spans="3:37" ht="12.75" hidden="1" customHeight="1" x14ac:dyDescent="0.2">
      <c r="C24" s="259"/>
      <c r="D24" s="240" t="s">
        <v>583</v>
      </c>
      <c r="E24" s="583"/>
      <c r="F24" s="630">
        <v>0</v>
      </c>
      <c r="G24" s="630">
        <v>0</v>
      </c>
      <c r="H24" s="630">
        <v>0</v>
      </c>
      <c r="I24" s="630">
        <v>0</v>
      </c>
      <c r="J24" s="630">
        <v>0</v>
      </c>
      <c r="K24" s="630">
        <v>0</v>
      </c>
      <c r="L24" s="630">
        <v>0</v>
      </c>
      <c r="M24" s="630">
        <v>0</v>
      </c>
      <c r="N24" s="630">
        <v>0</v>
      </c>
      <c r="O24" s="630">
        <v>0</v>
      </c>
      <c r="P24" s="630">
        <v>0</v>
      </c>
      <c r="Q24" s="630">
        <v>0</v>
      </c>
      <c r="R24" s="630">
        <v>0</v>
      </c>
      <c r="S24" s="462">
        <f t="shared" si="3"/>
        <v>0</v>
      </c>
      <c r="T24" s="630">
        <v>0</v>
      </c>
      <c r="U24" s="630">
        <v>0</v>
      </c>
      <c r="V24" s="630">
        <v>0</v>
      </c>
      <c r="W24" s="630">
        <v>0</v>
      </c>
      <c r="X24" s="630">
        <v>0</v>
      </c>
      <c r="Y24" s="630">
        <v>0</v>
      </c>
      <c r="Z24" s="630">
        <v>0</v>
      </c>
      <c r="AA24" s="630">
        <v>0</v>
      </c>
      <c r="AB24" s="630">
        <v>0</v>
      </c>
      <c r="AC24" s="630">
        <v>0</v>
      </c>
      <c r="AD24" s="630">
        <v>0</v>
      </c>
      <c r="AE24" s="630">
        <v>0</v>
      </c>
      <c r="AF24" s="630">
        <v>0</v>
      </c>
      <c r="AG24" s="462">
        <f t="shared" si="4"/>
        <v>0</v>
      </c>
      <c r="AH24" s="629"/>
      <c r="AJ24" s="628"/>
      <c r="AK24" s="628"/>
    </row>
    <row r="25" spans="3:37" ht="12.75" hidden="1" customHeight="1" x14ac:dyDescent="0.2">
      <c r="C25" s="259"/>
      <c r="D25" s="240" t="s">
        <v>584</v>
      </c>
      <c r="E25" s="583"/>
      <c r="F25" s="630">
        <v>0</v>
      </c>
      <c r="G25" s="630">
        <v>0</v>
      </c>
      <c r="H25" s="630">
        <v>0</v>
      </c>
      <c r="I25" s="630">
        <v>0</v>
      </c>
      <c r="J25" s="630">
        <v>0</v>
      </c>
      <c r="K25" s="630">
        <v>0</v>
      </c>
      <c r="L25" s="630">
        <v>0</v>
      </c>
      <c r="M25" s="630">
        <v>0</v>
      </c>
      <c r="N25" s="630">
        <v>0</v>
      </c>
      <c r="O25" s="630">
        <v>0</v>
      </c>
      <c r="P25" s="630">
        <v>0</v>
      </c>
      <c r="Q25" s="630">
        <v>0</v>
      </c>
      <c r="R25" s="630">
        <v>0</v>
      </c>
      <c r="S25" s="462">
        <f t="shared" si="3"/>
        <v>0</v>
      </c>
      <c r="T25" s="630">
        <v>0</v>
      </c>
      <c r="U25" s="630">
        <v>0</v>
      </c>
      <c r="V25" s="630">
        <v>0</v>
      </c>
      <c r="W25" s="630">
        <v>0</v>
      </c>
      <c r="X25" s="630">
        <v>0</v>
      </c>
      <c r="Y25" s="630">
        <v>0</v>
      </c>
      <c r="Z25" s="630">
        <v>0</v>
      </c>
      <c r="AA25" s="630">
        <v>0</v>
      </c>
      <c r="AB25" s="630">
        <v>0</v>
      </c>
      <c r="AC25" s="630">
        <v>0</v>
      </c>
      <c r="AD25" s="630">
        <v>0</v>
      </c>
      <c r="AE25" s="630">
        <v>0</v>
      </c>
      <c r="AF25" s="630">
        <v>0</v>
      </c>
      <c r="AG25" s="462">
        <f t="shared" si="4"/>
        <v>0</v>
      </c>
      <c r="AH25" s="629"/>
      <c r="AJ25" s="628"/>
      <c r="AK25" s="628"/>
    </row>
    <row r="26" spans="3:37" x14ac:dyDescent="0.2">
      <c r="C26" s="259"/>
      <c r="D26" s="240" t="s">
        <v>585</v>
      </c>
      <c r="E26" s="583"/>
      <c r="F26" s="630">
        <v>13726000</v>
      </c>
      <c r="G26" s="630">
        <v>859912</v>
      </c>
      <c r="H26" s="630">
        <v>1339982</v>
      </c>
      <c r="I26" s="630">
        <v>2555446</v>
      </c>
      <c r="J26" s="630">
        <v>769465</v>
      </c>
      <c r="K26" s="630">
        <v>1947836</v>
      </c>
      <c r="L26" s="630">
        <v>1224536</v>
      </c>
      <c r="M26" s="630">
        <v>570704</v>
      </c>
      <c r="N26" s="630">
        <v>122754</v>
      </c>
      <c r="O26" s="630">
        <v>485052</v>
      </c>
      <c r="P26" s="630">
        <v>143920</v>
      </c>
      <c r="Q26" s="630">
        <v>0</v>
      </c>
      <c r="R26" s="630">
        <v>0</v>
      </c>
      <c r="S26" s="462">
        <f>SUM(G26:R26)</f>
        <v>10019607</v>
      </c>
      <c r="T26" s="630">
        <v>8958256</v>
      </c>
      <c r="U26" s="630">
        <v>955276</v>
      </c>
      <c r="V26" s="630">
        <v>4819534</v>
      </c>
      <c r="W26" s="630">
        <v>9233</v>
      </c>
      <c r="X26" s="630">
        <v>0</v>
      </c>
      <c r="Y26" s="630">
        <v>23388</v>
      </c>
      <c r="Z26" s="630">
        <v>67995</v>
      </c>
      <c r="AA26" s="630">
        <v>94893</v>
      </c>
      <c r="AB26" s="630">
        <v>20762</v>
      </c>
      <c r="AC26" s="630">
        <v>9886</v>
      </c>
      <c r="AD26" s="630">
        <v>28056</v>
      </c>
      <c r="AE26" s="630">
        <v>49385</v>
      </c>
      <c r="AF26" s="630">
        <v>2879848</v>
      </c>
      <c r="AG26" s="462">
        <f t="shared" si="4"/>
        <v>6029023</v>
      </c>
      <c r="AH26" s="629"/>
      <c r="AJ26" s="631"/>
      <c r="AK26" s="628"/>
    </row>
    <row r="27" spans="3:37" ht="12.75" hidden="1" customHeight="1" x14ac:dyDescent="0.2">
      <c r="C27" s="259"/>
      <c r="D27" s="240" t="s">
        <v>586</v>
      </c>
      <c r="E27" s="583"/>
      <c r="F27" s="630">
        <v>0</v>
      </c>
      <c r="G27" s="45">
        <v>0</v>
      </c>
      <c r="H27" s="45">
        <v>0</v>
      </c>
      <c r="I27" s="45">
        <v>0</v>
      </c>
      <c r="J27" s="45">
        <v>0</v>
      </c>
      <c r="K27" s="45">
        <v>0</v>
      </c>
      <c r="L27" s="45">
        <v>0</v>
      </c>
      <c r="M27" s="45">
        <v>0</v>
      </c>
      <c r="N27" s="45">
        <v>0</v>
      </c>
      <c r="O27" s="45">
        <v>0</v>
      </c>
      <c r="P27" s="45">
        <v>0</v>
      </c>
      <c r="Q27" s="45">
        <v>0</v>
      </c>
      <c r="R27" s="45">
        <v>0</v>
      </c>
      <c r="S27" s="462">
        <f t="shared" si="3"/>
        <v>0</v>
      </c>
      <c r="T27" s="630">
        <v>0</v>
      </c>
      <c r="U27" s="45">
        <v>0</v>
      </c>
      <c r="V27" s="45">
        <v>0</v>
      </c>
      <c r="W27" s="45">
        <v>0</v>
      </c>
      <c r="X27" s="45">
        <v>0</v>
      </c>
      <c r="Y27" s="45">
        <v>0</v>
      </c>
      <c r="Z27" s="45">
        <v>0</v>
      </c>
      <c r="AA27" s="45">
        <v>0</v>
      </c>
      <c r="AB27" s="45">
        <v>0</v>
      </c>
      <c r="AC27" s="45">
        <v>0</v>
      </c>
      <c r="AD27" s="45">
        <v>0</v>
      </c>
      <c r="AE27" s="45">
        <v>0</v>
      </c>
      <c r="AF27" s="45">
        <v>0</v>
      </c>
      <c r="AG27" s="462">
        <f t="shared" ref="AG27:AG38" si="5">SUM(U27:AA27)</f>
        <v>0</v>
      </c>
      <c r="AH27" s="629"/>
      <c r="AJ27" s="628"/>
      <c r="AK27" s="628"/>
    </row>
    <row r="28" spans="3:37" ht="12.75" hidden="1" customHeight="1" x14ac:dyDescent="0.2">
      <c r="C28" s="259"/>
      <c r="D28" s="240" t="s">
        <v>587</v>
      </c>
      <c r="E28" s="553" t="s">
        <v>60</v>
      </c>
      <c r="F28" s="630">
        <v>0</v>
      </c>
      <c r="G28" s="45">
        <v>0</v>
      </c>
      <c r="H28" s="45">
        <v>0</v>
      </c>
      <c r="I28" s="45">
        <v>0</v>
      </c>
      <c r="J28" s="45">
        <v>0</v>
      </c>
      <c r="K28" s="45">
        <v>0</v>
      </c>
      <c r="L28" s="45">
        <v>0</v>
      </c>
      <c r="M28" s="45">
        <v>0</v>
      </c>
      <c r="N28" s="45">
        <v>0</v>
      </c>
      <c r="O28" s="45">
        <v>0</v>
      </c>
      <c r="P28" s="45">
        <v>0</v>
      </c>
      <c r="Q28" s="45">
        <v>0</v>
      </c>
      <c r="R28" s="45">
        <v>0</v>
      </c>
      <c r="S28" s="462">
        <f t="shared" si="3"/>
        <v>0</v>
      </c>
      <c r="T28" s="630">
        <v>0</v>
      </c>
      <c r="U28" s="45">
        <v>0</v>
      </c>
      <c r="V28" s="45">
        <v>0</v>
      </c>
      <c r="W28" s="45">
        <v>0</v>
      </c>
      <c r="X28" s="45">
        <v>0</v>
      </c>
      <c r="Y28" s="45">
        <v>0</v>
      </c>
      <c r="Z28" s="45">
        <v>0</v>
      </c>
      <c r="AA28" s="45">
        <v>0</v>
      </c>
      <c r="AB28" s="45">
        <v>0</v>
      </c>
      <c r="AC28" s="45">
        <v>0</v>
      </c>
      <c r="AD28" s="45">
        <v>0</v>
      </c>
      <c r="AE28" s="45">
        <v>0</v>
      </c>
      <c r="AF28" s="45">
        <v>0</v>
      </c>
      <c r="AG28" s="462">
        <f t="shared" si="5"/>
        <v>0</v>
      </c>
      <c r="AH28" s="629"/>
      <c r="AJ28" s="628"/>
      <c r="AK28" s="628"/>
    </row>
    <row r="29" spans="3:37" ht="12.75" hidden="1" customHeight="1" x14ac:dyDescent="0.2">
      <c r="C29" s="259"/>
      <c r="D29" s="240" t="s">
        <v>588</v>
      </c>
      <c r="E29" s="583"/>
      <c r="F29" s="630">
        <v>0</v>
      </c>
      <c r="G29" s="45">
        <v>0</v>
      </c>
      <c r="H29" s="45">
        <v>0</v>
      </c>
      <c r="I29" s="45">
        <v>0</v>
      </c>
      <c r="J29" s="45">
        <v>0</v>
      </c>
      <c r="K29" s="45">
        <v>0</v>
      </c>
      <c r="L29" s="45">
        <v>0</v>
      </c>
      <c r="M29" s="45">
        <v>0</v>
      </c>
      <c r="N29" s="45">
        <v>0</v>
      </c>
      <c r="O29" s="45">
        <v>0</v>
      </c>
      <c r="P29" s="45">
        <v>0</v>
      </c>
      <c r="Q29" s="45">
        <v>0</v>
      </c>
      <c r="R29" s="45">
        <v>0</v>
      </c>
      <c r="S29" s="462">
        <f>SUM(G29:R29)</f>
        <v>0</v>
      </c>
      <c r="T29" s="630">
        <v>0</v>
      </c>
      <c r="U29" s="45">
        <v>0</v>
      </c>
      <c r="V29" s="45">
        <v>0</v>
      </c>
      <c r="W29" s="45">
        <v>0</v>
      </c>
      <c r="X29" s="45">
        <v>0</v>
      </c>
      <c r="Y29" s="45">
        <v>0</v>
      </c>
      <c r="Z29" s="45">
        <v>0</v>
      </c>
      <c r="AA29" s="45">
        <v>0</v>
      </c>
      <c r="AB29" s="45">
        <v>0</v>
      </c>
      <c r="AC29" s="45">
        <v>0</v>
      </c>
      <c r="AD29" s="45">
        <v>0</v>
      </c>
      <c r="AE29" s="45">
        <v>0</v>
      </c>
      <c r="AF29" s="45">
        <v>0</v>
      </c>
      <c r="AG29" s="462">
        <f t="shared" si="5"/>
        <v>0</v>
      </c>
      <c r="AH29" s="629"/>
      <c r="AJ29" s="628"/>
      <c r="AK29" s="628"/>
    </row>
    <row r="30" spans="3:37" ht="12.75" hidden="1" customHeight="1" x14ac:dyDescent="0.2">
      <c r="C30" s="259"/>
      <c r="D30" s="240" t="s">
        <v>589</v>
      </c>
      <c r="E30" s="583"/>
      <c r="F30" s="630">
        <v>0</v>
      </c>
      <c r="G30" s="45">
        <v>0</v>
      </c>
      <c r="H30" s="45">
        <v>0</v>
      </c>
      <c r="I30" s="45">
        <v>0</v>
      </c>
      <c r="J30" s="45">
        <v>0</v>
      </c>
      <c r="K30" s="45">
        <v>0</v>
      </c>
      <c r="L30" s="45">
        <v>0</v>
      </c>
      <c r="M30" s="45">
        <v>0</v>
      </c>
      <c r="N30" s="45">
        <v>0</v>
      </c>
      <c r="O30" s="45">
        <v>0</v>
      </c>
      <c r="P30" s="45">
        <v>0</v>
      </c>
      <c r="Q30" s="45">
        <v>0</v>
      </c>
      <c r="R30" s="45">
        <v>0</v>
      </c>
      <c r="S30" s="462">
        <f t="shared" si="3"/>
        <v>0</v>
      </c>
      <c r="T30" s="630">
        <v>0</v>
      </c>
      <c r="U30" s="45">
        <v>0</v>
      </c>
      <c r="V30" s="45">
        <v>0</v>
      </c>
      <c r="W30" s="45">
        <v>0</v>
      </c>
      <c r="X30" s="45">
        <v>0</v>
      </c>
      <c r="Y30" s="45">
        <v>0</v>
      </c>
      <c r="Z30" s="45">
        <v>0</v>
      </c>
      <c r="AA30" s="45">
        <v>0</v>
      </c>
      <c r="AB30" s="45">
        <v>0</v>
      </c>
      <c r="AC30" s="45">
        <v>0</v>
      </c>
      <c r="AD30" s="45">
        <v>0</v>
      </c>
      <c r="AE30" s="45">
        <v>0</v>
      </c>
      <c r="AF30" s="45">
        <v>0</v>
      </c>
      <c r="AG30" s="462">
        <f t="shared" si="5"/>
        <v>0</v>
      </c>
      <c r="AH30" s="629"/>
      <c r="AJ30" s="628"/>
      <c r="AK30" s="628"/>
    </row>
    <row r="31" spans="3:37" ht="12.75" hidden="1" customHeight="1" x14ac:dyDescent="0.2">
      <c r="C31" s="259"/>
      <c r="D31" s="240" t="s">
        <v>590</v>
      </c>
      <c r="E31" s="583"/>
      <c r="F31" s="630">
        <v>0</v>
      </c>
      <c r="G31" s="45">
        <v>0</v>
      </c>
      <c r="H31" s="45">
        <v>0</v>
      </c>
      <c r="I31" s="45">
        <v>0</v>
      </c>
      <c r="J31" s="45">
        <v>0</v>
      </c>
      <c r="K31" s="45">
        <v>0</v>
      </c>
      <c r="L31" s="45">
        <v>0</v>
      </c>
      <c r="M31" s="45">
        <v>0</v>
      </c>
      <c r="N31" s="45">
        <v>0</v>
      </c>
      <c r="O31" s="45">
        <v>0</v>
      </c>
      <c r="P31" s="45">
        <v>0</v>
      </c>
      <c r="Q31" s="45">
        <v>0</v>
      </c>
      <c r="R31" s="45">
        <v>0</v>
      </c>
      <c r="S31" s="462">
        <f t="shared" si="3"/>
        <v>0</v>
      </c>
      <c r="T31" s="630">
        <v>0</v>
      </c>
      <c r="U31" s="45">
        <v>0</v>
      </c>
      <c r="V31" s="45">
        <v>0</v>
      </c>
      <c r="W31" s="45">
        <v>0</v>
      </c>
      <c r="X31" s="45">
        <v>0</v>
      </c>
      <c r="Y31" s="45">
        <v>0</v>
      </c>
      <c r="Z31" s="45">
        <v>0</v>
      </c>
      <c r="AA31" s="45">
        <v>0</v>
      </c>
      <c r="AB31" s="45">
        <v>0</v>
      </c>
      <c r="AC31" s="45">
        <v>0</v>
      </c>
      <c r="AD31" s="45">
        <v>0</v>
      </c>
      <c r="AE31" s="45">
        <v>0</v>
      </c>
      <c r="AF31" s="45">
        <v>0</v>
      </c>
      <c r="AG31" s="462">
        <f t="shared" si="5"/>
        <v>0</v>
      </c>
      <c r="AH31" s="629"/>
      <c r="AJ31" s="628"/>
      <c r="AK31" s="628"/>
    </row>
    <row r="32" spans="3:37" ht="12.75" hidden="1" customHeight="1" x14ac:dyDescent="0.2">
      <c r="C32" s="259"/>
      <c r="D32" s="240" t="s">
        <v>591</v>
      </c>
      <c r="E32" s="583"/>
      <c r="F32" s="630">
        <v>0</v>
      </c>
      <c r="G32" s="45">
        <v>0</v>
      </c>
      <c r="H32" s="45">
        <v>0</v>
      </c>
      <c r="I32" s="45">
        <v>0</v>
      </c>
      <c r="J32" s="45">
        <v>0</v>
      </c>
      <c r="K32" s="45">
        <v>0</v>
      </c>
      <c r="L32" s="45">
        <v>0</v>
      </c>
      <c r="M32" s="45">
        <v>0</v>
      </c>
      <c r="N32" s="45">
        <v>0</v>
      </c>
      <c r="O32" s="45">
        <v>0</v>
      </c>
      <c r="P32" s="45">
        <v>0</v>
      </c>
      <c r="Q32" s="45">
        <v>0</v>
      </c>
      <c r="R32" s="45">
        <v>0</v>
      </c>
      <c r="S32" s="462">
        <f t="shared" si="3"/>
        <v>0</v>
      </c>
      <c r="T32" s="630">
        <v>0</v>
      </c>
      <c r="U32" s="45">
        <v>0</v>
      </c>
      <c r="V32" s="45">
        <v>0</v>
      </c>
      <c r="W32" s="45">
        <v>0</v>
      </c>
      <c r="X32" s="45">
        <v>0</v>
      </c>
      <c r="Y32" s="45">
        <v>0</v>
      </c>
      <c r="Z32" s="45">
        <v>0</v>
      </c>
      <c r="AA32" s="45">
        <v>0</v>
      </c>
      <c r="AB32" s="45">
        <v>0</v>
      </c>
      <c r="AC32" s="45">
        <v>0</v>
      </c>
      <c r="AD32" s="45">
        <v>0</v>
      </c>
      <c r="AE32" s="45">
        <v>0</v>
      </c>
      <c r="AF32" s="45">
        <v>0</v>
      </c>
      <c r="AG32" s="462">
        <f t="shared" si="5"/>
        <v>0</v>
      </c>
      <c r="AH32" s="629"/>
      <c r="AJ32" s="628"/>
      <c r="AK32" s="628"/>
    </row>
    <row r="33" spans="3:37" ht="12.75" hidden="1" customHeight="1" x14ac:dyDescent="0.2">
      <c r="C33" s="259"/>
      <c r="D33" s="240" t="s">
        <v>591</v>
      </c>
      <c r="E33" s="583"/>
      <c r="F33" s="630">
        <v>0</v>
      </c>
      <c r="G33" s="45">
        <v>0</v>
      </c>
      <c r="H33" s="45">
        <v>0</v>
      </c>
      <c r="I33" s="45">
        <v>0</v>
      </c>
      <c r="J33" s="45">
        <v>0</v>
      </c>
      <c r="K33" s="45">
        <v>0</v>
      </c>
      <c r="L33" s="45">
        <v>0</v>
      </c>
      <c r="M33" s="45">
        <v>0</v>
      </c>
      <c r="N33" s="45">
        <v>0</v>
      </c>
      <c r="O33" s="45">
        <v>0</v>
      </c>
      <c r="P33" s="45">
        <v>0</v>
      </c>
      <c r="Q33" s="45">
        <v>0</v>
      </c>
      <c r="R33" s="45">
        <v>0</v>
      </c>
      <c r="S33" s="462">
        <f t="shared" si="3"/>
        <v>0</v>
      </c>
      <c r="T33" s="630">
        <v>0</v>
      </c>
      <c r="U33" s="45">
        <v>0</v>
      </c>
      <c r="V33" s="45">
        <v>0</v>
      </c>
      <c r="W33" s="45">
        <v>0</v>
      </c>
      <c r="X33" s="45">
        <v>0</v>
      </c>
      <c r="Y33" s="45">
        <v>0</v>
      </c>
      <c r="Z33" s="45">
        <v>0</v>
      </c>
      <c r="AA33" s="45">
        <v>0</v>
      </c>
      <c r="AB33" s="45">
        <v>0</v>
      </c>
      <c r="AC33" s="45">
        <v>0</v>
      </c>
      <c r="AD33" s="45">
        <v>0</v>
      </c>
      <c r="AE33" s="45">
        <v>0</v>
      </c>
      <c r="AF33" s="45">
        <v>0</v>
      </c>
      <c r="AG33" s="462">
        <f t="shared" si="5"/>
        <v>0</v>
      </c>
      <c r="AH33" s="629"/>
      <c r="AJ33" s="628"/>
      <c r="AK33" s="628"/>
    </row>
    <row r="34" spans="3:37" ht="15" hidden="1" customHeight="1" x14ac:dyDescent="0.2">
      <c r="C34" s="259"/>
      <c r="D34" s="240" t="s">
        <v>592</v>
      </c>
      <c r="E34" s="583"/>
      <c r="F34" s="630">
        <v>0</v>
      </c>
      <c r="G34" s="45">
        <v>0</v>
      </c>
      <c r="H34" s="45">
        <v>0</v>
      </c>
      <c r="I34" s="45">
        <v>0</v>
      </c>
      <c r="J34" s="45">
        <v>0</v>
      </c>
      <c r="K34" s="45">
        <v>0</v>
      </c>
      <c r="L34" s="45">
        <v>0</v>
      </c>
      <c r="M34" s="45">
        <v>0</v>
      </c>
      <c r="N34" s="45">
        <v>0</v>
      </c>
      <c r="O34" s="45">
        <v>0</v>
      </c>
      <c r="P34" s="45">
        <v>0</v>
      </c>
      <c r="Q34" s="45">
        <v>0</v>
      </c>
      <c r="R34" s="45">
        <v>0</v>
      </c>
      <c r="S34" s="462">
        <f t="shared" si="3"/>
        <v>0</v>
      </c>
      <c r="T34" s="630">
        <v>0</v>
      </c>
      <c r="U34" s="45">
        <v>0</v>
      </c>
      <c r="V34" s="45">
        <v>0</v>
      </c>
      <c r="W34" s="45">
        <v>0</v>
      </c>
      <c r="X34" s="45">
        <v>0</v>
      </c>
      <c r="Y34" s="45">
        <v>0</v>
      </c>
      <c r="Z34" s="45">
        <v>0</v>
      </c>
      <c r="AA34" s="45">
        <v>0</v>
      </c>
      <c r="AB34" s="45">
        <v>0</v>
      </c>
      <c r="AC34" s="45">
        <v>0</v>
      </c>
      <c r="AD34" s="45">
        <v>0</v>
      </c>
      <c r="AE34" s="45">
        <v>0</v>
      </c>
      <c r="AF34" s="45">
        <v>0</v>
      </c>
      <c r="AG34" s="462">
        <f t="shared" si="5"/>
        <v>0</v>
      </c>
      <c r="AH34" s="629"/>
      <c r="AJ34" s="628"/>
      <c r="AK34" s="628"/>
    </row>
    <row r="35" spans="3:37" ht="12.75" hidden="1" customHeight="1" x14ac:dyDescent="0.2">
      <c r="C35" s="259"/>
      <c r="D35" s="240" t="s">
        <v>593</v>
      </c>
      <c r="E35" s="583"/>
      <c r="F35" s="630">
        <v>0</v>
      </c>
      <c r="G35" s="45">
        <v>0</v>
      </c>
      <c r="H35" s="45">
        <v>0</v>
      </c>
      <c r="I35" s="45">
        <v>0</v>
      </c>
      <c r="J35" s="45">
        <v>0</v>
      </c>
      <c r="K35" s="45">
        <v>0</v>
      </c>
      <c r="L35" s="45">
        <v>0</v>
      </c>
      <c r="M35" s="45">
        <v>0</v>
      </c>
      <c r="N35" s="45">
        <v>0</v>
      </c>
      <c r="O35" s="45">
        <v>0</v>
      </c>
      <c r="P35" s="45">
        <v>0</v>
      </c>
      <c r="Q35" s="45">
        <v>0</v>
      </c>
      <c r="R35" s="45">
        <v>0</v>
      </c>
      <c r="S35" s="462">
        <f>SUM(G35:R35)</f>
        <v>0</v>
      </c>
      <c r="T35" s="630">
        <v>0</v>
      </c>
      <c r="U35" s="45">
        <v>0</v>
      </c>
      <c r="V35" s="45">
        <v>0</v>
      </c>
      <c r="W35" s="45">
        <v>0</v>
      </c>
      <c r="X35" s="45">
        <v>0</v>
      </c>
      <c r="Y35" s="45">
        <v>0</v>
      </c>
      <c r="Z35" s="45">
        <v>0</v>
      </c>
      <c r="AA35" s="45">
        <v>0</v>
      </c>
      <c r="AB35" s="45">
        <v>0</v>
      </c>
      <c r="AC35" s="45">
        <v>0</v>
      </c>
      <c r="AD35" s="45">
        <v>0</v>
      </c>
      <c r="AE35" s="45">
        <v>0</v>
      </c>
      <c r="AF35" s="45">
        <v>0</v>
      </c>
      <c r="AG35" s="462">
        <f t="shared" si="5"/>
        <v>0</v>
      </c>
      <c r="AH35" s="629"/>
      <c r="AJ35" s="628"/>
      <c r="AK35" s="628"/>
    </row>
    <row r="36" spans="3:37" hidden="1" x14ac:dyDescent="0.2">
      <c r="C36" s="259"/>
      <c r="D36" s="240" t="s">
        <v>594</v>
      </c>
      <c r="E36" s="583"/>
      <c r="F36" s="630">
        <v>0</v>
      </c>
      <c r="G36" s="45">
        <v>0</v>
      </c>
      <c r="H36" s="45">
        <v>0</v>
      </c>
      <c r="I36" s="45">
        <v>0</v>
      </c>
      <c r="J36" s="45">
        <v>0</v>
      </c>
      <c r="K36" s="45">
        <v>0</v>
      </c>
      <c r="L36" s="45">
        <v>0</v>
      </c>
      <c r="M36" s="45">
        <v>0</v>
      </c>
      <c r="N36" s="45">
        <v>0</v>
      </c>
      <c r="O36" s="45">
        <v>0</v>
      </c>
      <c r="P36" s="45">
        <v>0</v>
      </c>
      <c r="Q36" s="45">
        <v>0</v>
      </c>
      <c r="R36" s="45">
        <v>0</v>
      </c>
      <c r="S36" s="462">
        <f>SUM(G36:R36)</f>
        <v>0</v>
      </c>
      <c r="T36" s="630">
        <v>0</v>
      </c>
      <c r="U36" s="45">
        <v>0</v>
      </c>
      <c r="V36" s="45">
        <v>0</v>
      </c>
      <c r="W36" s="45">
        <v>0</v>
      </c>
      <c r="X36" s="45">
        <v>0</v>
      </c>
      <c r="Y36" s="45">
        <v>0</v>
      </c>
      <c r="Z36" s="45">
        <v>0</v>
      </c>
      <c r="AA36" s="45">
        <v>0</v>
      </c>
      <c r="AB36" s="45">
        <v>0</v>
      </c>
      <c r="AC36" s="45">
        <v>0</v>
      </c>
      <c r="AD36" s="45">
        <v>0</v>
      </c>
      <c r="AE36" s="45">
        <v>0</v>
      </c>
      <c r="AF36" s="45">
        <v>0</v>
      </c>
      <c r="AG36" s="462">
        <f t="shared" si="5"/>
        <v>0</v>
      </c>
      <c r="AH36" s="629"/>
      <c r="AJ36" s="628"/>
      <c r="AK36" s="628">
        <v>1316271</v>
      </c>
    </row>
    <row r="37" spans="3:37" hidden="1" x14ac:dyDescent="0.2">
      <c r="C37" s="259"/>
      <c r="D37" s="240" t="s">
        <v>595</v>
      </c>
      <c r="E37" s="583"/>
      <c r="F37" s="630">
        <v>0</v>
      </c>
      <c r="G37" s="45">
        <v>0</v>
      </c>
      <c r="H37" s="45">
        <v>0</v>
      </c>
      <c r="I37" s="45">
        <v>0</v>
      </c>
      <c r="J37" s="45">
        <v>0</v>
      </c>
      <c r="K37" s="45">
        <v>0</v>
      </c>
      <c r="L37" s="45">
        <v>0</v>
      </c>
      <c r="M37" s="45">
        <v>0</v>
      </c>
      <c r="N37" s="45">
        <v>0</v>
      </c>
      <c r="O37" s="45">
        <v>0</v>
      </c>
      <c r="P37" s="45">
        <v>0</v>
      </c>
      <c r="Q37" s="45">
        <v>0</v>
      </c>
      <c r="R37" s="45">
        <v>0</v>
      </c>
      <c r="S37" s="462">
        <f>SUM(G37:R37)</f>
        <v>0</v>
      </c>
      <c r="T37" s="630">
        <v>0</v>
      </c>
      <c r="U37" s="45">
        <v>0</v>
      </c>
      <c r="V37" s="45">
        <v>0</v>
      </c>
      <c r="W37" s="45">
        <v>0</v>
      </c>
      <c r="X37" s="45">
        <v>0</v>
      </c>
      <c r="Y37" s="45">
        <v>0</v>
      </c>
      <c r="Z37" s="45">
        <v>0</v>
      </c>
      <c r="AA37" s="45">
        <v>0</v>
      </c>
      <c r="AB37" s="45">
        <v>0</v>
      </c>
      <c r="AC37" s="45">
        <v>0</v>
      </c>
      <c r="AD37" s="45">
        <v>0</v>
      </c>
      <c r="AE37" s="45">
        <v>0</v>
      </c>
      <c r="AF37" s="45">
        <v>0</v>
      </c>
      <c r="AG37" s="462">
        <f t="shared" si="5"/>
        <v>0</v>
      </c>
      <c r="AH37" s="629"/>
      <c r="AJ37" s="628"/>
      <c r="AK37" s="628"/>
    </row>
    <row r="38" spans="3:37" hidden="1" x14ac:dyDescent="0.2">
      <c r="C38" s="259"/>
      <c r="D38" s="240" t="s">
        <v>596</v>
      </c>
      <c r="E38" s="583"/>
      <c r="F38" s="45">
        <v>0</v>
      </c>
      <c r="G38" s="45">
        <v>0</v>
      </c>
      <c r="H38" s="45">
        <v>0</v>
      </c>
      <c r="I38" s="45">
        <v>0</v>
      </c>
      <c r="J38" s="45">
        <v>0</v>
      </c>
      <c r="K38" s="45">
        <v>0</v>
      </c>
      <c r="L38" s="45">
        <v>0</v>
      </c>
      <c r="M38" s="45">
        <v>0</v>
      </c>
      <c r="N38" s="45">
        <v>0</v>
      </c>
      <c r="O38" s="45">
        <v>0</v>
      </c>
      <c r="P38" s="45">
        <v>0</v>
      </c>
      <c r="Q38" s="45">
        <v>0</v>
      </c>
      <c r="R38" s="45">
        <v>0</v>
      </c>
      <c r="S38" s="462">
        <f>SUM(G38:R38)</f>
        <v>0</v>
      </c>
      <c r="T38" s="45">
        <v>0</v>
      </c>
      <c r="U38" s="45">
        <v>0</v>
      </c>
      <c r="V38" s="45">
        <v>0</v>
      </c>
      <c r="W38" s="45">
        <v>0</v>
      </c>
      <c r="X38" s="45">
        <v>0</v>
      </c>
      <c r="Y38" s="45">
        <v>0</v>
      </c>
      <c r="Z38" s="45">
        <v>0</v>
      </c>
      <c r="AA38" s="45">
        <v>0</v>
      </c>
      <c r="AB38" s="45">
        <v>0</v>
      </c>
      <c r="AC38" s="45">
        <v>0</v>
      </c>
      <c r="AD38" s="45">
        <v>0</v>
      </c>
      <c r="AE38" s="45">
        <v>0</v>
      </c>
      <c r="AF38" s="45">
        <v>0</v>
      </c>
      <c r="AG38" s="462">
        <f t="shared" si="5"/>
        <v>0</v>
      </c>
      <c r="AH38" s="629"/>
      <c r="AJ38" s="628"/>
      <c r="AK38" s="628"/>
    </row>
    <row r="39" spans="3:37" ht="12.75" customHeight="1" x14ac:dyDescent="0.2">
      <c r="C39" s="259"/>
      <c r="D39" s="240"/>
      <c r="E39" s="553"/>
      <c r="F39" s="45"/>
      <c r="G39" s="45"/>
      <c r="H39" s="45"/>
      <c r="I39" s="45"/>
      <c r="J39" s="45"/>
      <c r="K39" s="45"/>
      <c r="L39" s="45"/>
      <c r="M39" s="45"/>
      <c r="N39" s="45"/>
      <c r="O39" s="45"/>
      <c r="P39" s="45"/>
      <c r="Q39" s="45"/>
      <c r="R39" s="45"/>
      <c r="S39" s="462"/>
      <c r="T39" s="45"/>
      <c r="U39" s="45"/>
      <c r="V39" s="45"/>
      <c r="W39" s="45"/>
      <c r="X39" s="45"/>
      <c r="Y39" s="45"/>
      <c r="Z39" s="45"/>
      <c r="AA39" s="45"/>
      <c r="AB39" s="45"/>
      <c r="AC39" s="45"/>
      <c r="AD39" s="45"/>
      <c r="AE39" s="45"/>
      <c r="AF39" s="45"/>
      <c r="AG39" s="462"/>
      <c r="AH39" s="629"/>
      <c r="AJ39" s="628"/>
      <c r="AK39" s="628"/>
    </row>
    <row r="40" spans="3:37" x14ac:dyDescent="0.2">
      <c r="C40" s="259" t="s">
        <v>597</v>
      </c>
      <c r="D40" s="242"/>
      <c r="E40" s="570"/>
      <c r="F40" s="66">
        <f t="shared" ref="F40:R40" si="6">SUM(F41:F49)</f>
        <v>-177615</v>
      </c>
      <c r="G40" s="66">
        <f>SUM(G41:G49)</f>
        <v>-18</v>
      </c>
      <c r="H40" s="66">
        <f t="shared" si="6"/>
        <v>-111334</v>
      </c>
      <c r="I40" s="66">
        <f t="shared" si="6"/>
        <v>-2</v>
      </c>
      <c r="J40" s="66">
        <f t="shared" si="6"/>
        <v>0</v>
      </c>
      <c r="K40" s="66">
        <f t="shared" si="6"/>
        <v>-1</v>
      </c>
      <c r="L40" s="66">
        <f t="shared" si="6"/>
        <v>-66260</v>
      </c>
      <c r="M40" s="66">
        <f t="shared" si="6"/>
        <v>-260</v>
      </c>
      <c r="N40" s="66">
        <f t="shared" si="6"/>
        <v>0</v>
      </c>
      <c r="O40" s="66">
        <f t="shared" si="6"/>
        <v>-2</v>
      </c>
      <c r="P40" s="66">
        <f>SUM(P41:P49)</f>
        <v>-8</v>
      </c>
      <c r="Q40" s="66">
        <f t="shared" si="6"/>
        <v>0</v>
      </c>
      <c r="R40" s="66">
        <f t="shared" si="6"/>
        <v>0</v>
      </c>
      <c r="S40" s="66">
        <f>SUM(S41:S49)</f>
        <v>-177885</v>
      </c>
      <c r="T40" s="66">
        <f>SUM(T41:T49)</f>
        <v>-468468</v>
      </c>
      <c r="U40" s="66">
        <f>SUM(U41:U49)</f>
        <v>-131872</v>
      </c>
      <c r="V40" s="66">
        <f t="shared" ref="V40:AC40" si="7">SUM(V41:V49)</f>
        <v>-83878</v>
      </c>
      <c r="W40" s="66">
        <f t="shared" si="7"/>
        <v>-23306</v>
      </c>
      <c r="X40" s="66">
        <f t="shared" si="7"/>
        <v>-119906</v>
      </c>
      <c r="Y40" s="66">
        <f t="shared" si="7"/>
        <v>-230</v>
      </c>
      <c r="Z40" s="66">
        <f t="shared" si="7"/>
        <v>-21</v>
      </c>
      <c r="AA40" s="66">
        <f t="shared" si="7"/>
        <v>-30</v>
      </c>
      <c r="AB40" s="66">
        <f t="shared" si="7"/>
        <v>-1363</v>
      </c>
      <c r="AC40" s="66">
        <f t="shared" si="7"/>
        <v>-107525</v>
      </c>
      <c r="AD40" s="66">
        <f>SUM(AD41:AD49)</f>
        <v>-298</v>
      </c>
      <c r="AE40" s="66">
        <f>SUM(AE41:AE49)</f>
        <v>0</v>
      </c>
      <c r="AF40" s="66">
        <f>SUM(AF41:AF49)</f>
        <v>-39</v>
      </c>
      <c r="AG40" s="66">
        <f>SUM(AG41:AG49)</f>
        <v>-468429</v>
      </c>
      <c r="AH40" s="629"/>
      <c r="AJ40" s="628"/>
      <c r="AK40" s="628"/>
    </row>
    <row r="41" spans="3:37" hidden="1" x14ac:dyDescent="0.2">
      <c r="C41" s="632"/>
      <c r="D41" s="240" t="s">
        <v>598</v>
      </c>
      <c r="E41" s="583"/>
      <c r="F41" s="45">
        <v>0</v>
      </c>
      <c r="G41" s="462">
        <v>0</v>
      </c>
      <c r="H41" s="462">
        <v>0</v>
      </c>
      <c r="I41" s="462">
        <v>0</v>
      </c>
      <c r="J41" s="462">
        <v>0</v>
      </c>
      <c r="K41" s="462">
        <v>0</v>
      </c>
      <c r="L41" s="462">
        <v>0</v>
      </c>
      <c r="M41" s="462">
        <v>0</v>
      </c>
      <c r="N41" s="462">
        <v>0</v>
      </c>
      <c r="O41" s="462">
        <v>0</v>
      </c>
      <c r="P41" s="462">
        <v>0</v>
      </c>
      <c r="Q41" s="462">
        <v>0</v>
      </c>
      <c r="R41" s="462">
        <v>0</v>
      </c>
      <c r="S41" s="462">
        <f t="shared" ref="S41:S49" si="8">SUM(G41:R41)</f>
        <v>0</v>
      </c>
      <c r="T41" s="45">
        <v>0</v>
      </c>
      <c r="U41" s="462">
        <v>0</v>
      </c>
      <c r="V41" s="462">
        <v>0</v>
      </c>
      <c r="W41" s="462">
        <v>0</v>
      </c>
      <c r="X41" s="462">
        <v>0</v>
      </c>
      <c r="Y41" s="462">
        <v>0</v>
      </c>
      <c r="Z41" s="462">
        <v>0</v>
      </c>
      <c r="AA41" s="462">
        <v>0</v>
      </c>
      <c r="AB41" s="462">
        <v>0</v>
      </c>
      <c r="AC41" s="462">
        <v>0</v>
      </c>
      <c r="AD41" s="462">
        <v>0</v>
      </c>
      <c r="AE41" s="462">
        <v>0</v>
      </c>
      <c r="AF41" s="462">
        <v>0</v>
      </c>
      <c r="AG41" s="462">
        <f>SUM(U41:AF41)</f>
        <v>0</v>
      </c>
      <c r="AH41" s="627"/>
      <c r="AJ41" s="628"/>
      <c r="AK41" s="628"/>
    </row>
    <row r="42" spans="3:37" hidden="1" x14ac:dyDescent="0.2">
      <c r="C42" s="632"/>
      <c r="D42" s="240" t="s">
        <v>599</v>
      </c>
      <c r="E42" s="583"/>
      <c r="F42" s="630">
        <v>0</v>
      </c>
      <c r="G42" s="462">
        <v>0</v>
      </c>
      <c r="H42" s="462">
        <v>0</v>
      </c>
      <c r="I42" s="462">
        <v>0</v>
      </c>
      <c r="J42" s="462">
        <v>0</v>
      </c>
      <c r="K42" s="462">
        <v>0</v>
      </c>
      <c r="L42" s="462">
        <v>0</v>
      </c>
      <c r="M42" s="462">
        <v>0</v>
      </c>
      <c r="N42" s="462">
        <v>0</v>
      </c>
      <c r="O42" s="462">
        <v>0</v>
      </c>
      <c r="P42" s="462">
        <v>0</v>
      </c>
      <c r="Q42" s="462">
        <v>0</v>
      </c>
      <c r="R42" s="462">
        <v>0</v>
      </c>
      <c r="S42" s="462">
        <f t="shared" si="8"/>
        <v>0</v>
      </c>
      <c r="T42" s="630">
        <v>0</v>
      </c>
      <c r="U42" s="462">
        <v>0</v>
      </c>
      <c r="V42" s="462">
        <v>0</v>
      </c>
      <c r="W42" s="462">
        <v>0</v>
      </c>
      <c r="X42" s="462">
        <v>0</v>
      </c>
      <c r="Y42" s="462">
        <v>0</v>
      </c>
      <c r="Z42" s="462">
        <v>0</v>
      </c>
      <c r="AA42" s="462">
        <v>0</v>
      </c>
      <c r="AB42" s="462">
        <v>0</v>
      </c>
      <c r="AC42" s="462">
        <v>0</v>
      </c>
      <c r="AD42" s="462">
        <v>0</v>
      </c>
      <c r="AE42" s="462">
        <v>0</v>
      </c>
      <c r="AF42" s="462">
        <v>0</v>
      </c>
      <c r="AG42" s="462">
        <f>SUM(U42:AF42)</f>
        <v>0</v>
      </c>
      <c r="AH42" s="627"/>
      <c r="AJ42" s="628"/>
      <c r="AK42" s="628"/>
    </row>
    <row r="43" spans="3:37" x14ac:dyDescent="0.2">
      <c r="C43" s="632"/>
      <c r="D43" s="240" t="s">
        <v>600</v>
      </c>
      <c r="E43" s="570" t="s">
        <v>62</v>
      </c>
      <c r="F43" s="630">
        <v>-111331</v>
      </c>
      <c r="G43" s="462">
        <v>0</v>
      </c>
      <c r="H43" s="462">
        <v>-111331</v>
      </c>
      <c r="I43" s="462">
        <v>0</v>
      </c>
      <c r="J43" s="462">
        <v>0</v>
      </c>
      <c r="K43" s="462">
        <v>0</v>
      </c>
      <c r="L43" s="462">
        <v>0</v>
      </c>
      <c r="M43" s="462">
        <v>0</v>
      </c>
      <c r="N43" s="462">
        <v>0</v>
      </c>
      <c r="O43" s="462">
        <v>0</v>
      </c>
      <c r="P43" s="462">
        <v>0</v>
      </c>
      <c r="Q43" s="462">
        <v>0</v>
      </c>
      <c r="R43" s="462">
        <v>0</v>
      </c>
      <c r="S43" s="462">
        <f t="shared" si="8"/>
        <v>-111331</v>
      </c>
      <c r="T43" s="630">
        <v>-131729</v>
      </c>
      <c r="U43" s="462">
        <v>-131729</v>
      </c>
      <c r="V43" s="462">
        <v>0</v>
      </c>
      <c r="W43" s="462">
        <v>0</v>
      </c>
      <c r="X43" s="462">
        <v>0</v>
      </c>
      <c r="Y43" s="462">
        <v>0</v>
      </c>
      <c r="Z43" s="462">
        <v>0</v>
      </c>
      <c r="AA43" s="462">
        <v>0</v>
      </c>
      <c r="AB43" s="462">
        <v>0</v>
      </c>
      <c r="AC43" s="462">
        <v>0</v>
      </c>
      <c r="AD43" s="462">
        <v>0</v>
      </c>
      <c r="AE43" s="462">
        <v>0</v>
      </c>
      <c r="AF43" s="462">
        <v>0</v>
      </c>
      <c r="AG43" s="462">
        <f t="shared" ref="AG43:AG49" si="9">SUM(U43:AD43)</f>
        <v>-131729</v>
      </c>
      <c r="AH43" s="627"/>
      <c r="AJ43" s="628"/>
      <c r="AK43" s="628"/>
    </row>
    <row r="44" spans="3:37" ht="12.75" customHeight="1" x14ac:dyDescent="0.2">
      <c r="C44" s="632"/>
      <c r="D44" s="240" t="s">
        <v>601</v>
      </c>
      <c r="E44" s="583"/>
      <c r="F44" s="630">
        <v>-66260</v>
      </c>
      <c r="G44" s="462">
        <v>0</v>
      </c>
      <c r="H44" s="462">
        <v>0</v>
      </c>
      <c r="I44" s="462">
        <v>0</v>
      </c>
      <c r="J44" s="462">
        <v>0</v>
      </c>
      <c r="K44" s="462">
        <v>0</v>
      </c>
      <c r="L44" s="462">
        <v>-66260</v>
      </c>
      <c r="M44" s="462">
        <v>-260</v>
      </c>
      <c r="N44" s="462">
        <v>0</v>
      </c>
      <c r="O44" s="462">
        <v>0</v>
      </c>
      <c r="P44" s="462">
        <v>0</v>
      </c>
      <c r="Q44" s="462">
        <v>0</v>
      </c>
      <c r="R44" s="462">
        <v>0</v>
      </c>
      <c r="S44" s="462">
        <f t="shared" si="8"/>
        <v>-66520</v>
      </c>
      <c r="T44" s="630">
        <v>-252652</v>
      </c>
      <c r="U44" s="462">
        <v>0</v>
      </c>
      <c r="V44" s="462">
        <v>0</v>
      </c>
      <c r="W44" s="462">
        <v>-23306</v>
      </c>
      <c r="X44" s="462">
        <v>-119905</v>
      </c>
      <c r="Y44" s="462">
        <v>-217</v>
      </c>
      <c r="Z44" s="462">
        <v>0</v>
      </c>
      <c r="AA44" s="462">
        <v>-30</v>
      </c>
      <c r="AB44" s="462">
        <v>-1360</v>
      </c>
      <c r="AC44" s="462">
        <v>-107525</v>
      </c>
      <c r="AD44" s="462">
        <v>-298</v>
      </c>
      <c r="AE44" s="462">
        <v>0</v>
      </c>
      <c r="AF44" s="462">
        <v>-11</v>
      </c>
      <c r="AG44" s="462">
        <f t="shared" si="9"/>
        <v>-252641</v>
      </c>
      <c r="AH44" s="627"/>
      <c r="AJ44" s="628"/>
      <c r="AK44" s="628"/>
    </row>
    <row r="45" spans="3:37" x14ac:dyDescent="0.2">
      <c r="C45" s="632"/>
      <c r="D45" s="240" t="s">
        <v>602</v>
      </c>
      <c r="E45" s="583"/>
      <c r="F45" s="630">
        <v>0</v>
      </c>
      <c r="G45" s="462">
        <v>0</v>
      </c>
      <c r="H45" s="462">
        <v>0</v>
      </c>
      <c r="I45" s="462">
        <v>0</v>
      </c>
      <c r="J45" s="462">
        <v>0</v>
      </c>
      <c r="K45" s="462">
        <v>0</v>
      </c>
      <c r="L45" s="462">
        <v>0</v>
      </c>
      <c r="M45" s="462">
        <v>0</v>
      </c>
      <c r="N45" s="462">
        <v>0</v>
      </c>
      <c r="O45" s="462">
        <v>0</v>
      </c>
      <c r="P45" s="462">
        <v>0</v>
      </c>
      <c r="Q45" s="462">
        <v>0</v>
      </c>
      <c r="R45" s="462">
        <v>0</v>
      </c>
      <c r="S45" s="462">
        <f t="shared" si="8"/>
        <v>0</v>
      </c>
      <c r="T45" s="630">
        <v>-83878</v>
      </c>
      <c r="U45" s="462">
        <v>0</v>
      </c>
      <c r="V45" s="462">
        <v>-83878</v>
      </c>
      <c r="W45" s="462">
        <v>0</v>
      </c>
      <c r="X45" s="462">
        <v>0</v>
      </c>
      <c r="Y45" s="462">
        <v>0</v>
      </c>
      <c r="Z45" s="462">
        <v>0</v>
      </c>
      <c r="AA45" s="462">
        <v>0</v>
      </c>
      <c r="AB45" s="462">
        <v>0</v>
      </c>
      <c r="AC45" s="462">
        <v>0</v>
      </c>
      <c r="AD45" s="462">
        <v>0</v>
      </c>
      <c r="AE45" s="462">
        <v>0</v>
      </c>
      <c r="AF45" s="462">
        <v>0</v>
      </c>
      <c r="AG45" s="462">
        <f t="shared" si="9"/>
        <v>-83878</v>
      </c>
      <c r="AH45" s="627"/>
      <c r="AJ45" s="628"/>
      <c r="AK45" s="628"/>
    </row>
    <row r="46" spans="3:37" hidden="1" x14ac:dyDescent="0.2">
      <c r="C46" s="632"/>
      <c r="D46" s="240" t="s">
        <v>603</v>
      </c>
      <c r="E46" s="583"/>
      <c r="F46" s="45">
        <v>0</v>
      </c>
      <c r="G46" s="462">
        <v>0</v>
      </c>
      <c r="H46" s="462">
        <v>0</v>
      </c>
      <c r="I46" s="462">
        <v>0</v>
      </c>
      <c r="J46" s="462">
        <v>0</v>
      </c>
      <c r="K46" s="462">
        <v>0</v>
      </c>
      <c r="L46" s="462">
        <v>0</v>
      </c>
      <c r="M46" s="462">
        <v>0</v>
      </c>
      <c r="N46" s="462">
        <v>0</v>
      </c>
      <c r="O46" s="462">
        <v>0</v>
      </c>
      <c r="P46" s="462">
        <v>0</v>
      </c>
      <c r="Q46" s="462">
        <v>0</v>
      </c>
      <c r="R46" s="462">
        <v>0</v>
      </c>
      <c r="S46" s="462">
        <f t="shared" si="8"/>
        <v>0</v>
      </c>
      <c r="T46" s="45">
        <v>0</v>
      </c>
      <c r="U46" s="462">
        <v>0</v>
      </c>
      <c r="V46" s="462">
        <v>0</v>
      </c>
      <c r="W46" s="462">
        <v>0</v>
      </c>
      <c r="X46" s="462">
        <v>0</v>
      </c>
      <c r="Y46" s="462">
        <v>0</v>
      </c>
      <c r="Z46" s="462">
        <v>0</v>
      </c>
      <c r="AA46" s="462">
        <v>0</v>
      </c>
      <c r="AB46" s="462">
        <v>0</v>
      </c>
      <c r="AC46" s="462">
        <v>0</v>
      </c>
      <c r="AD46" s="462">
        <v>0</v>
      </c>
      <c r="AE46" s="462">
        <v>0</v>
      </c>
      <c r="AF46" s="462">
        <v>0</v>
      </c>
      <c r="AG46" s="462">
        <f t="shared" si="9"/>
        <v>0</v>
      </c>
      <c r="AH46" s="627"/>
      <c r="AJ46" s="628"/>
      <c r="AK46" s="628"/>
    </row>
    <row r="47" spans="3:37" ht="12.75" hidden="1" customHeight="1" x14ac:dyDescent="0.2">
      <c r="C47" s="632"/>
      <c r="D47" s="240" t="s">
        <v>604</v>
      </c>
      <c r="E47" s="553"/>
      <c r="F47" s="45">
        <v>0</v>
      </c>
      <c r="G47" s="462">
        <v>0</v>
      </c>
      <c r="H47" s="462">
        <v>0</v>
      </c>
      <c r="I47" s="462">
        <v>0</v>
      </c>
      <c r="J47" s="462">
        <v>0</v>
      </c>
      <c r="K47" s="462">
        <v>0</v>
      </c>
      <c r="L47" s="462">
        <v>0</v>
      </c>
      <c r="M47" s="462">
        <v>0</v>
      </c>
      <c r="N47" s="462">
        <v>0</v>
      </c>
      <c r="O47" s="462">
        <v>0</v>
      </c>
      <c r="P47" s="462">
        <v>0</v>
      </c>
      <c r="Q47" s="462">
        <v>0</v>
      </c>
      <c r="R47" s="462">
        <v>0</v>
      </c>
      <c r="S47" s="462">
        <f t="shared" si="8"/>
        <v>0</v>
      </c>
      <c r="T47" s="45">
        <v>0</v>
      </c>
      <c r="U47" s="462">
        <v>0</v>
      </c>
      <c r="V47" s="462">
        <v>0</v>
      </c>
      <c r="W47" s="462">
        <v>0</v>
      </c>
      <c r="X47" s="462">
        <v>0</v>
      </c>
      <c r="Y47" s="462">
        <v>0</v>
      </c>
      <c r="Z47" s="462">
        <v>0</v>
      </c>
      <c r="AA47" s="462">
        <v>0</v>
      </c>
      <c r="AB47" s="462">
        <v>0</v>
      </c>
      <c r="AC47" s="462">
        <v>0</v>
      </c>
      <c r="AD47" s="462">
        <v>0</v>
      </c>
      <c r="AE47" s="462">
        <v>0</v>
      </c>
      <c r="AF47" s="462">
        <v>0</v>
      </c>
      <c r="AG47" s="462">
        <f t="shared" si="9"/>
        <v>0</v>
      </c>
      <c r="AH47" s="627"/>
      <c r="AJ47" s="628"/>
      <c r="AK47" s="628"/>
    </row>
    <row r="48" spans="3:37" ht="12.75" hidden="1" customHeight="1" x14ac:dyDescent="0.2">
      <c r="C48" s="632"/>
      <c r="D48" s="240" t="s">
        <v>605</v>
      </c>
      <c r="E48" s="553"/>
      <c r="F48" s="45">
        <v>0</v>
      </c>
      <c r="G48" s="462">
        <v>0</v>
      </c>
      <c r="H48" s="462">
        <v>0</v>
      </c>
      <c r="I48" s="462">
        <v>0</v>
      </c>
      <c r="J48" s="462">
        <v>0</v>
      </c>
      <c r="K48" s="462">
        <v>0</v>
      </c>
      <c r="L48" s="462">
        <v>0</v>
      </c>
      <c r="M48" s="462">
        <v>0</v>
      </c>
      <c r="N48" s="462">
        <v>0</v>
      </c>
      <c r="O48" s="462">
        <v>0</v>
      </c>
      <c r="P48" s="462">
        <v>0</v>
      </c>
      <c r="Q48" s="462">
        <v>0</v>
      </c>
      <c r="R48" s="462">
        <v>0</v>
      </c>
      <c r="S48" s="462">
        <f t="shared" si="8"/>
        <v>0</v>
      </c>
      <c r="T48" s="45">
        <v>0</v>
      </c>
      <c r="U48" s="462">
        <v>0</v>
      </c>
      <c r="V48" s="462">
        <v>0</v>
      </c>
      <c r="W48" s="462">
        <v>0</v>
      </c>
      <c r="X48" s="462">
        <v>0</v>
      </c>
      <c r="Y48" s="462">
        <v>0</v>
      </c>
      <c r="Z48" s="462">
        <v>0</v>
      </c>
      <c r="AA48" s="462">
        <v>0</v>
      </c>
      <c r="AB48" s="462">
        <v>0</v>
      </c>
      <c r="AC48" s="462">
        <v>0</v>
      </c>
      <c r="AD48" s="462">
        <v>0</v>
      </c>
      <c r="AE48" s="462">
        <v>0</v>
      </c>
      <c r="AF48" s="462">
        <v>0</v>
      </c>
      <c r="AG48" s="462">
        <f t="shared" si="9"/>
        <v>0</v>
      </c>
      <c r="AH48" s="627"/>
      <c r="AJ48" s="628"/>
      <c r="AK48" s="628"/>
    </row>
    <row r="49" spans="3:37" ht="12.75" customHeight="1" x14ac:dyDescent="0.2">
      <c r="C49" s="632"/>
      <c r="D49" s="240" t="s">
        <v>606</v>
      </c>
      <c r="E49" s="553"/>
      <c r="F49" s="45">
        <v>-24</v>
      </c>
      <c r="G49" s="462">
        <v>-18</v>
      </c>
      <c r="H49" s="462">
        <v>-3</v>
      </c>
      <c r="I49" s="462">
        <v>-2</v>
      </c>
      <c r="J49" s="462">
        <v>0</v>
      </c>
      <c r="K49" s="462">
        <v>-1</v>
      </c>
      <c r="L49" s="462">
        <v>0</v>
      </c>
      <c r="M49" s="462">
        <v>0</v>
      </c>
      <c r="N49" s="462">
        <v>0</v>
      </c>
      <c r="O49" s="462">
        <v>-2</v>
      </c>
      <c r="P49" s="462">
        <v>-8</v>
      </c>
      <c r="Q49" s="462">
        <v>0</v>
      </c>
      <c r="R49" s="462">
        <v>0</v>
      </c>
      <c r="S49" s="462">
        <f t="shared" si="8"/>
        <v>-34</v>
      </c>
      <c r="T49" s="45">
        <v>-209</v>
      </c>
      <c r="U49" s="462">
        <v>-143</v>
      </c>
      <c r="V49" s="462">
        <v>0</v>
      </c>
      <c r="W49" s="462">
        <v>0</v>
      </c>
      <c r="X49" s="462">
        <v>-1</v>
      </c>
      <c r="Y49" s="462">
        <v>-13</v>
      </c>
      <c r="Z49" s="462">
        <v>-21</v>
      </c>
      <c r="AA49" s="462">
        <v>0</v>
      </c>
      <c r="AB49" s="462">
        <v>-3</v>
      </c>
      <c r="AC49" s="462">
        <v>0</v>
      </c>
      <c r="AD49" s="462">
        <v>0</v>
      </c>
      <c r="AE49" s="462">
        <v>0</v>
      </c>
      <c r="AF49" s="462">
        <v>-28</v>
      </c>
      <c r="AG49" s="462">
        <f t="shared" si="9"/>
        <v>-181</v>
      </c>
      <c r="AH49" s="627"/>
      <c r="AJ49" s="628"/>
      <c r="AK49" s="628"/>
    </row>
    <row r="50" spans="3:37" ht="12.75" hidden="1" customHeight="1" x14ac:dyDescent="0.2">
      <c r="C50" s="632"/>
      <c r="D50" s="240"/>
      <c r="E50" s="553"/>
      <c r="F50" s="45"/>
      <c r="G50" s="462"/>
      <c r="H50" s="462"/>
      <c r="I50" s="462"/>
      <c r="J50" s="462"/>
      <c r="K50" s="462"/>
      <c r="L50" s="462"/>
      <c r="M50" s="462"/>
      <c r="N50" s="462"/>
      <c r="O50" s="462"/>
      <c r="P50" s="462"/>
      <c r="Q50" s="462"/>
      <c r="R50" s="462"/>
      <c r="S50" s="462"/>
      <c r="T50" s="45"/>
      <c r="U50" s="462"/>
      <c r="V50" s="462"/>
      <c r="W50" s="462"/>
      <c r="X50" s="462"/>
      <c r="Y50" s="462"/>
      <c r="Z50" s="462"/>
      <c r="AA50" s="462"/>
      <c r="AB50" s="462"/>
      <c r="AC50" s="462"/>
      <c r="AD50" s="462"/>
      <c r="AE50" s="462"/>
      <c r="AF50" s="462"/>
      <c r="AG50" s="452"/>
      <c r="AH50" s="627"/>
      <c r="AJ50" s="628"/>
      <c r="AK50" s="628"/>
    </row>
    <row r="51" spans="3:37" ht="12.75" hidden="1" customHeight="1" x14ac:dyDescent="0.2">
      <c r="C51" s="632"/>
      <c r="D51" s="240"/>
      <c r="E51" s="553"/>
      <c r="F51" s="45"/>
      <c r="G51" s="462"/>
      <c r="H51" s="462"/>
      <c r="I51" s="462"/>
      <c r="J51" s="462"/>
      <c r="K51" s="462"/>
      <c r="L51" s="462"/>
      <c r="M51" s="462"/>
      <c r="N51" s="462"/>
      <c r="O51" s="462"/>
      <c r="P51" s="462"/>
      <c r="Q51" s="462"/>
      <c r="R51" s="462"/>
      <c r="S51" s="462"/>
      <c r="T51" s="45"/>
      <c r="U51" s="462"/>
      <c r="V51" s="462"/>
      <c r="W51" s="462"/>
      <c r="X51" s="462"/>
      <c r="Y51" s="462"/>
      <c r="Z51" s="462"/>
      <c r="AA51" s="462"/>
      <c r="AB51" s="462"/>
      <c r="AC51" s="462"/>
      <c r="AD51" s="462"/>
      <c r="AE51" s="462"/>
      <c r="AF51" s="462"/>
      <c r="AG51" s="452"/>
      <c r="AH51" s="627"/>
      <c r="AJ51" s="628"/>
      <c r="AK51" s="628"/>
    </row>
    <row r="52" spans="3:37" ht="12.75" hidden="1" customHeight="1" x14ac:dyDescent="0.2">
      <c r="C52" s="632"/>
      <c r="D52" s="240"/>
      <c r="E52" s="553"/>
      <c r="F52" s="45"/>
      <c r="G52" s="462"/>
      <c r="H52" s="462"/>
      <c r="I52" s="462"/>
      <c r="J52" s="462"/>
      <c r="K52" s="462"/>
      <c r="L52" s="462"/>
      <c r="M52" s="462"/>
      <c r="N52" s="462"/>
      <c r="O52" s="462"/>
      <c r="P52" s="462"/>
      <c r="Q52" s="462"/>
      <c r="R52" s="462"/>
      <c r="S52" s="462"/>
      <c r="T52" s="45"/>
      <c r="U52" s="462"/>
      <c r="V52" s="462"/>
      <c r="W52" s="462"/>
      <c r="X52" s="462"/>
      <c r="Y52" s="462"/>
      <c r="Z52" s="462"/>
      <c r="AA52" s="462"/>
      <c r="AB52" s="462"/>
      <c r="AC52" s="462"/>
      <c r="AD52" s="462"/>
      <c r="AE52" s="462"/>
      <c r="AF52" s="462"/>
      <c r="AG52" s="452"/>
      <c r="AH52" s="627"/>
      <c r="AJ52" s="628"/>
      <c r="AK52" s="628"/>
    </row>
    <row r="53" spans="3:37" ht="12.75" hidden="1" customHeight="1" x14ac:dyDescent="0.2">
      <c r="C53" s="632"/>
      <c r="D53" s="240"/>
      <c r="E53" s="553"/>
      <c r="F53" s="45"/>
      <c r="G53" s="462"/>
      <c r="H53" s="462"/>
      <c r="I53" s="462"/>
      <c r="J53" s="462"/>
      <c r="K53" s="462"/>
      <c r="L53" s="462"/>
      <c r="M53" s="462"/>
      <c r="N53" s="462"/>
      <c r="O53" s="462"/>
      <c r="P53" s="462"/>
      <c r="Q53" s="462"/>
      <c r="R53" s="462"/>
      <c r="S53" s="462"/>
      <c r="T53" s="45"/>
      <c r="U53" s="462"/>
      <c r="V53" s="462"/>
      <c r="W53" s="462"/>
      <c r="X53" s="462"/>
      <c r="Y53" s="462"/>
      <c r="Z53" s="462"/>
      <c r="AA53" s="462"/>
      <c r="AB53" s="462"/>
      <c r="AC53" s="462"/>
      <c r="AD53" s="462"/>
      <c r="AE53" s="462"/>
      <c r="AF53" s="462"/>
      <c r="AG53" s="452"/>
      <c r="AH53" s="627"/>
      <c r="AJ53" s="628"/>
      <c r="AK53" s="628"/>
    </row>
    <row r="54" spans="3:37" ht="12.75" hidden="1" customHeight="1" x14ac:dyDescent="0.2">
      <c r="C54" s="632"/>
      <c r="D54" s="240"/>
      <c r="E54" s="553"/>
      <c r="F54" s="45"/>
      <c r="G54" s="462"/>
      <c r="H54" s="462"/>
      <c r="I54" s="462"/>
      <c r="J54" s="462"/>
      <c r="K54" s="462"/>
      <c r="L54" s="462"/>
      <c r="M54" s="462"/>
      <c r="N54" s="462"/>
      <c r="O54" s="462"/>
      <c r="P54" s="462"/>
      <c r="Q54" s="462"/>
      <c r="R54" s="462"/>
      <c r="S54" s="462"/>
      <c r="T54" s="45"/>
      <c r="U54" s="462"/>
      <c r="V54" s="462"/>
      <c r="W54" s="462"/>
      <c r="X54" s="462"/>
      <c r="Y54" s="462"/>
      <c r="Z54" s="462"/>
      <c r="AA54" s="462"/>
      <c r="AB54" s="462"/>
      <c r="AC54" s="462"/>
      <c r="AD54" s="462"/>
      <c r="AE54" s="462"/>
      <c r="AF54" s="462"/>
      <c r="AG54" s="452"/>
      <c r="AH54" s="627"/>
      <c r="AJ54" s="628"/>
      <c r="AK54" s="628"/>
    </row>
    <row r="55" spans="3:37" ht="12.75" hidden="1" customHeight="1" x14ac:dyDescent="0.2">
      <c r="C55" s="632"/>
      <c r="D55" s="240"/>
      <c r="E55" s="553"/>
      <c r="F55" s="45"/>
      <c r="G55" s="462"/>
      <c r="H55" s="462"/>
      <c r="I55" s="462"/>
      <c r="J55" s="462"/>
      <c r="K55" s="462"/>
      <c r="L55" s="462"/>
      <c r="M55" s="462"/>
      <c r="N55" s="462"/>
      <c r="O55" s="462"/>
      <c r="P55" s="462"/>
      <c r="Q55" s="462"/>
      <c r="R55" s="462"/>
      <c r="S55" s="462"/>
      <c r="T55" s="45"/>
      <c r="U55" s="462"/>
      <c r="V55" s="462"/>
      <c r="W55" s="462"/>
      <c r="X55" s="462"/>
      <c r="Y55" s="462"/>
      <c r="Z55" s="462"/>
      <c r="AA55" s="462"/>
      <c r="AB55" s="462"/>
      <c r="AC55" s="462"/>
      <c r="AD55" s="462"/>
      <c r="AE55" s="462"/>
      <c r="AF55" s="462"/>
      <c r="AG55" s="452"/>
      <c r="AH55" s="627"/>
      <c r="AJ55" s="628"/>
      <c r="AK55" s="628"/>
    </row>
    <row r="56" spans="3:37" ht="12.75" hidden="1" customHeight="1" x14ac:dyDescent="0.2">
      <c r="C56" s="632"/>
      <c r="D56" s="240"/>
      <c r="E56" s="553"/>
      <c r="F56" s="45"/>
      <c r="G56" s="462"/>
      <c r="H56" s="462"/>
      <c r="I56" s="462"/>
      <c r="J56" s="462"/>
      <c r="K56" s="462"/>
      <c r="L56" s="462"/>
      <c r="M56" s="462"/>
      <c r="N56" s="462"/>
      <c r="O56" s="462"/>
      <c r="P56" s="462"/>
      <c r="Q56" s="462"/>
      <c r="R56" s="462"/>
      <c r="S56" s="462"/>
      <c r="T56" s="45"/>
      <c r="U56" s="462"/>
      <c r="V56" s="462"/>
      <c r="W56" s="462"/>
      <c r="X56" s="462"/>
      <c r="Y56" s="462"/>
      <c r="Z56" s="462"/>
      <c r="AA56" s="462"/>
      <c r="AB56" s="462"/>
      <c r="AC56" s="462"/>
      <c r="AD56" s="462"/>
      <c r="AE56" s="462"/>
      <c r="AF56" s="462"/>
      <c r="AG56" s="452"/>
      <c r="AH56" s="627"/>
      <c r="AJ56" s="628"/>
      <c r="AK56" s="628"/>
    </row>
    <row r="57" spans="3:37" ht="12.75" hidden="1" customHeight="1" x14ac:dyDescent="0.2">
      <c r="C57" s="632"/>
      <c r="D57" s="240"/>
      <c r="E57" s="553"/>
      <c r="F57" s="45"/>
      <c r="G57" s="462"/>
      <c r="H57" s="462"/>
      <c r="I57" s="462"/>
      <c r="J57" s="462"/>
      <c r="K57" s="462"/>
      <c r="L57" s="462"/>
      <c r="M57" s="462"/>
      <c r="N57" s="462"/>
      <c r="O57" s="462"/>
      <c r="P57" s="462"/>
      <c r="Q57" s="462"/>
      <c r="R57" s="462"/>
      <c r="S57" s="462"/>
      <c r="T57" s="45"/>
      <c r="U57" s="462"/>
      <c r="V57" s="462"/>
      <c r="W57" s="462"/>
      <c r="X57" s="462"/>
      <c r="Y57" s="462"/>
      <c r="Z57" s="462"/>
      <c r="AA57" s="462"/>
      <c r="AB57" s="462"/>
      <c r="AC57" s="462"/>
      <c r="AD57" s="462"/>
      <c r="AE57" s="462"/>
      <c r="AF57" s="462"/>
      <c r="AG57" s="452"/>
      <c r="AH57" s="627"/>
      <c r="AJ57" s="628"/>
      <c r="AK57" s="628"/>
    </row>
    <row r="58" spans="3:37" ht="12.75" hidden="1" customHeight="1" x14ac:dyDescent="0.2">
      <c r="C58" s="632"/>
      <c r="D58" s="240"/>
      <c r="E58" s="553"/>
      <c r="F58" s="45"/>
      <c r="G58" s="462"/>
      <c r="H58" s="462"/>
      <c r="I58" s="462"/>
      <c r="J58" s="462"/>
      <c r="K58" s="462"/>
      <c r="L58" s="462"/>
      <c r="M58" s="462"/>
      <c r="N58" s="462"/>
      <c r="O58" s="462"/>
      <c r="P58" s="462"/>
      <c r="Q58" s="462"/>
      <c r="R58" s="462"/>
      <c r="S58" s="462"/>
      <c r="T58" s="45"/>
      <c r="U58" s="462"/>
      <c r="V58" s="462"/>
      <c r="W58" s="462"/>
      <c r="X58" s="462"/>
      <c r="Y58" s="462"/>
      <c r="Z58" s="462"/>
      <c r="AA58" s="462"/>
      <c r="AB58" s="462"/>
      <c r="AC58" s="462"/>
      <c r="AD58" s="462"/>
      <c r="AE58" s="462"/>
      <c r="AF58" s="462"/>
      <c r="AG58" s="452"/>
      <c r="AH58" s="627"/>
      <c r="AJ58" s="628"/>
      <c r="AK58" s="628"/>
    </row>
    <row r="59" spans="3:37" ht="12.75" hidden="1" customHeight="1" x14ac:dyDescent="0.2">
      <c r="C59" s="632"/>
      <c r="D59" s="240"/>
      <c r="E59" s="553"/>
      <c r="F59" s="45"/>
      <c r="G59" s="462"/>
      <c r="H59" s="462"/>
      <c r="I59" s="462"/>
      <c r="J59" s="462"/>
      <c r="K59" s="462"/>
      <c r="L59" s="462"/>
      <c r="M59" s="462"/>
      <c r="N59" s="462"/>
      <c r="O59" s="462"/>
      <c r="P59" s="462"/>
      <c r="Q59" s="462"/>
      <c r="R59" s="462"/>
      <c r="S59" s="462"/>
      <c r="T59" s="45"/>
      <c r="U59" s="462"/>
      <c r="V59" s="462"/>
      <c r="W59" s="462"/>
      <c r="X59" s="462"/>
      <c r="Y59" s="462"/>
      <c r="Z59" s="462"/>
      <c r="AA59" s="462"/>
      <c r="AB59" s="462"/>
      <c r="AC59" s="462"/>
      <c r="AD59" s="462"/>
      <c r="AE59" s="462"/>
      <c r="AF59" s="462"/>
      <c r="AG59" s="452"/>
      <c r="AH59" s="627"/>
      <c r="AJ59" s="628"/>
      <c r="AK59" s="628"/>
    </row>
    <row r="60" spans="3:37" ht="12.75" hidden="1" customHeight="1" x14ac:dyDescent="0.2">
      <c r="C60" s="632"/>
      <c r="D60" s="240"/>
      <c r="E60" s="553"/>
      <c r="F60" s="45"/>
      <c r="G60" s="462"/>
      <c r="H60" s="462"/>
      <c r="I60" s="462"/>
      <c r="J60" s="462"/>
      <c r="K60" s="462"/>
      <c r="L60" s="462"/>
      <c r="M60" s="462"/>
      <c r="N60" s="462"/>
      <c r="O60" s="462"/>
      <c r="P60" s="462"/>
      <c r="Q60" s="462"/>
      <c r="R60" s="462"/>
      <c r="S60" s="462"/>
      <c r="T60" s="45"/>
      <c r="U60" s="462"/>
      <c r="V60" s="462"/>
      <c r="W60" s="462"/>
      <c r="X60" s="462"/>
      <c r="Y60" s="462"/>
      <c r="Z60" s="462"/>
      <c r="AA60" s="462"/>
      <c r="AB60" s="462"/>
      <c r="AC60" s="462"/>
      <c r="AD60" s="462"/>
      <c r="AE60" s="462"/>
      <c r="AF60" s="462"/>
      <c r="AG60" s="452"/>
      <c r="AH60" s="627"/>
      <c r="AJ60" s="628"/>
      <c r="AK60" s="628"/>
    </row>
    <row r="61" spans="3:37" ht="12.75" hidden="1" customHeight="1" x14ac:dyDescent="0.2">
      <c r="C61" s="632"/>
      <c r="D61" s="240"/>
      <c r="E61" s="553"/>
      <c r="F61" s="45"/>
      <c r="G61" s="462"/>
      <c r="H61" s="462"/>
      <c r="I61" s="462"/>
      <c r="J61" s="462"/>
      <c r="K61" s="462"/>
      <c r="L61" s="462"/>
      <c r="M61" s="462"/>
      <c r="N61" s="462"/>
      <c r="O61" s="462"/>
      <c r="P61" s="462"/>
      <c r="Q61" s="462"/>
      <c r="R61" s="462"/>
      <c r="S61" s="462"/>
      <c r="T61" s="45"/>
      <c r="U61" s="462"/>
      <c r="V61" s="462"/>
      <c r="W61" s="462"/>
      <c r="X61" s="462"/>
      <c r="Y61" s="462"/>
      <c r="Z61" s="462"/>
      <c r="AA61" s="462"/>
      <c r="AB61" s="462"/>
      <c r="AC61" s="462"/>
      <c r="AD61" s="462"/>
      <c r="AE61" s="462"/>
      <c r="AF61" s="462"/>
      <c r="AG61" s="452"/>
      <c r="AH61" s="627"/>
      <c r="AJ61" s="628"/>
      <c r="AK61" s="628"/>
    </row>
    <row r="62" spans="3:37" ht="12.75" hidden="1" customHeight="1" x14ac:dyDescent="0.2">
      <c r="C62" s="632"/>
      <c r="D62" s="240"/>
      <c r="E62" s="553"/>
      <c r="F62" s="45"/>
      <c r="G62" s="462"/>
      <c r="H62" s="462"/>
      <c r="I62" s="462"/>
      <c r="J62" s="462"/>
      <c r="K62" s="462"/>
      <c r="L62" s="462"/>
      <c r="M62" s="462"/>
      <c r="N62" s="462"/>
      <c r="O62" s="462"/>
      <c r="P62" s="462"/>
      <c r="Q62" s="462"/>
      <c r="R62" s="462"/>
      <c r="S62" s="462"/>
      <c r="T62" s="45"/>
      <c r="U62" s="462"/>
      <c r="V62" s="462"/>
      <c r="W62" s="462"/>
      <c r="X62" s="462"/>
      <c r="Y62" s="462"/>
      <c r="Z62" s="462"/>
      <c r="AA62" s="462"/>
      <c r="AB62" s="462"/>
      <c r="AC62" s="462"/>
      <c r="AD62" s="462"/>
      <c r="AE62" s="462"/>
      <c r="AF62" s="462"/>
      <c r="AG62" s="452"/>
      <c r="AH62" s="627"/>
      <c r="AJ62" s="628"/>
      <c r="AK62" s="628"/>
    </row>
    <row r="63" spans="3:37" hidden="1" x14ac:dyDescent="0.2">
      <c r="C63" s="632"/>
      <c r="D63" s="240"/>
      <c r="E63" s="553"/>
      <c r="F63" s="45"/>
      <c r="G63" s="462"/>
      <c r="H63" s="462"/>
      <c r="I63" s="462"/>
      <c r="J63" s="462"/>
      <c r="K63" s="462"/>
      <c r="L63" s="462"/>
      <c r="M63" s="462"/>
      <c r="N63" s="462"/>
      <c r="O63" s="462"/>
      <c r="P63" s="462"/>
      <c r="Q63" s="462"/>
      <c r="R63" s="462"/>
      <c r="S63" s="462"/>
      <c r="T63" s="45"/>
      <c r="U63" s="462"/>
      <c r="V63" s="462"/>
      <c r="W63" s="462"/>
      <c r="X63" s="462"/>
      <c r="Y63" s="462"/>
      <c r="Z63" s="462"/>
      <c r="AA63" s="462"/>
      <c r="AB63" s="462"/>
      <c r="AC63" s="462"/>
      <c r="AD63" s="462"/>
      <c r="AE63" s="462"/>
      <c r="AF63" s="462"/>
      <c r="AG63" s="452"/>
      <c r="AH63" s="627"/>
      <c r="AJ63" s="628"/>
      <c r="AK63" s="628"/>
    </row>
    <row r="64" spans="3:37" ht="12.75" customHeight="1" x14ac:dyDescent="0.2">
      <c r="C64" s="633"/>
      <c r="D64" s="634"/>
      <c r="E64" s="635"/>
      <c r="F64" s="636"/>
      <c r="G64" s="637"/>
      <c r="H64" s="637"/>
      <c r="I64" s="637"/>
      <c r="J64" s="637"/>
      <c r="K64" s="637"/>
      <c r="L64" s="637"/>
      <c r="M64" s="637"/>
      <c r="N64" s="637"/>
      <c r="O64" s="637"/>
      <c r="P64" s="637"/>
      <c r="Q64" s="637"/>
      <c r="R64" s="637"/>
      <c r="S64" s="637"/>
      <c r="T64" s="636"/>
      <c r="U64" s="637"/>
      <c r="V64" s="637"/>
      <c r="W64" s="637"/>
      <c r="X64" s="637"/>
      <c r="Y64" s="637"/>
      <c r="Z64" s="637"/>
      <c r="AA64" s="637"/>
      <c r="AB64" s="637"/>
      <c r="AC64" s="637"/>
      <c r="AD64" s="637"/>
      <c r="AE64" s="637"/>
      <c r="AF64" s="637"/>
      <c r="AG64" s="638"/>
      <c r="AH64" s="627"/>
      <c r="AJ64" s="628"/>
      <c r="AK64" s="628"/>
    </row>
    <row r="65" spans="1:38" ht="12.75" hidden="1" customHeight="1" x14ac:dyDescent="0.2">
      <c r="C65" s="639" t="s">
        <v>607</v>
      </c>
      <c r="D65" s="634"/>
      <c r="E65" s="593"/>
      <c r="F65" s="640">
        <v>0</v>
      </c>
      <c r="G65" s="637">
        <v>0</v>
      </c>
      <c r="H65" s="637">
        <v>0</v>
      </c>
      <c r="I65" s="637">
        <v>0</v>
      </c>
      <c r="J65" s="637">
        <v>0</v>
      </c>
      <c r="K65" s="637">
        <v>0</v>
      </c>
      <c r="L65" s="637">
        <v>0</v>
      </c>
      <c r="M65" s="637">
        <v>0</v>
      </c>
      <c r="N65" s="637">
        <v>0</v>
      </c>
      <c r="O65" s="637">
        <v>0</v>
      </c>
      <c r="P65" s="637">
        <v>0</v>
      </c>
      <c r="Q65" s="637">
        <v>0</v>
      </c>
      <c r="R65" s="637">
        <v>0</v>
      </c>
      <c r="S65" s="637">
        <f>SUM(G65:R65)</f>
        <v>0</v>
      </c>
      <c r="T65" s="636">
        <v>0</v>
      </c>
      <c r="U65" s="637">
        <v>0</v>
      </c>
      <c r="V65" s="637">
        <v>0</v>
      </c>
      <c r="W65" s="637">
        <v>0</v>
      </c>
      <c r="X65" s="637">
        <v>0</v>
      </c>
      <c r="Y65" s="637">
        <v>0</v>
      </c>
      <c r="Z65" s="637">
        <v>0</v>
      </c>
      <c r="AA65" s="637">
        <v>0</v>
      </c>
      <c r="AB65" s="637">
        <v>0</v>
      </c>
      <c r="AC65" s="637">
        <v>0</v>
      </c>
      <c r="AD65" s="637">
        <v>0</v>
      </c>
      <c r="AE65" s="637">
        <v>0</v>
      </c>
      <c r="AF65" s="637">
        <v>0</v>
      </c>
      <c r="AG65" s="638">
        <f>SUM(U65:V65)</f>
        <v>0</v>
      </c>
      <c r="AH65" s="627"/>
      <c r="AJ65" s="628"/>
      <c r="AK65" s="628"/>
    </row>
    <row r="66" spans="1:38" s="642" customFormat="1" ht="15" customHeight="1" x14ac:dyDescent="0.2">
      <c r="A66" s="619"/>
      <c r="B66" s="619"/>
      <c r="C66" s="294" t="s">
        <v>608</v>
      </c>
      <c r="D66" s="294"/>
      <c r="E66" s="248"/>
      <c r="F66" s="23"/>
      <c r="G66" s="23"/>
      <c r="H66" s="23"/>
      <c r="I66" s="23"/>
      <c r="J66" s="23"/>
      <c r="K66" s="23"/>
      <c r="L66" s="23"/>
      <c r="M66" s="446"/>
      <c r="N66" s="446"/>
      <c r="O66" s="446"/>
      <c r="P66" s="446"/>
      <c r="Q66" s="446"/>
      <c r="R66" s="446"/>
      <c r="S66" s="446"/>
      <c r="T66" s="23"/>
      <c r="U66" s="23"/>
      <c r="V66" s="23"/>
      <c r="W66" s="23"/>
      <c r="X66" s="23"/>
      <c r="Y66" s="23"/>
      <c r="Z66" s="23"/>
      <c r="AA66" s="446"/>
      <c r="AB66" s="446"/>
      <c r="AC66" s="446"/>
      <c r="AD66" s="446"/>
      <c r="AE66" s="446"/>
      <c r="AF66" s="446"/>
      <c r="AG66" s="446"/>
      <c r="AH66" s="641"/>
    </row>
    <row r="67" spans="1:38" x14ac:dyDescent="0.2">
      <c r="C67" s="294" t="s">
        <v>609</v>
      </c>
      <c r="D67" s="294"/>
      <c r="E67" s="553"/>
      <c r="F67" s="240"/>
      <c r="G67" s="240"/>
      <c r="H67" s="1"/>
      <c r="I67" s="240"/>
      <c r="J67" s="240"/>
      <c r="K67" s="240"/>
      <c r="L67" s="240"/>
      <c r="M67" s="240"/>
      <c r="N67" s="240"/>
      <c r="O67" s="240"/>
      <c r="P67" s="240"/>
      <c r="Q67" s="240"/>
      <c r="R67" s="240"/>
      <c r="S67" s="1"/>
      <c r="T67" s="240"/>
      <c r="U67" s="240"/>
      <c r="V67" s="240"/>
      <c r="W67" s="240"/>
      <c r="X67" s="240"/>
      <c r="Y67" s="240"/>
      <c r="Z67" s="240"/>
      <c r="AA67" s="240"/>
      <c r="AB67" s="240"/>
      <c r="AC67" s="240"/>
      <c r="AD67" s="240"/>
      <c r="AE67" s="240"/>
      <c r="AF67" s="240"/>
      <c r="AG67" s="240"/>
      <c r="AH67" s="641"/>
      <c r="AJ67" s="628"/>
      <c r="AL67" s="628"/>
    </row>
    <row r="68" spans="1:38" x14ac:dyDescent="0.2">
      <c r="C68" s="294"/>
      <c r="D68" s="240"/>
      <c r="E68" s="553"/>
      <c r="F68" s="240"/>
      <c r="G68" s="240"/>
      <c r="H68" s="1"/>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641"/>
      <c r="AJ68" s="628"/>
      <c r="AL68" s="628"/>
    </row>
    <row r="69" spans="1:38" x14ac:dyDescent="0.2">
      <c r="C69" s="240"/>
      <c r="E69" s="240"/>
      <c r="F69" s="240"/>
      <c r="G69" s="240"/>
      <c r="H69" s="1"/>
      <c r="I69" s="240"/>
      <c r="J69" s="240"/>
      <c r="K69" s="240"/>
      <c r="L69" s="240"/>
      <c r="M69" s="240"/>
      <c r="N69" s="240"/>
      <c r="O69" s="240"/>
      <c r="P69" s="240"/>
      <c r="Q69" s="240"/>
      <c r="R69" s="240"/>
      <c r="S69" s="240"/>
      <c r="T69" s="240"/>
      <c r="U69" s="240"/>
      <c r="V69" s="240"/>
      <c r="W69" s="240"/>
      <c r="X69" s="240"/>
      <c r="Y69" s="240"/>
      <c r="Z69" s="240"/>
      <c r="AA69" s="240"/>
      <c r="AB69" s="240"/>
      <c r="AC69" s="240"/>
      <c r="AD69" s="240"/>
      <c r="AE69" s="240"/>
      <c r="AF69" s="240"/>
      <c r="AG69" s="240"/>
      <c r="AL69" s="643"/>
    </row>
    <row r="70" spans="1:38" ht="12.75" hidden="1" customHeight="1" x14ac:dyDescent="0.2">
      <c r="C70" s="619" t="s">
        <v>610</v>
      </c>
      <c r="H70" s="628"/>
    </row>
    <row r="71" spans="1:38" ht="12.75" hidden="1" customHeight="1" x14ac:dyDescent="0.2">
      <c r="C71" s="619" t="s">
        <v>611</v>
      </c>
      <c r="H71" s="628"/>
    </row>
    <row r="72" spans="1:38" ht="12.75" hidden="1" customHeight="1" x14ac:dyDescent="0.2">
      <c r="C72" s="619" t="s">
        <v>612</v>
      </c>
      <c r="H72" s="628"/>
    </row>
    <row r="73" spans="1:38" ht="12.75" hidden="1" customHeight="1" x14ac:dyDescent="0.2">
      <c r="C73" s="619" t="s">
        <v>613</v>
      </c>
      <c r="H73" s="628"/>
    </row>
    <row r="74" spans="1:38" ht="12.75" hidden="1" customHeight="1" x14ac:dyDescent="0.2">
      <c r="C74" s="619" t="s">
        <v>614</v>
      </c>
    </row>
    <row r="75" spans="1:38" ht="12.75" hidden="1" customHeight="1" x14ac:dyDescent="0.2">
      <c r="C75" s="619" t="s">
        <v>615</v>
      </c>
    </row>
    <row r="76" spans="1:38" ht="12.75" hidden="1" customHeight="1" x14ac:dyDescent="0.2">
      <c r="C76" s="619" t="s">
        <v>616</v>
      </c>
    </row>
    <row r="77" spans="1:38" hidden="1" x14ac:dyDescent="0.2">
      <c r="D77" s="644"/>
      <c r="M77" s="628"/>
      <c r="AH77" s="641"/>
    </row>
    <row r="78" spans="1:38" hidden="1" x14ac:dyDescent="0.2">
      <c r="T78" s="628"/>
      <c r="AH78" s="641"/>
    </row>
    <row r="79" spans="1:38" hidden="1" x14ac:dyDescent="0.2">
      <c r="C79" s="645"/>
      <c r="D79" s="645"/>
      <c r="E79" s="646"/>
      <c r="F79" s="646"/>
    </row>
    <row r="80" spans="1:38" hidden="1" x14ac:dyDescent="0.2">
      <c r="F80" s="628"/>
    </row>
    <row r="81" spans="5:33" hidden="1" x14ac:dyDescent="0.2">
      <c r="T81" s="647">
        <v>9603525</v>
      </c>
    </row>
    <row r="82" spans="5:33" hidden="1" x14ac:dyDescent="0.2">
      <c r="T82" s="647">
        <f>T81-S6</f>
        <v>-13955108</v>
      </c>
    </row>
    <row r="83" spans="5:33" hidden="1" x14ac:dyDescent="0.2">
      <c r="T83" s="647"/>
    </row>
    <row r="84" spans="5:33" hidden="1" x14ac:dyDescent="0.2">
      <c r="T84" s="647">
        <v>3335838</v>
      </c>
    </row>
    <row r="85" spans="5:33" hidden="1" x14ac:dyDescent="0.2">
      <c r="T85" s="647">
        <f>T84-S22</f>
        <v>-10201458</v>
      </c>
    </row>
    <row r="86" spans="5:33" hidden="1" x14ac:dyDescent="0.2">
      <c r="T86" s="647"/>
    </row>
    <row r="87" spans="5:33" s="648" customFormat="1" x14ac:dyDescent="0.2">
      <c r="E87" s="647"/>
      <c r="F87" s="647"/>
      <c r="G87" s="649"/>
      <c r="H87" s="649"/>
      <c r="I87" s="649"/>
      <c r="J87" s="649"/>
      <c r="K87" s="649"/>
      <c r="L87" s="649"/>
      <c r="M87" s="650"/>
      <c r="N87" s="651"/>
      <c r="O87" s="649"/>
      <c r="P87" s="649"/>
      <c r="Q87" s="649"/>
      <c r="R87" s="649"/>
      <c r="S87" s="652"/>
      <c r="T87" s="647"/>
      <c r="U87" s="647"/>
      <c r="V87" s="647"/>
      <c r="W87" s="647"/>
      <c r="X87" s="647"/>
      <c r="Y87" s="647"/>
      <c r="Z87" s="647"/>
      <c r="AA87" s="647"/>
      <c r="AB87" s="647"/>
      <c r="AC87" s="647"/>
      <c r="AD87" s="647"/>
      <c r="AE87" s="647"/>
      <c r="AF87" s="647"/>
      <c r="AG87" s="647"/>
    </row>
    <row r="88" spans="5:33" s="648" customFormat="1" x14ac:dyDescent="0.2">
      <c r="E88" s="647"/>
      <c r="F88" s="647"/>
      <c r="G88" s="649"/>
      <c r="H88" s="649"/>
      <c r="I88" s="649"/>
      <c r="J88" s="649"/>
      <c r="K88" s="649"/>
      <c r="L88" s="649"/>
      <c r="M88" s="649"/>
      <c r="N88" s="649"/>
      <c r="O88" s="649"/>
      <c r="P88" s="649"/>
      <c r="Q88" s="649"/>
      <c r="R88" s="649"/>
      <c r="S88" s="652"/>
      <c r="T88" s="649"/>
      <c r="U88" s="647"/>
      <c r="V88" s="647"/>
      <c r="W88" s="647"/>
      <c r="X88" s="647"/>
      <c r="Y88" s="647"/>
      <c r="Z88" s="647"/>
      <c r="AA88" s="647"/>
      <c r="AB88" s="647"/>
      <c r="AC88" s="647"/>
      <c r="AD88" s="647"/>
      <c r="AE88" s="647"/>
      <c r="AF88" s="647"/>
      <c r="AG88" s="647"/>
    </row>
    <row r="89" spans="5:33" s="648" customFormat="1" x14ac:dyDescent="0.2">
      <c r="E89" s="647"/>
      <c r="F89" s="647"/>
      <c r="G89" s="647"/>
      <c r="H89" s="647"/>
      <c r="I89" s="647"/>
      <c r="J89" s="647"/>
      <c r="K89" s="647"/>
      <c r="L89" s="647"/>
      <c r="M89" s="647"/>
      <c r="N89" s="647"/>
      <c r="O89" s="647"/>
      <c r="P89" s="647"/>
      <c r="Q89" s="647"/>
      <c r="R89" s="647"/>
      <c r="S89" s="652"/>
      <c r="T89" s="647"/>
      <c r="U89" s="647"/>
      <c r="V89" s="647"/>
      <c r="W89" s="647"/>
      <c r="X89" s="647"/>
      <c r="Y89" s="647"/>
      <c r="Z89" s="647"/>
      <c r="AA89" s="647"/>
      <c r="AB89" s="647"/>
      <c r="AC89" s="647"/>
      <c r="AD89" s="647"/>
      <c r="AE89" s="647"/>
      <c r="AF89" s="647"/>
      <c r="AG89" s="647"/>
    </row>
    <row r="90" spans="5:33" s="648" customFormat="1" x14ac:dyDescent="0.2">
      <c r="E90" s="647"/>
      <c r="F90" s="619"/>
      <c r="G90" s="650"/>
      <c r="H90" s="650"/>
      <c r="I90" s="650"/>
      <c r="J90" s="650"/>
      <c r="K90" s="650"/>
      <c r="L90" s="650"/>
      <c r="M90" s="650"/>
      <c r="N90" s="650"/>
      <c r="O90" s="650"/>
      <c r="P90" s="647"/>
      <c r="Q90" s="647"/>
      <c r="R90" s="647"/>
      <c r="S90" s="652"/>
      <c r="T90" s="647"/>
      <c r="U90" s="647"/>
      <c r="V90" s="647"/>
      <c r="W90" s="647"/>
      <c r="X90" s="647"/>
      <c r="Y90" s="647"/>
      <c r="Z90" s="647"/>
      <c r="AA90" s="647"/>
      <c r="AB90" s="647"/>
      <c r="AC90" s="647"/>
      <c r="AD90" s="647"/>
      <c r="AE90" s="647"/>
      <c r="AF90" s="647"/>
      <c r="AG90" s="647"/>
    </row>
    <row r="91" spans="5:33" ht="15.75" customHeight="1" x14ac:dyDescent="0.2">
      <c r="G91" s="649"/>
      <c r="H91" s="649"/>
      <c r="I91" s="649"/>
      <c r="J91" s="649"/>
      <c r="K91" s="649"/>
      <c r="L91" s="649"/>
      <c r="M91" s="649"/>
      <c r="N91" s="649"/>
      <c r="O91" s="649"/>
      <c r="S91" s="652"/>
    </row>
    <row r="92" spans="5:33" x14ac:dyDescent="0.2">
      <c r="S92" s="652"/>
      <c r="T92" s="649"/>
    </row>
    <row r="93" spans="5:33" x14ac:dyDescent="0.2">
      <c r="G93" s="628"/>
      <c r="H93" s="628"/>
      <c r="I93" s="628"/>
      <c r="J93" s="628"/>
      <c r="K93" s="628"/>
      <c r="L93" s="628"/>
      <c r="M93" s="628"/>
      <c r="N93" s="628"/>
      <c r="O93" s="628"/>
      <c r="S93" s="652"/>
    </row>
    <row r="94" spans="5:33" x14ac:dyDescent="0.2">
      <c r="G94" s="628"/>
      <c r="H94" s="628"/>
      <c r="I94" s="628"/>
      <c r="J94" s="628"/>
      <c r="K94" s="628"/>
      <c r="L94" s="628"/>
      <c r="M94" s="628"/>
      <c r="N94" s="628"/>
      <c r="O94" s="628"/>
      <c r="P94" s="628"/>
      <c r="Q94" s="628"/>
      <c r="R94" s="628"/>
      <c r="S94" s="652"/>
    </row>
    <row r="95" spans="5:33" x14ac:dyDescent="0.2">
      <c r="G95" s="628"/>
      <c r="H95" s="628"/>
      <c r="I95" s="628"/>
      <c r="J95" s="628"/>
      <c r="K95" s="628"/>
      <c r="L95" s="628"/>
      <c r="M95" s="628"/>
      <c r="N95" s="628"/>
      <c r="O95" s="628"/>
      <c r="P95" s="628"/>
      <c r="Q95" s="628"/>
      <c r="R95" s="628"/>
      <c r="S95" s="628"/>
    </row>
    <row r="96" spans="5:33" x14ac:dyDescent="0.2">
      <c r="G96" s="628"/>
      <c r="H96" s="628"/>
      <c r="I96" s="628"/>
      <c r="J96" s="628"/>
      <c r="K96" s="628"/>
      <c r="L96" s="628"/>
      <c r="M96" s="628"/>
      <c r="N96" s="628"/>
      <c r="O96" s="628"/>
      <c r="P96" s="628"/>
      <c r="Q96" s="628"/>
      <c r="R96" s="628"/>
      <c r="S96" s="628"/>
    </row>
    <row r="97" spans="7:19" x14ac:dyDescent="0.2">
      <c r="G97" s="628"/>
      <c r="H97" s="628"/>
      <c r="I97" s="628"/>
      <c r="J97" s="628"/>
      <c r="K97" s="628"/>
      <c r="L97" s="628"/>
      <c r="M97" s="628"/>
      <c r="N97" s="628"/>
      <c r="O97" s="628"/>
      <c r="P97" s="628"/>
      <c r="Q97" s="628"/>
      <c r="R97" s="628"/>
      <c r="S97" s="628"/>
    </row>
    <row r="98" spans="7:19" x14ac:dyDescent="0.2">
      <c r="G98" s="628"/>
      <c r="H98" s="628"/>
      <c r="I98" s="628"/>
      <c r="J98" s="628"/>
      <c r="K98" s="628"/>
      <c r="L98" s="628"/>
      <c r="M98" s="628"/>
      <c r="N98" s="628"/>
      <c r="O98" s="628"/>
      <c r="P98" s="628"/>
      <c r="Q98" s="628"/>
      <c r="R98" s="628"/>
      <c r="S98" s="628"/>
    </row>
    <row r="99" spans="7:19" x14ac:dyDescent="0.2">
      <c r="G99" s="628"/>
      <c r="H99" s="628"/>
      <c r="I99" s="628"/>
      <c r="J99" s="628"/>
      <c r="K99" s="628"/>
      <c r="L99" s="628"/>
      <c r="M99" s="628"/>
      <c r="N99" s="628"/>
      <c r="O99" s="628"/>
      <c r="P99" s="628"/>
      <c r="Q99" s="628"/>
      <c r="R99" s="628"/>
      <c r="S99" s="628"/>
    </row>
    <row r="100" spans="7:19" x14ac:dyDescent="0.2">
      <c r="G100" s="628"/>
      <c r="H100" s="628"/>
      <c r="I100" s="628"/>
      <c r="J100" s="628"/>
      <c r="K100" s="628"/>
      <c r="L100" s="628"/>
      <c r="M100" s="628"/>
      <c r="N100" s="628"/>
      <c r="O100" s="628"/>
      <c r="P100" s="628"/>
      <c r="Q100" s="628"/>
      <c r="R100" s="628"/>
      <c r="S100" s="628"/>
    </row>
    <row r="101" spans="7:19" x14ac:dyDescent="0.2">
      <c r="G101" s="628"/>
      <c r="H101" s="628"/>
      <c r="I101" s="628"/>
      <c r="J101" s="628"/>
      <c r="K101" s="628"/>
      <c r="L101" s="628"/>
      <c r="M101" s="628"/>
      <c r="N101" s="628"/>
      <c r="O101" s="628"/>
      <c r="P101" s="628"/>
      <c r="Q101" s="628"/>
      <c r="R101" s="628"/>
      <c r="S101" s="628"/>
    </row>
    <row r="102" spans="7:19" x14ac:dyDescent="0.2">
      <c r="G102" s="628"/>
      <c r="H102" s="628"/>
      <c r="I102" s="628"/>
      <c r="J102" s="628"/>
      <c r="K102" s="628"/>
      <c r="L102" s="628"/>
      <c r="M102" s="628"/>
      <c r="N102" s="628"/>
      <c r="O102" s="628"/>
      <c r="P102" s="628"/>
      <c r="Q102" s="628"/>
      <c r="R102" s="628"/>
      <c r="S102" s="628"/>
    </row>
    <row r="103" spans="7:19" x14ac:dyDescent="0.2">
      <c r="G103" s="628"/>
      <c r="H103" s="628"/>
      <c r="I103" s="628"/>
      <c r="J103" s="628"/>
      <c r="K103" s="628"/>
      <c r="L103" s="628"/>
      <c r="M103" s="628"/>
      <c r="N103" s="628"/>
      <c r="O103" s="628"/>
      <c r="P103" s="628"/>
      <c r="Q103" s="628"/>
      <c r="R103" s="628"/>
      <c r="S103" s="628"/>
    </row>
    <row r="104" spans="7:19" x14ac:dyDescent="0.2">
      <c r="G104" s="628"/>
      <c r="H104" s="628"/>
      <c r="I104" s="628"/>
      <c r="J104" s="628"/>
      <c r="K104" s="628"/>
      <c r="L104" s="628"/>
      <c r="M104" s="628"/>
      <c r="N104" s="628"/>
      <c r="O104" s="628"/>
      <c r="P104" s="628"/>
      <c r="Q104" s="628"/>
      <c r="R104" s="628"/>
      <c r="S104" s="628"/>
    </row>
    <row r="105" spans="7:19" x14ac:dyDescent="0.2">
      <c r="G105" s="628"/>
      <c r="H105" s="628"/>
      <c r="I105" s="628"/>
      <c r="J105" s="628"/>
      <c r="K105" s="628"/>
      <c r="L105" s="628"/>
      <c r="M105" s="628"/>
      <c r="N105" s="628"/>
      <c r="O105" s="628"/>
      <c r="P105" s="628"/>
      <c r="Q105" s="628"/>
      <c r="R105" s="628"/>
      <c r="S105" s="628"/>
    </row>
    <row r="106" spans="7:19" x14ac:dyDescent="0.2">
      <c r="G106" s="628"/>
      <c r="H106" s="628"/>
      <c r="I106" s="628"/>
      <c r="J106" s="628"/>
      <c r="K106" s="628"/>
      <c r="L106" s="628"/>
      <c r="M106" s="628"/>
      <c r="N106" s="628"/>
      <c r="O106" s="628"/>
      <c r="P106" s="628"/>
      <c r="Q106" s="628"/>
      <c r="R106" s="628"/>
      <c r="S106" s="628"/>
    </row>
    <row r="107" spans="7:19" x14ac:dyDescent="0.2">
      <c r="G107" s="628"/>
      <c r="H107" s="628"/>
      <c r="I107" s="628"/>
      <c r="J107" s="628"/>
      <c r="K107" s="628"/>
      <c r="L107" s="628"/>
      <c r="M107" s="628"/>
      <c r="N107" s="628"/>
      <c r="O107" s="628"/>
      <c r="P107" s="628"/>
      <c r="Q107" s="628"/>
      <c r="R107" s="628"/>
      <c r="S107" s="628"/>
    </row>
    <row r="108" spans="7:19" x14ac:dyDescent="0.2">
      <c r="G108" s="628"/>
      <c r="H108" s="628"/>
      <c r="I108" s="628"/>
      <c r="J108" s="628"/>
      <c r="K108" s="628"/>
      <c r="L108" s="628"/>
      <c r="M108" s="628"/>
      <c r="N108" s="628"/>
      <c r="O108" s="628"/>
      <c r="P108" s="628"/>
      <c r="Q108" s="628"/>
      <c r="R108" s="628"/>
      <c r="S108" s="628"/>
    </row>
    <row r="109" spans="7:19" x14ac:dyDescent="0.2">
      <c r="G109" s="628"/>
      <c r="H109" s="628"/>
      <c r="I109" s="628"/>
      <c r="J109" s="628"/>
      <c r="K109" s="628"/>
      <c r="L109" s="628"/>
      <c r="M109" s="628"/>
      <c r="N109" s="628"/>
      <c r="O109" s="628"/>
      <c r="P109" s="628"/>
      <c r="Q109" s="628"/>
      <c r="R109" s="628"/>
      <c r="S109" s="628"/>
    </row>
    <row r="110" spans="7:19" x14ac:dyDescent="0.2">
      <c r="G110" s="628"/>
      <c r="H110" s="628"/>
      <c r="I110" s="628"/>
      <c r="J110" s="628"/>
      <c r="K110" s="628"/>
      <c r="L110" s="628"/>
      <c r="M110" s="628"/>
      <c r="N110" s="628"/>
      <c r="O110" s="628"/>
      <c r="P110" s="628"/>
      <c r="Q110" s="628"/>
      <c r="R110" s="628"/>
      <c r="S110" s="628"/>
    </row>
    <row r="111" spans="7:19" x14ac:dyDescent="0.2">
      <c r="G111" s="628"/>
      <c r="H111" s="628"/>
      <c r="I111" s="628"/>
      <c r="J111" s="628"/>
      <c r="K111" s="628"/>
      <c r="L111" s="628"/>
      <c r="M111" s="628"/>
      <c r="N111" s="628"/>
      <c r="O111" s="628"/>
      <c r="P111" s="628"/>
      <c r="Q111" s="628"/>
      <c r="R111" s="628"/>
      <c r="S111" s="628"/>
    </row>
    <row r="112" spans="7:19" x14ac:dyDescent="0.2">
      <c r="G112" s="628"/>
      <c r="H112" s="628"/>
      <c r="I112" s="628"/>
      <c r="J112" s="628"/>
      <c r="K112" s="628"/>
      <c r="L112" s="628"/>
      <c r="M112" s="628"/>
      <c r="N112" s="628"/>
      <c r="O112" s="628"/>
      <c r="P112" s="628"/>
      <c r="Q112" s="628"/>
      <c r="R112" s="628"/>
      <c r="S112" s="628"/>
    </row>
    <row r="113" spans="7:19" x14ac:dyDescent="0.2">
      <c r="G113" s="628"/>
      <c r="H113" s="628"/>
      <c r="I113" s="628"/>
      <c r="J113" s="628"/>
      <c r="K113" s="628"/>
      <c r="L113" s="628"/>
      <c r="M113" s="628"/>
      <c r="N113" s="628"/>
      <c r="O113" s="628"/>
      <c r="P113" s="628"/>
      <c r="Q113" s="628"/>
      <c r="R113" s="628"/>
      <c r="S113" s="628"/>
    </row>
    <row r="114" spans="7:19" x14ac:dyDescent="0.2">
      <c r="G114" s="628"/>
      <c r="H114" s="628"/>
      <c r="I114" s="628"/>
      <c r="J114" s="628"/>
      <c r="K114" s="628"/>
      <c r="L114" s="628"/>
      <c r="M114" s="628"/>
      <c r="N114" s="628"/>
      <c r="O114" s="628"/>
      <c r="P114" s="628"/>
      <c r="Q114" s="628"/>
      <c r="R114" s="628"/>
      <c r="S114" s="628"/>
    </row>
    <row r="115" spans="7:19" x14ac:dyDescent="0.2">
      <c r="G115" s="628"/>
      <c r="H115" s="628"/>
      <c r="I115" s="628"/>
      <c r="J115" s="628"/>
      <c r="K115" s="628"/>
      <c r="L115" s="628"/>
      <c r="M115" s="628"/>
      <c r="N115" s="628"/>
      <c r="O115" s="628"/>
      <c r="P115" s="628"/>
      <c r="Q115" s="628"/>
      <c r="R115" s="628"/>
      <c r="S115" s="628"/>
    </row>
    <row r="116" spans="7:19" x14ac:dyDescent="0.2">
      <c r="G116" s="628"/>
      <c r="H116" s="628"/>
      <c r="I116" s="628"/>
      <c r="J116" s="628"/>
      <c r="K116" s="628"/>
      <c r="L116" s="628"/>
      <c r="M116" s="628"/>
      <c r="N116" s="628"/>
      <c r="O116" s="628"/>
      <c r="P116" s="628"/>
      <c r="Q116" s="628"/>
      <c r="R116" s="628"/>
      <c r="S116" s="628"/>
    </row>
    <row r="117" spans="7:19" x14ac:dyDescent="0.2">
      <c r="G117" s="628"/>
      <c r="H117" s="628"/>
      <c r="I117" s="628"/>
      <c r="J117" s="628"/>
      <c r="K117" s="628"/>
      <c r="L117" s="628"/>
      <c r="M117" s="628"/>
      <c r="N117" s="628"/>
      <c r="O117" s="628"/>
      <c r="P117" s="628"/>
      <c r="Q117" s="628"/>
      <c r="R117" s="628"/>
      <c r="S117" s="628"/>
    </row>
    <row r="118" spans="7:19" x14ac:dyDescent="0.2">
      <c r="G118" s="628"/>
      <c r="H118" s="628"/>
      <c r="I118" s="628"/>
      <c r="J118" s="628"/>
      <c r="K118" s="628"/>
      <c r="L118" s="628"/>
      <c r="M118" s="628"/>
      <c r="N118" s="628"/>
      <c r="O118" s="628"/>
      <c r="P118" s="628"/>
      <c r="Q118" s="628"/>
      <c r="R118" s="628"/>
      <c r="S118" s="628"/>
    </row>
    <row r="119" spans="7:19" x14ac:dyDescent="0.2">
      <c r="G119" s="628"/>
      <c r="H119" s="628"/>
      <c r="I119" s="628"/>
      <c r="J119" s="628"/>
      <c r="K119" s="628"/>
      <c r="L119" s="628"/>
      <c r="M119" s="628"/>
      <c r="N119" s="628"/>
      <c r="O119" s="628"/>
      <c r="P119" s="628"/>
      <c r="Q119" s="628"/>
      <c r="R119" s="628"/>
      <c r="S119" s="628"/>
    </row>
    <row r="120" spans="7:19" x14ac:dyDescent="0.2">
      <c r="G120" s="628"/>
      <c r="H120" s="628"/>
      <c r="I120" s="628"/>
      <c r="J120" s="628"/>
      <c r="K120" s="628"/>
      <c r="L120" s="628"/>
      <c r="M120" s="628"/>
      <c r="N120" s="628"/>
      <c r="O120" s="628"/>
      <c r="P120" s="628"/>
      <c r="Q120" s="628"/>
      <c r="R120" s="628"/>
      <c r="S120" s="628"/>
    </row>
    <row r="121" spans="7:19" x14ac:dyDescent="0.2">
      <c r="G121" s="628"/>
      <c r="H121" s="628"/>
      <c r="I121" s="628"/>
      <c r="J121" s="628"/>
      <c r="K121" s="628"/>
      <c r="L121" s="628"/>
      <c r="M121" s="628"/>
      <c r="N121" s="628"/>
      <c r="O121" s="628"/>
      <c r="P121" s="628"/>
      <c r="Q121" s="628"/>
      <c r="R121" s="628"/>
      <c r="S121" s="628"/>
    </row>
    <row r="122" spans="7:19" x14ac:dyDescent="0.2">
      <c r="G122" s="628"/>
      <c r="H122" s="628"/>
      <c r="I122" s="628"/>
      <c r="J122" s="628"/>
      <c r="K122" s="628"/>
      <c r="L122" s="628"/>
      <c r="M122" s="628"/>
      <c r="N122" s="628"/>
      <c r="O122" s="628"/>
      <c r="P122" s="628"/>
      <c r="Q122" s="628"/>
      <c r="R122" s="628"/>
      <c r="S122" s="628"/>
    </row>
    <row r="123" spans="7:19" x14ac:dyDescent="0.2">
      <c r="G123" s="628"/>
      <c r="H123" s="628"/>
      <c r="I123" s="628"/>
      <c r="J123" s="628"/>
      <c r="K123" s="628"/>
      <c r="L123" s="628"/>
      <c r="M123" s="628"/>
      <c r="N123" s="628"/>
      <c r="O123" s="628"/>
      <c r="P123" s="628"/>
      <c r="Q123" s="628"/>
      <c r="R123" s="628"/>
      <c r="S123" s="628"/>
    </row>
    <row r="124" spans="7:19" x14ac:dyDescent="0.2">
      <c r="G124" s="628"/>
      <c r="H124" s="628"/>
      <c r="I124" s="628"/>
      <c r="J124" s="628"/>
      <c r="K124" s="628"/>
      <c r="L124" s="628"/>
      <c r="M124" s="628"/>
      <c r="N124" s="628"/>
      <c r="O124" s="628"/>
      <c r="P124" s="628"/>
      <c r="Q124" s="628"/>
      <c r="R124" s="628"/>
      <c r="S124" s="628"/>
    </row>
    <row r="125" spans="7:19" x14ac:dyDescent="0.2">
      <c r="G125" s="628"/>
      <c r="H125" s="628"/>
      <c r="I125" s="628"/>
      <c r="J125" s="628"/>
      <c r="K125" s="628"/>
      <c r="L125" s="628"/>
      <c r="M125" s="628"/>
      <c r="N125" s="628"/>
      <c r="O125" s="628"/>
      <c r="P125" s="628"/>
      <c r="Q125" s="628"/>
      <c r="R125" s="628"/>
      <c r="S125" s="628"/>
    </row>
    <row r="126" spans="7:19" x14ac:dyDescent="0.2">
      <c r="G126" s="628"/>
      <c r="H126" s="628"/>
      <c r="I126" s="628"/>
      <c r="J126" s="628"/>
      <c r="K126" s="628"/>
      <c r="L126" s="628"/>
      <c r="M126" s="628"/>
      <c r="N126" s="628"/>
      <c r="O126" s="628"/>
      <c r="P126" s="628"/>
      <c r="Q126" s="628"/>
      <c r="R126" s="628"/>
      <c r="S126" s="628"/>
    </row>
    <row r="127" spans="7:19" x14ac:dyDescent="0.2">
      <c r="G127" s="628"/>
      <c r="H127" s="628"/>
      <c r="I127" s="628"/>
      <c r="J127" s="628"/>
      <c r="K127" s="628"/>
      <c r="L127" s="628"/>
      <c r="M127" s="628"/>
      <c r="N127" s="628"/>
      <c r="O127" s="628"/>
      <c r="P127" s="628"/>
      <c r="Q127" s="628"/>
      <c r="R127" s="628"/>
      <c r="S127" s="628"/>
    </row>
    <row r="128" spans="7:19" x14ac:dyDescent="0.2">
      <c r="G128" s="628"/>
      <c r="H128" s="628"/>
      <c r="I128" s="628"/>
      <c r="J128" s="628"/>
      <c r="K128" s="628"/>
      <c r="L128" s="628"/>
      <c r="M128" s="628"/>
      <c r="N128" s="628"/>
      <c r="O128" s="628"/>
      <c r="P128" s="628"/>
      <c r="Q128" s="628"/>
      <c r="R128" s="628"/>
      <c r="S128" s="628"/>
    </row>
    <row r="129" spans="7:19" x14ac:dyDescent="0.2">
      <c r="G129" s="628"/>
      <c r="H129" s="628"/>
      <c r="I129" s="628"/>
      <c r="J129" s="628"/>
      <c r="K129" s="628"/>
      <c r="L129" s="628"/>
      <c r="M129" s="628"/>
      <c r="N129" s="628"/>
      <c r="O129" s="628"/>
      <c r="P129" s="628"/>
      <c r="Q129" s="628"/>
      <c r="R129" s="628"/>
      <c r="S129" s="628"/>
    </row>
    <row r="130" spans="7:19" x14ac:dyDescent="0.2">
      <c r="G130" s="628"/>
      <c r="H130" s="628"/>
      <c r="I130" s="628"/>
      <c r="J130" s="628"/>
      <c r="K130" s="628"/>
      <c r="L130" s="628"/>
      <c r="M130" s="628"/>
      <c r="N130" s="628"/>
      <c r="O130" s="628"/>
      <c r="P130" s="628"/>
      <c r="Q130" s="628"/>
      <c r="R130" s="628"/>
      <c r="S130" s="628"/>
    </row>
    <row r="131" spans="7:19" x14ac:dyDescent="0.2">
      <c r="G131" s="628"/>
      <c r="H131" s="628"/>
      <c r="I131" s="628"/>
      <c r="J131" s="628"/>
      <c r="K131" s="628"/>
      <c r="L131" s="628"/>
      <c r="M131" s="628"/>
      <c r="N131" s="628"/>
      <c r="O131" s="628"/>
      <c r="P131" s="628"/>
      <c r="Q131" s="628"/>
      <c r="R131" s="628"/>
      <c r="S131" s="628"/>
    </row>
    <row r="132" spans="7:19" x14ac:dyDescent="0.2">
      <c r="G132" s="628"/>
      <c r="H132" s="628"/>
      <c r="I132" s="628"/>
      <c r="J132" s="628"/>
      <c r="K132" s="628"/>
      <c r="L132" s="628"/>
      <c r="M132" s="628"/>
      <c r="N132" s="628"/>
      <c r="O132" s="628"/>
      <c r="P132" s="628"/>
      <c r="Q132" s="628"/>
      <c r="R132" s="628"/>
      <c r="S132" s="628"/>
    </row>
    <row r="133" spans="7:19" x14ac:dyDescent="0.2">
      <c r="G133" s="628"/>
      <c r="H133" s="628"/>
      <c r="I133" s="628"/>
      <c r="J133" s="628"/>
      <c r="K133" s="628"/>
      <c r="L133" s="628"/>
      <c r="M133" s="628"/>
      <c r="N133" s="628"/>
      <c r="O133" s="628"/>
      <c r="P133" s="628"/>
      <c r="Q133" s="628"/>
      <c r="R133" s="628"/>
      <c r="S133" s="628"/>
    </row>
    <row r="134" spans="7:19" x14ac:dyDescent="0.2">
      <c r="G134" s="628"/>
      <c r="H134" s="628"/>
      <c r="I134" s="628"/>
      <c r="J134" s="628"/>
      <c r="K134" s="628"/>
      <c r="L134" s="628"/>
      <c r="M134" s="628"/>
      <c r="N134" s="628"/>
      <c r="O134" s="628"/>
      <c r="P134" s="628"/>
      <c r="Q134" s="628"/>
      <c r="R134" s="628"/>
      <c r="S134" s="628"/>
    </row>
    <row r="135" spans="7:19" x14ac:dyDescent="0.2">
      <c r="G135" s="628"/>
      <c r="H135" s="628"/>
      <c r="I135" s="628"/>
      <c r="J135" s="628"/>
      <c r="K135" s="628"/>
      <c r="L135" s="628"/>
      <c r="M135" s="628"/>
      <c r="N135" s="628"/>
      <c r="O135" s="628"/>
      <c r="P135" s="628"/>
      <c r="Q135" s="628"/>
      <c r="R135" s="628"/>
      <c r="S135" s="628"/>
    </row>
    <row r="136" spans="7:19" x14ac:dyDescent="0.2">
      <c r="G136" s="628"/>
      <c r="H136" s="628"/>
      <c r="I136" s="628"/>
      <c r="J136" s="628"/>
      <c r="K136" s="628"/>
      <c r="L136" s="628"/>
      <c r="M136" s="628"/>
      <c r="N136" s="628"/>
      <c r="O136" s="628"/>
      <c r="P136" s="628"/>
      <c r="Q136" s="628"/>
      <c r="R136" s="628"/>
      <c r="S136" s="628"/>
    </row>
    <row r="137" spans="7:19" x14ac:dyDescent="0.2">
      <c r="G137" s="628"/>
      <c r="H137" s="628"/>
      <c r="I137" s="628"/>
      <c r="J137" s="628"/>
      <c r="K137" s="628"/>
      <c r="L137" s="628"/>
      <c r="M137" s="628"/>
      <c r="N137" s="628"/>
      <c r="O137" s="628"/>
      <c r="P137" s="628"/>
      <c r="Q137" s="628"/>
      <c r="R137" s="628"/>
      <c r="S137" s="628"/>
    </row>
    <row r="138" spans="7:19" x14ac:dyDescent="0.2">
      <c r="G138" s="628"/>
      <c r="H138" s="628"/>
      <c r="I138" s="628"/>
      <c r="J138" s="628"/>
      <c r="K138" s="628"/>
      <c r="L138" s="628"/>
      <c r="M138" s="628"/>
      <c r="N138" s="628"/>
      <c r="O138" s="628"/>
      <c r="P138" s="628"/>
      <c r="Q138" s="628"/>
      <c r="R138" s="628"/>
      <c r="S138" s="628"/>
    </row>
    <row r="139" spans="7:19" x14ac:dyDescent="0.2">
      <c r="G139" s="628"/>
      <c r="H139" s="628"/>
      <c r="I139" s="628"/>
      <c r="J139" s="628"/>
      <c r="K139" s="628"/>
      <c r="L139" s="628"/>
      <c r="M139" s="628"/>
      <c r="N139" s="628"/>
      <c r="O139" s="628"/>
      <c r="P139" s="628"/>
      <c r="Q139" s="628"/>
      <c r="R139" s="628"/>
      <c r="S139" s="628"/>
    </row>
    <row r="140" spans="7:19" x14ac:dyDescent="0.2">
      <c r="G140" s="628"/>
      <c r="H140" s="628"/>
      <c r="I140" s="628"/>
      <c r="J140" s="628"/>
      <c r="K140" s="628"/>
      <c r="L140" s="628"/>
      <c r="M140" s="628"/>
      <c r="N140" s="628"/>
      <c r="O140" s="628"/>
      <c r="P140" s="628"/>
      <c r="Q140" s="628"/>
      <c r="R140" s="628"/>
      <c r="S140" s="628"/>
    </row>
    <row r="141" spans="7:19" x14ac:dyDescent="0.2">
      <c r="S141" s="628"/>
    </row>
    <row r="142" spans="7:19" x14ac:dyDescent="0.2">
      <c r="S142" s="628"/>
    </row>
    <row r="143" spans="7:19" x14ac:dyDescent="0.2">
      <c r="S143" s="628"/>
    </row>
    <row r="144" spans="7:19" x14ac:dyDescent="0.2">
      <c r="S144" s="628"/>
    </row>
    <row r="145" spans="19:19" x14ac:dyDescent="0.2">
      <c r="S145" s="628"/>
    </row>
    <row r="146" spans="19:19" x14ac:dyDescent="0.2">
      <c r="S146" s="628"/>
    </row>
    <row r="147" spans="19:19" x14ac:dyDescent="0.2">
      <c r="S147" s="628"/>
    </row>
    <row r="148" spans="19:19" x14ac:dyDescent="0.2">
      <c r="S148" s="628"/>
    </row>
    <row r="149" spans="19:19" x14ac:dyDescent="0.2">
      <c r="S149" s="628"/>
    </row>
    <row r="150" spans="19:19" x14ac:dyDescent="0.2">
      <c r="S150" s="628"/>
    </row>
    <row r="151" spans="19:19" x14ac:dyDescent="0.2">
      <c r="S151" s="628"/>
    </row>
    <row r="152" spans="19:19" x14ac:dyDescent="0.2">
      <c r="S152" s="628"/>
    </row>
    <row r="153" spans="19:19" x14ac:dyDescent="0.2">
      <c r="S153" s="628"/>
    </row>
    <row r="154" spans="19:19" x14ac:dyDescent="0.2">
      <c r="S154" s="628"/>
    </row>
    <row r="155" spans="19:19" x14ac:dyDescent="0.2">
      <c r="S155" s="628"/>
    </row>
    <row r="156" spans="19:19" x14ac:dyDescent="0.2">
      <c r="S156" s="628"/>
    </row>
    <row r="157" spans="19:19" x14ac:dyDescent="0.2">
      <c r="S157" s="628"/>
    </row>
    <row r="158" spans="19:19" x14ac:dyDescent="0.2">
      <c r="S158" s="628"/>
    </row>
    <row r="159" spans="19:19" x14ac:dyDescent="0.2">
      <c r="S159" s="628"/>
    </row>
    <row r="160" spans="19:19" x14ac:dyDescent="0.2">
      <c r="S160" s="628"/>
    </row>
    <row r="161" spans="19:19" x14ac:dyDescent="0.2">
      <c r="S161" s="628"/>
    </row>
    <row r="162" spans="19:19" x14ac:dyDescent="0.2">
      <c r="S162" s="628"/>
    </row>
    <row r="163" spans="19:19" x14ac:dyDescent="0.2">
      <c r="S163" s="628"/>
    </row>
    <row r="164" spans="19:19" x14ac:dyDescent="0.2">
      <c r="S164" s="628"/>
    </row>
    <row r="165" spans="19:19" x14ac:dyDescent="0.2">
      <c r="S165" s="628"/>
    </row>
    <row r="166" spans="19:19" x14ac:dyDescent="0.2">
      <c r="S166" s="628"/>
    </row>
    <row r="167" spans="19:19" x14ac:dyDescent="0.2">
      <c r="S167" s="628"/>
    </row>
    <row r="168" spans="19:19" x14ac:dyDescent="0.2">
      <c r="S168" s="628"/>
    </row>
    <row r="169" spans="19:19" x14ac:dyDescent="0.2">
      <c r="S169" s="628"/>
    </row>
    <row r="170" spans="19:19" x14ac:dyDescent="0.2">
      <c r="S170" s="628"/>
    </row>
    <row r="171" spans="19:19" x14ac:dyDescent="0.2">
      <c r="S171" s="628"/>
    </row>
    <row r="172" spans="19:19" x14ac:dyDescent="0.2">
      <c r="S172" s="628"/>
    </row>
    <row r="173" spans="19:19" x14ac:dyDescent="0.2">
      <c r="S173" s="628"/>
    </row>
    <row r="174" spans="19:19" x14ac:dyDescent="0.2">
      <c r="S174" s="628"/>
    </row>
    <row r="175" spans="19:19" x14ac:dyDescent="0.2">
      <c r="S175" s="628"/>
    </row>
    <row r="176" spans="19:19" x14ac:dyDescent="0.2">
      <c r="S176" s="628"/>
    </row>
    <row r="177" spans="19:19" x14ac:dyDescent="0.2">
      <c r="S177" s="628"/>
    </row>
    <row r="178" spans="19:19" x14ac:dyDescent="0.2">
      <c r="S178" s="628"/>
    </row>
    <row r="179" spans="19:19" x14ac:dyDescent="0.2">
      <c r="S179" s="628"/>
    </row>
    <row r="180" spans="19:19" x14ac:dyDescent="0.2">
      <c r="S180" s="628"/>
    </row>
    <row r="181" spans="19:19" x14ac:dyDescent="0.2">
      <c r="S181" s="628"/>
    </row>
    <row r="182" spans="19:19" x14ac:dyDescent="0.2">
      <c r="S182" s="628"/>
    </row>
    <row r="183" spans="19:19" x14ac:dyDescent="0.2">
      <c r="S183" s="628"/>
    </row>
    <row r="184" spans="19:19" x14ac:dyDescent="0.2">
      <c r="S184" s="628"/>
    </row>
    <row r="185" spans="19:19" x14ac:dyDescent="0.2">
      <c r="S185" s="628"/>
    </row>
    <row r="186" spans="19:19" x14ac:dyDescent="0.2">
      <c r="S186" s="628"/>
    </row>
    <row r="187" spans="19:19" x14ac:dyDescent="0.2">
      <c r="S187" s="628"/>
    </row>
    <row r="188" spans="19:19" x14ac:dyDescent="0.2">
      <c r="S188" s="628"/>
    </row>
    <row r="189" spans="19:19" x14ac:dyDescent="0.2">
      <c r="S189" s="628"/>
    </row>
    <row r="190" spans="19:19" x14ac:dyDescent="0.2">
      <c r="S190" s="628"/>
    </row>
    <row r="191" spans="19:19" x14ac:dyDescent="0.2">
      <c r="S191" s="628"/>
    </row>
    <row r="192" spans="19:19" x14ac:dyDescent="0.2">
      <c r="S192" s="628"/>
    </row>
    <row r="193" spans="19:19" x14ac:dyDescent="0.2">
      <c r="S193" s="628"/>
    </row>
    <row r="194" spans="19:19" x14ac:dyDescent="0.2">
      <c r="S194" s="628"/>
    </row>
    <row r="195" spans="19:19" x14ac:dyDescent="0.2">
      <c r="S195" s="628"/>
    </row>
    <row r="196" spans="19:19" x14ac:dyDescent="0.2">
      <c r="S196" s="628"/>
    </row>
    <row r="197" spans="19:19" x14ac:dyDescent="0.2">
      <c r="S197" s="628"/>
    </row>
    <row r="198" spans="19:19" x14ac:dyDescent="0.2">
      <c r="S198" s="628"/>
    </row>
    <row r="199" spans="19:19" x14ac:dyDescent="0.2">
      <c r="S199" s="628"/>
    </row>
    <row r="200" spans="19:19" x14ac:dyDescent="0.2">
      <c r="S200" s="628"/>
    </row>
    <row r="201" spans="19:19" x14ac:dyDescent="0.2">
      <c r="S201" s="628"/>
    </row>
    <row r="202" spans="19:19" x14ac:dyDescent="0.2">
      <c r="S202" s="628"/>
    </row>
    <row r="203" spans="19:19" x14ac:dyDescent="0.2">
      <c r="S203" s="628"/>
    </row>
    <row r="204" spans="19:19" x14ac:dyDescent="0.2">
      <c r="S204" s="628"/>
    </row>
    <row r="205" spans="19:19" x14ac:dyDescent="0.2">
      <c r="S205" s="628"/>
    </row>
    <row r="206" spans="19:19" x14ac:dyDescent="0.2">
      <c r="S206" s="628"/>
    </row>
    <row r="207" spans="19:19" x14ac:dyDescent="0.2">
      <c r="S207" s="628"/>
    </row>
    <row r="208" spans="19:19" x14ac:dyDescent="0.2">
      <c r="S208" s="628"/>
    </row>
    <row r="209" spans="19:19" x14ac:dyDescent="0.2">
      <c r="S209" s="628"/>
    </row>
    <row r="210" spans="19:19" x14ac:dyDescent="0.2">
      <c r="S210" s="628"/>
    </row>
    <row r="211" spans="19:19" x14ac:dyDescent="0.2">
      <c r="S211" s="628"/>
    </row>
    <row r="212" spans="19:19" x14ac:dyDescent="0.2">
      <c r="S212" s="628"/>
    </row>
    <row r="213" spans="19:19" x14ac:dyDescent="0.2">
      <c r="S213" s="628"/>
    </row>
    <row r="214" spans="19:19" x14ac:dyDescent="0.2">
      <c r="S214" s="628"/>
    </row>
    <row r="215" spans="19:19" x14ac:dyDescent="0.2">
      <c r="S215" s="628"/>
    </row>
    <row r="216" spans="19:19" x14ac:dyDescent="0.2">
      <c r="S216" s="628"/>
    </row>
    <row r="217" spans="19:19" x14ac:dyDescent="0.2">
      <c r="S217" s="628"/>
    </row>
  </sheetData>
  <mergeCells count="2">
    <mergeCell ref="F2:S2"/>
    <mergeCell ref="T2:AG2"/>
  </mergeCells>
  <pageMargins left="0.7" right="0.7" top="0.75" bottom="0.75" header="0.3" footer="0.3"/>
  <pageSetup paperSize="9" scale="64"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782A7-A62F-4C23-A3EA-F73F77EA289D}">
  <dimension ref="A1:BD1168"/>
  <sheetViews>
    <sheetView view="pageBreakPreview" zoomScaleNormal="100" zoomScaleSheetLayoutView="100" workbookViewId="0">
      <selection activeCell="V17" sqref="V17"/>
    </sheetView>
  </sheetViews>
  <sheetFormatPr defaultColWidth="9.140625" defaultRowHeight="12.75" x14ac:dyDescent="0.2"/>
  <cols>
    <col min="1" max="4" width="0.85546875" style="1" customWidth="1"/>
    <col min="5" max="5" width="50.7109375" style="1" customWidth="1"/>
    <col min="6" max="6" width="3.42578125" style="1" customWidth="1"/>
    <col min="7" max="7" width="3.5703125" style="1" customWidth="1"/>
    <col min="8" max="8" width="15.28515625" style="1" customWidth="1"/>
    <col min="9" max="10" width="15" style="1" hidden="1" customWidth="1"/>
    <col min="11" max="11" width="13.5703125" style="1" hidden="1" customWidth="1"/>
    <col min="12" max="15" width="13.7109375" style="1" hidden="1" customWidth="1"/>
    <col min="16" max="16" width="15.42578125" style="1" hidden="1" customWidth="1"/>
    <col min="17" max="17" width="15.140625" style="1" hidden="1" customWidth="1"/>
    <col min="18" max="18" width="16.42578125" style="1" customWidth="1"/>
    <col min="19" max="20" width="13.7109375" style="1" hidden="1" customWidth="1"/>
    <col min="21" max="21" width="15.140625" style="1" customWidth="1"/>
    <col min="22" max="22" width="15.28515625" style="189" customWidth="1"/>
    <col min="23" max="24" width="13.7109375" style="1" hidden="1" customWidth="1"/>
    <col min="25" max="25" width="15.7109375" style="1" hidden="1" customWidth="1"/>
    <col min="26" max="30" width="13.7109375" style="1" hidden="1" customWidth="1"/>
    <col min="31" max="31" width="14.85546875" style="1" hidden="1" customWidth="1"/>
    <col min="32" max="32" width="15.42578125" style="1" customWidth="1"/>
    <col min="33" max="34" width="10.7109375" style="1" hidden="1" customWidth="1"/>
    <col min="35" max="35" width="16" style="1" customWidth="1"/>
    <col min="36" max="36" width="2.28515625" style="1" customWidth="1"/>
    <col min="37" max="39" width="14" style="1" hidden="1" customWidth="1"/>
    <col min="40" max="40" width="13.42578125" style="1" hidden="1" customWidth="1"/>
    <col min="41" max="41" width="11.42578125" style="1" hidden="1" customWidth="1"/>
    <col min="42" max="42" width="9.7109375" style="1" hidden="1" customWidth="1"/>
    <col min="43" max="44" width="12.7109375" style="1" hidden="1" customWidth="1"/>
    <col min="45" max="45" width="14.5703125" style="1" hidden="1" customWidth="1"/>
    <col min="46" max="54" width="6.7109375" style="1" hidden="1" customWidth="1"/>
    <col min="55" max="55" width="9.5703125" style="1" hidden="1" customWidth="1"/>
    <col min="56" max="56" width="12.5703125" style="1" bestFit="1" customWidth="1"/>
    <col min="57" max="16384" width="9.140625" style="1"/>
  </cols>
  <sheetData>
    <row r="1" spans="1:50" ht="12.75" customHeight="1" x14ac:dyDescent="0.2">
      <c r="V1" s="1"/>
    </row>
    <row r="2" spans="1:50" ht="12.75" customHeight="1" x14ac:dyDescent="0.2">
      <c r="A2" s="2" t="s">
        <v>0</v>
      </c>
      <c r="B2" s="2"/>
      <c r="C2" s="2"/>
      <c r="D2" s="3"/>
      <c r="F2" s="2"/>
      <c r="G2" s="3"/>
      <c r="I2" s="3"/>
      <c r="K2" s="3"/>
      <c r="M2" s="3"/>
      <c r="V2" s="3"/>
    </row>
    <row r="3" spans="1:50" ht="12.75" customHeight="1" x14ac:dyDescent="0.2">
      <c r="A3" s="4"/>
      <c r="B3" s="5"/>
      <c r="C3" s="5"/>
      <c r="D3" s="5"/>
      <c r="E3" s="5"/>
      <c r="F3" s="5"/>
      <c r="G3" s="6"/>
      <c r="H3" s="7" t="s">
        <v>1</v>
      </c>
      <c r="I3" s="8"/>
      <c r="J3" s="8"/>
      <c r="K3" s="8"/>
      <c r="L3" s="8"/>
      <c r="M3" s="8"/>
      <c r="N3" s="8"/>
      <c r="O3" s="8"/>
      <c r="P3" s="8"/>
      <c r="Q3" s="8"/>
      <c r="R3" s="8"/>
      <c r="S3" s="8"/>
      <c r="T3" s="8"/>
      <c r="U3" s="8"/>
      <c r="V3" s="9" t="s">
        <v>2</v>
      </c>
      <c r="W3" s="8"/>
      <c r="X3" s="8"/>
      <c r="Y3" s="8"/>
      <c r="Z3" s="8"/>
      <c r="AA3" s="8"/>
      <c r="AB3" s="8"/>
      <c r="AC3" s="8"/>
      <c r="AD3" s="8"/>
      <c r="AE3" s="8"/>
      <c r="AF3" s="8"/>
      <c r="AG3" s="8"/>
      <c r="AH3" s="8"/>
      <c r="AI3" s="10"/>
      <c r="AJ3" s="11"/>
      <c r="AK3" s="12"/>
      <c r="AL3" s="12"/>
      <c r="AM3" s="12"/>
      <c r="AN3" s="13"/>
      <c r="AX3" s="13"/>
    </row>
    <row r="4" spans="1:50" ht="12.75" customHeight="1" x14ac:dyDescent="0.2">
      <c r="A4" s="13"/>
      <c r="C4" s="14"/>
      <c r="E4" s="14"/>
      <c r="F4" s="14"/>
      <c r="G4" s="15"/>
      <c r="H4" s="16" t="s">
        <v>3</v>
      </c>
      <c r="I4" s="17" t="s">
        <v>4</v>
      </c>
      <c r="J4" s="17" t="s">
        <v>5</v>
      </c>
      <c r="K4" s="17" t="s">
        <v>6</v>
      </c>
      <c r="L4" s="17" t="s">
        <v>7</v>
      </c>
      <c r="M4" s="17" t="s">
        <v>8</v>
      </c>
      <c r="N4" s="17" t="s">
        <v>9</v>
      </c>
      <c r="O4" s="17" t="s">
        <v>10</v>
      </c>
      <c r="P4" s="17" t="s">
        <v>11</v>
      </c>
      <c r="Q4" s="17" t="s">
        <v>12</v>
      </c>
      <c r="R4" s="17" t="s">
        <v>13</v>
      </c>
      <c r="S4" s="17" t="s">
        <v>14</v>
      </c>
      <c r="T4" s="17" t="s">
        <v>15</v>
      </c>
      <c r="U4" s="18" t="s">
        <v>16</v>
      </c>
      <c r="V4" s="19" t="s">
        <v>17</v>
      </c>
      <c r="W4" s="20" t="s">
        <v>4</v>
      </c>
      <c r="X4" s="21" t="s">
        <v>5</v>
      </c>
      <c r="Y4" s="21" t="s">
        <v>18</v>
      </c>
      <c r="Z4" s="21" t="s">
        <v>7</v>
      </c>
      <c r="AA4" s="21" t="s">
        <v>8</v>
      </c>
      <c r="AB4" s="21" t="s">
        <v>9</v>
      </c>
      <c r="AC4" s="21" t="s">
        <v>10</v>
      </c>
      <c r="AD4" s="21" t="s">
        <v>11</v>
      </c>
      <c r="AE4" s="21" t="s">
        <v>12</v>
      </c>
      <c r="AF4" s="21" t="s">
        <v>13</v>
      </c>
      <c r="AG4" s="21" t="s">
        <v>14</v>
      </c>
      <c r="AH4" s="21" t="s">
        <v>15</v>
      </c>
      <c r="AI4" s="18" t="s">
        <v>16</v>
      </c>
      <c r="AJ4" s="22"/>
      <c r="AK4" s="23"/>
      <c r="AL4" s="23"/>
      <c r="AM4" s="23"/>
      <c r="AN4" s="13"/>
    </row>
    <row r="5" spans="1:50" ht="12.75" customHeight="1" x14ac:dyDescent="0.2">
      <c r="A5" s="24" t="s">
        <v>19</v>
      </c>
      <c r="B5" s="25"/>
      <c r="C5" s="25"/>
      <c r="D5" s="25"/>
      <c r="E5" s="25"/>
      <c r="F5" s="25"/>
      <c r="G5" s="26"/>
      <c r="H5" s="27" t="s">
        <v>20</v>
      </c>
      <c r="I5" s="28"/>
      <c r="J5" s="29"/>
      <c r="K5" s="30"/>
      <c r="L5" s="30"/>
      <c r="M5" s="30"/>
      <c r="N5" s="30"/>
      <c r="O5" s="30"/>
      <c r="P5" s="30"/>
      <c r="Q5" s="30"/>
      <c r="R5" s="30"/>
      <c r="S5" s="30"/>
      <c r="T5" s="30"/>
      <c r="U5" s="31"/>
      <c r="V5" s="32" t="s">
        <v>21</v>
      </c>
      <c r="W5" s="33"/>
      <c r="X5" s="34"/>
      <c r="Y5" s="34"/>
      <c r="Z5" s="34"/>
      <c r="AA5" s="34"/>
      <c r="AB5" s="34"/>
      <c r="AC5" s="34"/>
      <c r="AD5" s="34"/>
      <c r="AE5" s="34"/>
      <c r="AF5" s="34"/>
      <c r="AG5" s="34"/>
      <c r="AH5" s="34"/>
      <c r="AI5" s="35"/>
      <c r="AJ5" s="22"/>
      <c r="AK5" s="23"/>
      <c r="AL5" s="23"/>
      <c r="AM5" s="23"/>
      <c r="AN5" s="13"/>
    </row>
    <row r="6" spans="1:50" s="38" customFormat="1" ht="12.75" customHeight="1" x14ac:dyDescent="0.2">
      <c r="A6" s="36"/>
      <c r="B6" s="14" t="s">
        <v>22</v>
      </c>
      <c r="C6" s="37"/>
      <c r="E6" s="37"/>
      <c r="F6" s="39"/>
      <c r="G6" s="40"/>
      <c r="H6" s="17">
        <f>+H7+H14+H15+H16+H17+H19+H20</f>
        <v>640300091.14199996</v>
      </c>
      <c r="I6" s="17">
        <f>+I7+I14+I15+I16+I17+I19+I20</f>
        <v>44502247.688879997</v>
      </c>
      <c r="J6" s="41">
        <f t="shared" ref="J6:T6" si="0">+J7+J14+J15+J16+J17+J19+J20</f>
        <v>40267541.448380001</v>
      </c>
      <c r="K6" s="42">
        <f t="shared" si="0"/>
        <v>75893153.321600005</v>
      </c>
      <c r="L6" s="42">
        <f t="shared" si="0"/>
        <v>38199166.259870008</v>
      </c>
      <c r="M6" s="42">
        <f t="shared" si="0"/>
        <v>54625199.190710008</v>
      </c>
      <c r="N6" s="42">
        <f t="shared" si="0"/>
        <v>54199269.159560002</v>
      </c>
      <c r="O6" s="42">
        <f t="shared" si="0"/>
        <v>41509113.366560005</v>
      </c>
      <c r="P6" s="42">
        <f t="shared" si="0"/>
        <v>42477963.018860005</v>
      </c>
      <c r="Q6" s="42">
        <f>+Q7+Q14+Q15+Q16+Q17+Q19+Q20</f>
        <v>113137906.21742998</v>
      </c>
      <c r="R6" s="42">
        <f t="shared" si="0"/>
        <v>48426034.441939987</v>
      </c>
      <c r="S6" s="42">
        <f t="shared" si="0"/>
        <v>0</v>
      </c>
      <c r="T6" s="42">
        <f t="shared" si="0"/>
        <v>0</v>
      </c>
      <c r="U6" s="18">
        <f>+U7+U14+U15+U16+U17+U19+U20</f>
        <v>553237594.11379004</v>
      </c>
      <c r="V6" s="41">
        <f t="shared" ref="V6:AH6" si="1">+V7+V14+V15+V16+V17+V19+V20</f>
        <v>772684806.23060012</v>
      </c>
      <c r="W6" s="42">
        <f t="shared" si="1"/>
        <v>47553752.77249001</v>
      </c>
      <c r="X6" s="21">
        <f t="shared" si="1"/>
        <v>47282401.413939998</v>
      </c>
      <c r="Y6" s="21">
        <f t="shared" si="1"/>
        <v>96420082.301810011</v>
      </c>
      <c r="Z6" s="42">
        <f t="shared" si="1"/>
        <v>38395560.228289992</v>
      </c>
      <c r="AA6" s="21">
        <f t="shared" si="1"/>
        <v>70448927.873320013</v>
      </c>
      <c r="AB6" s="21">
        <f t="shared" si="1"/>
        <v>65436322.300100014</v>
      </c>
      <c r="AC6" s="21">
        <f>+AC7+AC14+AC15+AC16+AC17+AC19+AC20+1</f>
        <v>46743452.980879992</v>
      </c>
      <c r="AD6" s="21">
        <f t="shared" si="1"/>
        <v>44884045.116439998</v>
      </c>
      <c r="AE6" s="21">
        <f>+AE7+AE14+AE15+AE16+AE17+AE19+AE20</f>
        <v>103738985.99437</v>
      </c>
      <c r="AF6" s="21">
        <f>+AF7+AF14+AF15+AF16+AF17+AF19+AF20</f>
        <v>48109044.612840027</v>
      </c>
      <c r="AG6" s="21">
        <f>+AG7+AG14+AG15+AG16+AG17+AG19+AG20</f>
        <v>92425907.679609984</v>
      </c>
      <c r="AH6" s="21">
        <f t="shared" si="1"/>
        <v>71242093.735759988</v>
      </c>
      <c r="AI6" s="18">
        <f>+AI7+AI14+AI15+AI16+AI17+AI19+AI20</f>
        <v>609012574.59448004</v>
      </c>
      <c r="AJ6" s="22"/>
      <c r="AK6" s="23"/>
      <c r="AL6" s="23"/>
      <c r="AM6" s="23"/>
      <c r="AN6" s="43">
        <f>H6-U6</f>
        <v>87062497.028209925</v>
      </c>
    </row>
    <row r="7" spans="1:50" ht="12.75" customHeight="1" x14ac:dyDescent="0.2">
      <c r="A7" s="13"/>
      <c r="C7" s="1" t="s">
        <v>23</v>
      </c>
      <c r="F7" s="14"/>
      <c r="G7" s="15"/>
      <c r="H7" s="44">
        <f>(+H8+H9+H10+H11+H12)</f>
        <v>454156238.69099998</v>
      </c>
      <c r="I7" s="44">
        <f>(+I8+I9+I10+I11+I12)</f>
        <v>41615902.929719999</v>
      </c>
      <c r="J7" s="44">
        <f t="shared" ref="J7:T7" si="2">(+J8+J9+J10+J11+J12)</f>
        <v>36192555.250660002</v>
      </c>
      <c r="K7" s="45">
        <f t="shared" si="2"/>
        <v>33797792.299890004</v>
      </c>
      <c r="L7" s="45">
        <f t="shared" si="2"/>
        <v>34826342.628380008</v>
      </c>
      <c r="M7" s="45">
        <f t="shared" si="2"/>
        <v>36297897.417770006</v>
      </c>
      <c r="N7" s="45">
        <f t="shared" si="2"/>
        <v>35952831.695350006</v>
      </c>
      <c r="O7" s="45">
        <f t="shared" si="2"/>
        <v>37860117.452960007</v>
      </c>
      <c r="P7" s="45">
        <f t="shared" si="2"/>
        <v>38487473.443060003</v>
      </c>
      <c r="Q7" s="45">
        <f t="shared" si="2"/>
        <v>45457888.316809997</v>
      </c>
      <c r="R7" s="45">
        <f t="shared" si="2"/>
        <v>44037920.551440001</v>
      </c>
      <c r="S7" s="45">
        <f t="shared" si="2"/>
        <v>0</v>
      </c>
      <c r="T7" s="45">
        <f t="shared" si="2"/>
        <v>0</v>
      </c>
      <c r="U7" s="46">
        <f>(+U8+U9+U10+U11+U12)</f>
        <v>384526721.98604006</v>
      </c>
      <c r="V7" s="44">
        <f t="shared" ref="V7" si="3">(+V8+V9+V10+V11+V12)</f>
        <v>527632509.09618008</v>
      </c>
      <c r="W7" s="47">
        <f>(+W8+W9+W10+W11+W12)</f>
        <v>43776459.651640005</v>
      </c>
      <c r="X7" s="45">
        <f>(+X8+X9+X10+X11+X12)</f>
        <v>41154239.428300001</v>
      </c>
      <c r="Y7" s="45">
        <f>(+Y8+Y9+Y10+Y11+Y12)</f>
        <v>40754501.706720002</v>
      </c>
      <c r="Z7" s="45">
        <f t="shared" ref="Z7:AH7" si="4">(+Z8+Z9+Z10+Z11+Z12)</f>
        <v>35484723.235689998</v>
      </c>
      <c r="AA7" s="45">
        <f t="shared" si="4"/>
        <v>46609599.916050002</v>
      </c>
      <c r="AB7" s="45">
        <f t="shared" si="4"/>
        <v>40730037.182510003</v>
      </c>
      <c r="AC7" s="45">
        <f t="shared" si="4"/>
        <v>40946946.799479991</v>
      </c>
      <c r="AD7" s="45">
        <f t="shared" si="4"/>
        <v>40153656.112360008</v>
      </c>
      <c r="AE7" s="45">
        <f>(+AE8+AE9+AE10+AE11+AE12)</f>
        <v>44888641.336540006</v>
      </c>
      <c r="AF7" s="45">
        <f>(+AF8+AF9+AF10+AF11+AF12)</f>
        <v>44810442.238950029</v>
      </c>
      <c r="AG7" s="45">
        <f>(+AG8+AG9+AG10+AG11+AG12)</f>
        <v>60385934.534630008</v>
      </c>
      <c r="AH7" s="45">
        <f t="shared" si="4"/>
        <v>47927832.982779995</v>
      </c>
      <c r="AI7" s="46">
        <f>+AI8+AI9+AI10+AI11+AI12</f>
        <v>419309247.60824007</v>
      </c>
      <c r="AJ7" s="48"/>
      <c r="AK7" s="49"/>
      <c r="AL7" s="49"/>
      <c r="AM7" s="49"/>
      <c r="AN7" s="50">
        <f>H7-U7</f>
        <v>69629516.704959929</v>
      </c>
      <c r="AO7" s="1">
        <f>+V7-AI7</f>
        <v>108323261.48794001</v>
      </c>
      <c r="AP7" s="1">
        <v>170898.13723003864</v>
      </c>
    </row>
    <row r="8" spans="1:50" ht="12.75" customHeight="1" x14ac:dyDescent="0.2">
      <c r="A8" s="13"/>
      <c r="B8" s="14"/>
      <c r="E8" s="51" t="s">
        <v>24</v>
      </c>
      <c r="F8" s="51"/>
      <c r="G8" s="52"/>
      <c r="H8" s="45">
        <v>37710000.431000002</v>
      </c>
      <c r="I8" s="44">
        <v>532955.74387999997</v>
      </c>
      <c r="J8" s="49">
        <f>629316.68601-532956+534747</f>
        <v>631107.68600999995</v>
      </c>
      <c r="K8" s="47">
        <f>720104.87132-1164063+1166249</f>
        <v>722290.87132000003</v>
      </c>
      <c r="L8" s="47">
        <f>764881.78328-1886354+1890214</f>
        <v>768741.78328000009</v>
      </c>
      <c r="M8" s="47">
        <f>8709341.33208-2655096+2658352</f>
        <v>8712597.3320799991</v>
      </c>
      <c r="N8" s="47">
        <f>2109667.74589-11367693+11366540</f>
        <v>2108514.745889999</v>
      </c>
      <c r="O8" s="47">
        <f>1459243.92581-13476208+13488175</f>
        <v>1471210.9258099999</v>
      </c>
      <c r="P8" s="47">
        <f>1761936.68629-14947419+14953936</f>
        <v>1768453.6862899996</v>
      </c>
      <c r="Q8" s="47">
        <f>1442146.83107-16715873+16720004</f>
        <v>1446277.8310700003</v>
      </c>
      <c r="R8" s="47">
        <f>1541675.40638-18162151+18171172</f>
        <v>1550696.4063799996</v>
      </c>
      <c r="S8" s="47">
        <v>0</v>
      </c>
      <c r="T8" s="47">
        <v>0</v>
      </c>
      <c r="U8" s="46">
        <f>SUM(I8:T8)</f>
        <v>19712847.012009993</v>
      </c>
      <c r="V8" s="44">
        <v>45507465.838790014</v>
      </c>
      <c r="W8" s="47">
        <v>1045401.3255700001</v>
      </c>
      <c r="X8" s="45">
        <f>1137548.45739-1045401+1047053</f>
        <v>1139200.4573900001</v>
      </c>
      <c r="Y8" s="47">
        <f>874787.9188-2184601+2187354</f>
        <v>877540.9188000001</v>
      </c>
      <c r="Z8" s="47">
        <f>777885.04315-3062143+3066086</f>
        <v>781828.04315000027</v>
      </c>
      <c r="AA8" s="47">
        <f>10743657.94912-3843971+3848401</f>
        <v>10748087.94912</v>
      </c>
      <c r="AB8" s="45">
        <f>2224163.80386-14592059+14617120</f>
        <v>2249224.8038599994</v>
      </c>
      <c r="AC8" s="45">
        <f>1402260.17375-16841283+16847028-2</f>
        <v>1408003.1737500001</v>
      </c>
      <c r="AD8" s="45">
        <f>1553124.62623-289456508+289463308</f>
        <v>1559924.6262300014</v>
      </c>
      <c r="AE8" s="45">
        <f>1391700.5638-19809211+19813860</f>
        <v>1396349.5637999997</v>
      </c>
      <c r="AF8" s="45">
        <f>1809076.33346-21205561+21210499</f>
        <v>1814014.3334599994</v>
      </c>
      <c r="AG8" s="45">
        <f>20207521.13668-23019575+23029478-1</f>
        <v>20217423.13668</v>
      </c>
      <c r="AH8" s="45">
        <v>2261855.7338399999</v>
      </c>
      <c r="AI8" s="46">
        <f>SUM(W8:AF8)</f>
        <v>23019575.195130002</v>
      </c>
      <c r="AJ8" s="48"/>
      <c r="AK8" s="49"/>
      <c r="AL8" s="49"/>
      <c r="AM8" s="49"/>
      <c r="AN8" s="50">
        <f t="shared" ref="AN8:AN20" si="5">H8-U8</f>
        <v>17997153.418990009</v>
      </c>
      <c r="AO8" s="1">
        <f t="shared" ref="AO8:AO72" si="6">+V8-AI8</f>
        <v>22487890.643660013</v>
      </c>
      <c r="AP8" s="1">
        <v>170760.4681699872</v>
      </c>
    </row>
    <row r="9" spans="1:50" ht="12.75" customHeight="1" x14ac:dyDescent="0.2">
      <c r="A9" s="13"/>
      <c r="B9" s="14"/>
      <c r="E9" s="1" t="s">
        <v>25</v>
      </c>
      <c r="F9" s="14"/>
      <c r="G9" s="44"/>
      <c r="H9" s="45">
        <v>453881752.30800003</v>
      </c>
      <c r="I9" s="44">
        <v>41692107.038860001</v>
      </c>
      <c r="J9" s="49">
        <f>37255109.59198-41692107+41692107</f>
        <v>37255109.591980003</v>
      </c>
      <c r="K9" s="47">
        <f>34481178.62707-78947217+78947217</f>
        <v>34481178.627070002</v>
      </c>
      <c r="L9" s="47">
        <f>36096742.5331-113428395+113428395</f>
        <v>36096742.533100009</v>
      </c>
      <c r="M9" s="47">
        <f>37366127.87103-149525138+149525138</f>
        <v>37366127.871030003</v>
      </c>
      <c r="N9" s="47">
        <f>39332802.73587-186891266+186891266</f>
        <v>39332802.735870004</v>
      </c>
      <c r="O9" s="47">
        <f>40894525.01229-226224068+226224068</f>
        <v>40894525.012290001</v>
      </c>
      <c r="P9" s="47">
        <f>40881736.10405-267118593+267118593</f>
        <v>40881736.10405001</v>
      </c>
      <c r="Q9" s="47">
        <f>47007550.11528-308000330+308000330</f>
        <v>47007550.115280002</v>
      </c>
      <c r="R9" s="47">
        <f>44996207.89853-355007880+355007880</f>
        <v>44996207.898530006</v>
      </c>
      <c r="S9" s="47">
        <v>0</v>
      </c>
      <c r="T9" s="47">
        <v>0</v>
      </c>
      <c r="U9" s="46">
        <f>SUM(I9:T9)</f>
        <v>400004087.52806008</v>
      </c>
      <c r="V9" s="44">
        <v>518243198.16349</v>
      </c>
      <c r="W9" s="47">
        <v>44296731.578749999</v>
      </c>
      <c r="X9" s="45">
        <f>40997229.68907-44296732+44296732</f>
        <v>40997229.689070001</v>
      </c>
      <c r="Y9" s="47">
        <f>41027937.84181-85293961+85293961</f>
        <v>41027937.841810003</v>
      </c>
      <c r="Z9" s="47">
        <f>41101466.76307-126321899+126321899</f>
        <v>41101466.763070002</v>
      </c>
      <c r="AA9" s="47">
        <f>41635415.68559-167423366+167423365</f>
        <v>41635414.685589999</v>
      </c>
      <c r="AB9" s="45">
        <f>42402182.92276-209058781+209058782</f>
        <v>42402183.92276001</v>
      </c>
      <c r="AC9" s="45">
        <f>43698245.36275-251460964+251460966-2</f>
        <v>43698245.362749994</v>
      </c>
      <c r="AD9" s="45">
        <f>42086554.0146-295159210+295159211+1</f>
        <v>42086556.014600009</v>
      </c>
      <c r="AE9" s="45">
        <f>46004117.27296-337245766+337245766</f>
        <v>46004117.272960007</v>
      </c>
      <c r="AF9" s="45">
        <f>45298877.20745-383249883+383249882</f>
        <v>45298876.207450032</v>
      </c>
      <c r="AG9" s="45">
        <f>42198090.29802-428548759+428548759-1</f>
        <v>42198089.298020005</v>
      </c>
      <c r="AH9" s="45">
        <v>47495467.329269998</v>
      </c>
      <c r="AI9" s="46">
        <f t="shared" ref="AI9:AI22" si="7">SUM(W9:AF9)</f>
        <v>428548759.33881003</v>
      </c>
      <c r="AJ9" s="48"/>
      <c r="AK9" s="49"/>
      <c r="AL9" s="49"/>
      <c r="AM9" s="49"/>
      <c r="AN9" s="50">
        <f t="shared" si="5"/>
        <v>53877664.77993995</v>
      </c>
      <c r="AO9" s="1">
        <f t="shared" si="6"/>
        <v>89694438.824679971</v>
      </c>
      <c r="AP9" s="1">
        <v>-0.62007993459701538</v>
      </c>
    </row>
    <row r="10" spans="1:50" ht="12.75" customHeight="1" x14ac:dyDescent="0.25">
      <c r="A10" s="13"/>
      <c r="B10" s="14"/>
      <c r="E10" s="53" t="s">
        <v>26</v>
      </c>
      <c r="F10" s="54"/>
      <c r="G10" s="55"/>
      <c r="H10" s="45">
        <v>-6448217.3569999998</v>
      </c>
      <c r="I10" s="44">
        <v>-50673.258329999997</v>
      </c>
      <c r="J10" s="49">
        <f>-835644.90192-50673 +50673</f>
        <v>-835644.90191999997</v>
      </c>
      <c r="K10" s="47">
        <f>-542577.35311-886318+886318</f>
        <v>-542577.35311000003</v>
      </c>
      <c r="L10" s="47">
        <f>-630563.10416-1428896+1428895+1</f>
        <v>-630563.1041600001</v>
      </c>
      <c r="M10" s="47">
        <f>-721237.6477-2059459+2059457</f>
        <v>-721239.64770000009</v>
      </c>
      <c r="N10" s="47">
        <f>-528888.24427+2780698-2780696</f>
        <v>-528886.24427000014</v>
      </c>
      <c r="O10" s="47">
        <f>-376226.14927-3309585+3309585</f>
        <v>-376226.14926999994</v>
      </c>
      <c r="P10" s="47">
        <f>-333392.25274-3685811+3685811</f>
        <v>-333392.25273999991</v>
      </c>
      <c r="Q10" s="47">
        <f>-340695.72862-4019203+4019203</f>
        <v>-340695.72862000018</v>
      </c>
      <c r="R10" s="47">
        <f>-322886.75233-4359899+4359899</f>
        <v>-322886.75232999958</v>
      </c>
      <c r="S10" s="47">
        <v>0</v>
      </c>
      <c r="T10" s="47">
        <v>0</v>
      </c>
      <c r="U10" s="46">
        <f>SUM(I10:T10)</f>
        <v>-4682785.3924500002</v>
      </c>
      <c r="V10" s="44">
        <v>-4150348.5131299994</v>
      </c>
      <c r="W10" s="47">
        <v>-422029.25579999998</v>
      </c>
      <c r="X10" s="45">
        <f>-83296.61501-422029+422029</f>
        <v>-83296.615010000009</v>
      </c>
      <c r="Y10" s="47">
        <f>-356825.11998-505326+505326</f>
        <v>-356825.11997999996</v>
      </c>
      <c r="Z10" s="47">
        <f>-429038.7422-862151+862151</f>
        <v>-429038.74219999998</v>
      </c>
      <c r="AA10" s="47">
        <f>-339904.13563-1291190+1291190</f>
        <v>-339904.13562999992</v>
      </c>
      <c r="AB10" s="45">
        <f>-380196.25669-1631094+1631094</f>
        <v>-380196.25668999995</v>
      </c>
      <c r="AC10" s="45">
        <v>-343097.10807000002</v>
      </c>
      <c r="AD10" s="45">
        <v>-336545.33994999999</v>
      </c>
      <c r="AE10" s="45">
        <v>-359236.86654000002</v>
      </c>
      <c r="AF10" s="45">
        <v>-362400.42050999997</v>
      </c>
      <c r="AG10" s="45">
        <v>-357899.94475999998</v>
      </c>
      <c r="AH10" s="45">
        <v>-379878.70799000002</v>
      </c>
      <c r="AI10" s="46">
        <f t="shared" si="7"/>
        <v>-3412569.8603799995</v>
      </c>
      <c r="AJ10" s="48"/>
      <c r="AK10" s="49"/>
      <c r="AL10" s="49"/>
      <c r="AM10" s="49"/>
      <c r="AN10" s="50">
        <f t="shared" si="5"/>
        <v>-1765431.9645499997</v>
      </c>
      <c r="AO10" s="1">
        <f t="shared" si="6"/>
        <v>-737778.65274999989</v>
      </c>
      <c r="AP10" s="1">
        <v>-0.18653000053018332</v>
      </c>
    </row>
    <row r="11" spans="1:50" ht="12.75" customHeight="1" x14ac:dyDescent="0.2">
      <c r="A11" s="13"/>
      <c r="B11" s="14"/>
      <c r="E11" s="1" t="s">
        <v>27</v>
      </c>
      <c r="F11" s="14"/>
      <c r="G11" s="44"/>
      <c r="H11" s="45">
        <v>-1951782.642</v>
      </c>
      <c r="I11" s="44">
        <v>-28022.66575</v>
      </c>
      <c r="J11" s="49">
        <f>-172007.06936-28023+28023</f>
        <v>-172007.06935999999</v>
      </c>
      <c r="K11" s="47">
        <f>-287062.47683-200030+200030</f>
        <v>-287062.47683</v>
      </c>
      <c r="L11" s="47">
        <f>-325112.87945-487092+487092</f>
        <v>-325112.87945000001</v>
      </c>
      <c r="M11" s="47">
        <f>-492219.62296-812205+812205</f>
        <v>-492219.62296000007</v>
      </c>
      <c r="N11" s="47">
        <f>-81601.19394-1304425+1304425</f>
        <v>-81601.19393999991</v>
      </c>
      <c r="O11" s="47">
        <f>-78021.36335-1386026+1386026</f>
        <v>-78021.36335</v>
      </c>
      <c r="P11" s="47">
        <f>-28738.37287-1464047+1464047</f>
        <v>-28738.372870000079</v>
      </c>
      <c r="Q11" s="47">
        <f>-20169.09295-1492786+1492786</f>
        <v>-20169.092949999962</v>
      </c>
      <c r="R11" s="47">
        <f>-55124.57698-1512955+1512955</f>
        <v>-55124.576979999896</v>
      </c>
      <c r="S11" s="47">
        <v>0</v>
      </c>
      <c r="T11" s="47">
        <v>0</v>
      </c>
      <c r="U11" s="46">
        <f>SUM(I11:T11)</f>
        <v>-1568079.3144399999</v>
      </c>
      <c r="V11" s="44">
        <v>-603878.8677099999</v>
      </c>
      <c r="W11" s="47">
        <v>-283731.10194999998</v>
      </c>
      <c r="X11" s="45">
        <f>-22971.71472-283731+283731</f>
        <v>-22971.714719999989</v>
      </c>
      <c r="Y11" s="47">
        <f>-16854.091-306703+306703</f>
        <v>-16854.091000000015</v>
      </c>
      <c r="Z11" s="47">
        <f>-30074.48565-323557+323557</f>
        <v>-30074.485649999988</v>
      </c>
      <c r="AA11" s="47">
        <f>-25479.95229-353631+353631</f>
        <v>-25479.952289999987</v>
      </c>
      <c r="AB11" s="45">
        <f>-42236.93293-379111+379111</f>
        <v>-42236.93293000001</v>
      </c>
      <c r="AC11" s="45">
        <f>-31139.0697-421348+421348</f>
        <v>-31139.069699999993</v>
      </c>
      <c r="AD11" s="45">
        <v>-17600.217149999997</v>
      </c>
      <c r="AE11" s="45">
        <v>-25607.755020000001</v>
      </c>
      <c r="AF11" s="45">
        <v>-17295.282360000001</v>
      </c>
      <c r="AG11" s="45">
        <v>-51730.900750000001</v>
      </c>
      <c r="AH11" s="45">
        <v>-39157.36419</v>
      </c>
      <c r="AI11" s="46">
        <f t="shared" si="7"/>
        <v>-512990.60276999994</v>
      </c>
      <c r="AJ11" s="48"/>
      <c r="AK11" s="49"/>
      <c r="AL11" s="49"/>
      <c r="AM11" s="49"/>
      <c r="AN11" s="50">
        <f t="shared" si="5"/>
        <v>-383703.32756000012</v>
      </c>
      <c r="AO11" s="1">
        <f t="shared" si="6"/>
        <v>-90888.264939999965</v>
      </c>
      <c r="AP11" s="1">
        <v>-0.23753000004217029</v>
      </c>
    </row>
    <row r="12" spans="1:50" ht="12.75" customHeight="1" x14ac:dyDescent="0.2">
      <c r="A12" s="13"/>
      <c r="B12" s="14"/>
      <c r="E12" s="1" t="s">
        <v>28</v>
      </c>
      <c r="F12" s="14"/>
      <c r="G12" s="44"/>
      <c r="H12" s="45">
        <v>-29035514.048999999</v>
      </c>
      <c r="I12" s="44">
        <v>-530463.92894000001</v>
      </c>
      <c r="J12" s="49">
        <f>-686010.05605-530464+530464</f>
        <v>-686010.05605000001</v>
      </c>
      <c r="K12" s="47">
        <f>-576037.36856-1216474+1216474</f>
        <v>-576037.36855999986</v>
      </c>
      <c r="L12" s="47">
        <f>-1083465.70439-1792511+1792511</f>
        <v>-1083465.7043900001</v>
      </c>
      <c r="M12" s="47">
        <f>-8567368.51468-2875977+2875977</f>
        <v>-8567368.51468</v>
      </c>
      <c r="N12" s="47">
        <f>-4877998.3482-11443346+11443346</f>
        <v>-4877998.3482000008</v>
      </c>
      <c r="O12" s="47">
        <f>-4051370.97252-16321344+16321344</f>
        <v>-4051370.9725200012</v>
      </c>
      <c r="P12" s="47">
        <f>-3800585.72167-20372715+20372715</f>
        <v>-3800585.7216700017</v>
      </c>
      <c r="Q12" s="47">
        <f>-2635074.80797-24173301+24173301</f>
        <v>-2635074.8079699986</v>
      </c>
      <c r="R12" s="47">
        <f>-2130972.42416-26808375+26808375</f>
        <v>-2130972.4241599999</v>
      </c>
      <c r="S12" s="47">
        <v>0</v>
      </c>
      <c r="T12" s="47">
        <v>0</v>
      </c>
      <c r="U12" s="46">
        <f>SUM(I12:T12)</f>
        <v>-28939347.847140003</v>
      </c>
      <c r="V12" s="44">
        <v>-31363927.525259998</v>
      </c>
      <c r="W12" s="47">
        <v>-859912.89492999995</v>
      </c>
      <c r="X12" s="45">
        <f>-875922.38843-859913+859913</f>
        <v>-875922.38843000005</v>
      </c>
      <c r="Y12" s="47">
        <f>-777297.84291-1735835+1735835</f>
        <v>-777297.84291000012</v>
      </c>
      <c r="Z12" s="47">
        <f>-5939458.34268-2513133+2513133</f>
        <v>-5939458.3426799998</v>
      </c>
      <c r="AA12" s="47">
        <f>-5408518.63074-8452591+8452591</f>
        <v>-5408518.6307399999</v>
      </c>
      <c r="AB12" s="45">
        <f>-3498938.35449-13861110+13861110</f>
        <v>-3498938.3544900008</v>
      </c>
      <c r="AC12" s="45">
        <f>-3785065.55925-17360048+17360048</f>
        <v>-3785065.5592500009</v>
      </c>
      <c r="AD12" s="45">
        <v>-3138678.9713699999</v>
      </c>
      <c r="AE12" s="45">
        <v>-2126980.8786599999</v>
      </c>
      <c r="AF12" s="45">
        <v>-1922752.5990899999</v>
      </c>
      <c r="AG12" s="45">
        <v>-1619947.0545599998</v>
      </c>
      <c r="AH12" s="45">
        <v>-1410454.0081500001</v>
      </c>
      <c r="AI12" s="46">
        <f t="shared" si="7"/>
        <v>-28333526.462550003</v>
      </c>
      <c r="AJ12" s="48"/>
      <c r="AK12" s="49"/>
      <c r="AL12" s="49"/>
      <c r="AM12" s="49"/>
      <c r="AN12" s="50">
        <f t="shared" si="5"/>
        <v>-96166.201859995723</v>
      </c>
      <c r="AO12" s="1">
        <f t="shared" si="6"/>
        <v>-3030401.0627099946</v>
      </c>
      <c r="AP12" s="1">
        <v>138.71320000290871</v>
      </c>
    </row>
    <row r="13" spans="1:50" ht="12.75" customHeight="1" x14ac:dyDescent="0.2">
      <c r="A13" s="13"/>
      <c r="C13" s="51" t="s">
        <v>29</v>
      </c>
      <c r="D13" s="51"/>
      <c r="E13" s="51"/>
      <c r="F13" s="51"/>
      <c r="G13" s="52"/>
      <c r="H13" s="45"/>
      <c r="I13" s="44"/>
      <c r="J13" s="49"/>
      <c r="K13" s="47"/>
      <c r="L13" s="47"/>
      <c r="M13" s="47"/>
      <c r="N13" s="47"/>
      <c r="O13" s="47"/>
      <c r="P13" s="47"/>
      <c r="Q13" s="47"/>
      <c r="R13" s="47"/>
      <c r="S13" s="47"/>
      <c r="T13" s="47"/>
      <c r="U13" s="46"/>
      <c r="V13" s="44"/>
      <c r="W13" s="47"/>
      <c r="X13" s="45"/>
      <c r="Y13" s="47"/>
      <c r="Z13" s="47"/>
      <c r="AA13" s="47"/>
      <c r="AB13" s="45"/>
      <c r="AC13" s="45"/>
      <c r="AD13" s="45"/>
      <c r="AE13" s="45"/>
      <c r="AF13" s="45"/>
      <c r="AG13" s="45"/>
      <c r="AH13" s="45"/>
      <c r="AI13" s="46"/>
      <c r="AJ13" s="48"/>
      <c r="AK13" s="49"/>
      <c r="AL13" s="49"/>
      <c r="AM13" s="49"/>
      <c r="AN13" s="50">
        <f t="shared" si="5"/>
        <v>0</v>
      </c>
      <c r="AO13" s="1">
        <f t="shared" si="6"/>
        <v>0</v>
      </c>
      <c r="AP13" s="38">
        <v>0</v>
      </c>
    </row>
    <row r="14" spans="1:50" ht="12.75" customHeight="1" x14ac:dyDescent="0.2">
      <c r="A14" s="13"/>
      <c r="E14" s="1" t="s">
        <v>30</v>
      </c>
      <c r="G14" s="44"/>
      <c r="H14" s="45">
        <v>159575116.40500003</v>
      </c>
      <c r="I14" s="44">
        <v>384842.90894999984</v>
      </c>
      <c r="J14" s="49">
        <f>437017.20909-384843+393075</f>
        <v>445249.20909000002</v>
      </c>
      <c r="K14" s="47">
        <f>39922511.53065-830092+821513</f>
        <v>39913932.530649997</v>
      </c>
      <c r="L14" s="47">
        <f>1548234.13954-40744025+40762136+1</f>
        <v>1566346.1395400017</v>
      </c>
      <c r="M14" s="47">
        <f>16566010.45242-42310371+42327765</f>
        <v>16583404.45242</v>
      </c>
      <c r="N14" s="47">
        <f>16693780.42493-58893775+58936820</f>
        <v>16736825.424929999</v>
      </c>
      <c r="O14" s="47">
        <f>1024152.44984-75630601+75675043</f>
        <v>1068594.4498399943</v>
      </c>
      <c r="P14" s="47">
        <f>2098721.05977-76699195+76742992</f>
        <v>2142518.059770003</v>
      </c>
      <c r="Q14" s="47">
        <f>65830652.06303-78841713+78876874</f>
        <v>65865813.063029997</v>
      </c>
      <c r="R14" s="47">
        <f>1368911.09104-144707526+144819121</f>
        <v>1480506.0910399854</v>
      </c>
      <c r="S14" s="47">
        <v>0</v>
      </c>
      <c r="T14" s="47">
        <v>0</v>
      </c>
      <c r="U14" s="46">
        <f>SUM(I14:T14)</f>
        <v>146188032.32925999</v>
      </c>
      <c r="V14" s="44">
        <v>211522203.19641</v>
      </c>
      <c r="W14" s="47">
        <v>1151770.1174699999</v>
      </c>
      <c r="X14" s="45">
        <f>1242986.25581-1151770+1159116</f>
        <v>1250332.25581</v>
      </c>
      <c r="Y14" s="47">
        <f>53804452.5886-2402102+2407792</f>
        <v>53810142.588600002</v>
      </c>
      <c r="Z14" s="47">
        <f>772540.9806-56212245+56235607</f>
        <v>795902.98059999943</v>
      </c>
      <c r="AA14" s="47">
        <f>21429184.58605-57008148+57021979</f>
        <v>21443015.586050004</v>
      </c>
      <c r="AB14" s="45">
        <f>22865269.4949-78451164+78458396</f>
        <v>22872501.494900003</v>
      </c>
      <c r="AC14" s="45">
        <f>1235090.86865-101323665+101426457</f>
        <v>1337882.8686500043</v>
      </c>
      <c r="AD14" s="45">
        <f>2071070.62865-102661548+102687261</f>
        <v>2096783.6286499947</v>
      </c>
      <c r="AE14" s="45">
        <f>57072343.36717-104758332+104770608</f>
        <v>57084619.367169999</v>
      </c>
      <c r="AF14" s="45">
        <f>979655.8143-161842951+161853757</f>
        <v>990461.81430000067</v>
      </c>
      <c r="AG14" s="45">
        <f>29223756.40822-162833413+162916282-2</f>
        <v>29306623.408219993</v>
      </c>
      <c r="AH14" s="45">
        <v>19345498.907779999</v>
      </c>
      <c r="AI14" s="46">
        <f t="shared" si="7"/>
        <v>162833412.7022</v>
      </c>
      <c r="AJ14" s="48"/>
      <c r="AK14" s="49"/>
      <c r="AL14" s="49"/>
      <c r="AM14" s="49"/>
      <c r="AN14" s="50">
        <f t="shared" si="5"/>
        <v>13387084.075740039</v>
      </c>
      <c r="AO14" s="1">
        <f t="shared" si="6"/>
        <v>48688790.494210005</v>
      </c>
      <c r="AP14" s="38">
        <v>390830.13055998087</v>
      </c>
    </row>
    <row r="15" spans="1:50" ht="12.75" customHeight="1" x14ac:dyDescent="0.2">
      <c r="A15" s="13"/>
      <c r="E15" s="56" t="s">
        <v>31</v>
      </c>
      <c r="F15" s="56"/>
      <c r="G15" s="57"/>
      <c r="H15" s="45">
        <v>33412.184000000001</v>
      </c>
      <c r="I15" s="44">
        <v>591.75368000000003</v>
      </c>
      <c r="J15" s="49">
        <v>358.55195000000003</v>
      </c>
      <c r="K15" s="47">
        <v>-543.68684999999994</v>
      </c>
      <c r="L15" s="47">
        <v>1414.5836100000001</v>
      </c>
      <c r="M15" s="47">
        <v>14900.17238</v>
      </c>
      <c r="N15" s="47">
        <v>1545.65642</v>
      </c>
      <c r="O15" s="47">
        <v>1452.81231</v>
      </c>
      <c r="P15" s="47">
        <v>787.68525999999997</v>
      </c>
      <c r="Q15" s="47">
        <v>11587.871779999999</v>
      </c>
      <c r="R15" s="47">
        <v>10152.577949999999</v>
      </c>
      <c r="S15" s="47">
        <v>0</v>
      </c>
      <c r="T15" s="47">
        <v>0</v>
      </c>
      <c r="U15" s="46">
        <f>SUM(I15:T15)</f>
        <v>42247.978490000001</v>
      </c>
      <c r="V15" s="44">
        <v>15961.07682</v>
      </c>
      <c r="W15" s="47">
        <v>4086.3198600000001</v>
      </c>
      <c r="X15" s="45">
        <v>1391.03548</v>
      </c>
      <c r="Y15" s="47">
        <v>1839.0604599999999</v>
      </c>
      <c r="Z15" s="47">
        <v>2009.00775</v>
      </c>
      <c r="AA15" s="47">
        <v>-506.63587000000001</v>
      </c>
      <c r="AB15" s="45">
        <v>2410.3167599999997</v>
      </c>
      <c r="AC15" s="45">
        <v>-2272.4185699999998</v>
      </c>
      <c r="AD15" s="45">
        <v>995.00096999999994</v>
      </c>
      <c r="AE15" s="45">
        <v>962.30282</v>
      </c>
      <c r="AF15" s="45">
        <v>455.23854</v>
      </c>
      <c r="AG15" s="45">
        <v>1236.0751599999999</v>
      </c>
      <c r="AH15" s="45">
        <v>3355.7734599999999</v>
      </c>
      <c r="AI15" s="46">
        <f t="shared" si="7"/>
        <v>11369.2282</v>
      </c>
      <c r="AJ15" s="48"/>
      <c r="AK15" s="49"/>
      <c r="AL15" s="49"/>
      <c r="AM15" s="49"/>
      <c r="AN15" s="50">
        <f t="shared" si="5"/>
        <v>-8835.7944900000002</v>
      </c>
      <c r="AO15" s="1">
        <f t="shared" si="6"/>
        <v>4591.8486200000007</v>
      </c>
      <c r="AP15" s="38">
        <v>-0.55058999999891967</v>
      </c>
    </row>
    <row r="16" spans="1:50" ht="12.75" customHeight="1" x14ac:dyDescent="0.2">
      <c r="A16" s="13"/>
      <c r="E16" s="56" t="s">
        <v>32</v>
      </c>
      <c r="F16" s="56"/>
      <c r="G16" s="57"/>
      <c r="H16" s="45">
        <v>20617763.228999998</v>
      </c>
      <c r="I16" s="44">
        <v>2209079.9366000001</v>
      </c>
      <c r="J16" s="49">
        <v>3349193.38399</v>
      </c>
      <c r="K16" s="47">
        <v>1867407.8515699999</v>
      </c>
      <c r="L16" s="47">
        <v>1470064.80709</v>
      </c>
      <c r="M16" s="47">
        <v>1308870.1526300001</v>
      </c>
      <c r="N16" s="47">
        <v>1067478.5544199999</v>
      </c>
      <c r="O16" s="47">
        <v>2239556.21636</v>
      </c>
      <c r="P16" s="47">
        <v>1525227.9124499999</v>
      </c>
      <c r="Q16" s="47">
        <v>1430045.4186800001</v>
      </c>
      <c r="R16" s="47">
        <v>2718753.6723799999</v>
      </c>
      <c r="S16" s="47">
        <v>0</v>
      </c>
      <c r="T16" s="47">
        <v>0</v>
      </c>
      <c r="U16" s="46">
        <f>SUM(I16:T16)</f>
        <v>19185677.906170003</v>
      </c>
      <c r="V16" s="44">
        <v>27913927.080180001</v>
      </c>
      <c r="W16" s="47">
        <v>2235723.95352</v>
      </c>
      <c r="X16" s="45">
        <v>4519590.4822399998</v>
      </c>
      <c r="Y16" s="47">
        <v>1612104.69774</v>
      </c>
      <c r="Z16" s="47">
        <f>1859617.30539</f>
        <v>1859617.3053900001</v>
      </c>
      <c r="AA16" s="47">
        <v>2149459.6524899998</v>
      </c>
      <c r="AB16" s="45">
        <v>1449432.13283</v>
      </c>
      <c r="AC16" s="45">
        <v>4138770.48563</v>
      </c>
      <c r="AD16" s="45">
        <v>2186872.68707</v>
      </c>
      <c r="AE16" s="45">
        <v>1435581.0780199999</v>
      </c>
      <c r="AF16" s="45">
        <v>1988054.2304700001</v>
      </c>
      <c r="AG16" s="45">
        <v>2192578.1497199996</v>
      </c>
      <c r="AH16" s="45">
        <v>2146142.2250600001</v>
      </c>
      <c r="AI16" s="46">
        <f t="shared" si="7"/>
        <v>23575206.705400001</v>
      </c>
      <c r="AJ16" s="48"/>
      <c r="AK16" s="49"/>
      <c r="AL16" s="49"/>
      <c r="AM16" s="49"/>
      <c r="AN16" s="50">
        <f t="shared" si="5"/>
        <v>1432085.3228299953</v>
      </c>
      <c r="AO16" s="1">
        <f t="shared" si="6"/>
        <v>4338720.3747799993</v>
      </c>
      <c r="AP16" s="38">
        <v>-0.31317000091075897</v>
      </c>
    </row>
    <row r="17" spans="1:42" ht="12.75" customHeight="1" x14ac:dyDescent="0.2">
      <c r="A17" s="13"/>
      <c r="E17" s="56" t="s">
        <v>33</v>
      </c>
      <c r="F17" s="56"/>
      <c r="G17" s="57"/>
      <c r="H17" s="45">
        <v>530561.42000000004</v>
      </c>
      <c r="I17" s="44">
        <v>59182.997109999997</v>
      </c>
      <c r="J17" s="49">
        <v>31029.25405</v>
      </c>
      <c r="K17" s="47">
        <v>32443.184300000001</v>
      </c>
      <c r="L17" s="47">
        <v>43083.216130000001</v>
      </c>
      <c r="M17" s="47">
        <v>23768.29952</v>
      </c>
      <c r="N17" s="47">
        <v>40209.965609999999</v>
      </c>
      <c r="O17" s="47">
        <v>57329.075709999997</v>
      </c>
      <c r="P17" s="47">
        <v>38019.836139999999</v>
      </c>
      <c r="Q17" s="47">
        <v>30230.652859999998</v>
      </c>
      <c r="R17" s="47">
        <v>28941.377190000003</v>
      </c>
      <c r="S17" s="47">
        <v>0</v>
      </c>
      <c r="T17" s="47">
        <v>0</v>
      </c>
      <c r="U17" s="46">
        <f>SUM(I17:T17)</f>
        <v>384237.85862000001</v>
      </c>
      <c r="V17" s="44">
        <v>596498.06310999999</v>
      </c>
      <c r="W17" s="47">
        <v>79112.289799999999</v>
      </c>
      <c r="X17" s="45">
        <v>46548.474719999998</v>
      </c>
      <c r="Y17" s="47">
        <v>24033.462829999997</v>
      </c>
      <c r="Z17" s="47">
        <v>46036.769560000001</v>
      </c>
      <c r="AA17" s="47">
        <v>46016.670460000001</v>
      </c>
      <c r="AB17" s="45">
        <v>31131.278460000001</v>
      </c>
      <c r="AC17" s="45">
        <v>97489.750290000011</v>
      </c>
      <c r="AD17" s="45">
        <v>35097.179700000001</v>
      </c>
      <c r="AE17" s="45">
        <v>42773.009170000005</v>
      </c>
      <c r="AF17" s="45">
        <v>50320.79163</v>
      </c>
      <c r="AG17" s="45">
        <v>46528.848770000004</v>
      </c>
      <c r="AH17" s="45">
        <v>51409.53772</v>
      </c>
      <c r="AI17" s="46">
        <f t="shared" si="7"/>
        <v>498559.67661999993</v>
      </c>
      <c r="AJ17" s="48"/>
      <c r="AK17" s="49"/>
      <c r="AL17" s="49"/>
      <c r="AM17" s="49"/>
      <c r="AN17" s="50">
        <f t="shared" si="5"/>
        <v>146323.56138000003</v>
      </c>
      <c r="AO17" s="1">
        <f t="shared" si="6"/>
        <v>97938.386490000063</v>
      </c>
      <c r="AP17" s="38">
        <v>-0.36829999997280538</v>
      </c>
    </row>
    <row r="18" spans="1:42" x14ac:dyDescent="0.2">
      <c r="A18" s="13"/>
      <c r="C18" s="1" t="s">
        <v>34</v>
      </c>
      <c r="G18" s="44"/>
      <c r="H18" s="45"/>
      <c r="I18" s="44"/>
      <c r="J18" s="49"/>
      <c r="K18" s="47"/>
      <c r="L18" s="47"/>
      <c r="M18" s="47"/>
      <c r="N18" s="47"/>
      <c r="O18" s="47"/>
      <c r="P18" s="47"/>
      <c r="Q18" s="47"/>
      <c r="R18" s="47"/>
      <c r="S18" s="47"/>
      <c r="T18" s="47"/>
      <c r="U18" s="46"/>
      <c r="V18" s="44"/>
      <c r="W18" s="47"/>
      <c r="X18" s="45"/>
      <c r="Y18" s="47"/>
      <c r="Z18" s="47"/>
      <c r="AA18" s="47"/>
      <c r="AB18" s="45"/>
      <c r="AC18" s="45"/>
      <c r="AD18" s="45"/>
      <c r="AE18" s="45"/>
      <c r="AF18" s="45"/>
      <c r="AG18" s="45"/>
      <c r="AH18" s="45"/>
      <c r="AI18" s="46"/>
      <c r="AJ18" s="48"/>
      <c r="AK18" s="49"/>
      <c r="AL18" s="49"/>
      <c r="AM18" s="49"/>
      <c r="AN18" s="50">
        <f>H1-U18</f>
        <v>0</v>
      </c>
      <c r="AO18" s="1">
        <f t="shared" si="6"/>
        <v>0</v>
      </c>
      <c r="AP18" s="38">
        <v>0</v>
      </c>
    </row>
    <row r="19" spans="1:42" ht="12.75" customHeight="1" x14ac:dyDescent="0.2">
      <c r="A19" s="13"/>
      <c r="E19" s="51" t="s">
        <v>35</v>
      </c>
      <c r="F19" s="51"/>
      <c r="G19" s="52"/>
      <c r="H19" s="45">
        <v>5386927.6540000001</v>
      </c>
      <c r="I19" s="44">
        <v>232647.16282000003</v>
      </c>
      <c r="J19" s="49">
        <f>259107.23964-232647+222624</f>
        <v>249084.23964000001</v>
      </c>
      <c r="K19" s="47">
        <f>275728.14204-481731+488124</f>
        <v>282121.14204000001</v>
      </c>
      <c r="L19" s="47">
        <f>313886.88512-763853+741881</f>
        <v>291914.88511999999</v>
      </c>
      <c r="M19" s="47">
        <f>417007.69599-1055767+1035118</f>
        <v>396358.69598999992</v>
      </c>
      <c r="N19" s="47">
        <f>442271.86283-1452126+1410232</f>
        <v>400377.86283</v>
      </c>
      <c r="O19" s="47">
        <f>338472.35938-1852504+1796095</f>
        <v>282063.35938000004</v>
      </c>
      <c r="P19" s="47">
        <f>334250.08218-2134567+2084253</f>
        <v>283936.08217999991</v>
      </c>
      <c r="Q19" s="47">
        <f>381631.89427-2418503+2379212</f>
        <v>342340.89427000005</v>
      </c>
      <c r="R19" s="47">
        <f>270376.17194-2760844+2640228</f>
        <v>149760.1719399998</v>
      </c>
      <c r="S19" s="47">
        <v>0</v>
      </c>
      <c r="T19" s="47">
        <v>0</v>
      </c>
      <c r="U19" s="46">
        <f>SUM(I19:T19)</f>
        <v>2910604.4962099995</v>
      </c>
      <c r="V19" s="44">
        <v>5003686.9855000004</v>
      </c>
      <c r="W19" s="47">
        <v>306533.35495000001</v>
      </c>
      <c r="X19" s="45">
        <f>319293.59839-306533+297535</f>
        <v>310295.59839</v>
      </c>
      <c r="Y19" s="47">
        <f>225899.78546-616829+608386</f>
        <v>217456.78546000004</v>
      </c>
      <c r="Z19" s="47">
        <f>234556.5963-834286+806981</f>
        <v>207251.59629999998</v>
      </c>
      <c r="AA19" s="47">
        <f>219603.94414-1041537+1023277</f>
        <v>201343.94414000004</v>
      </c>
      <c r="AB19" s="45">
        <f>383103.00164-1242881+1210587</f>
        <v>350809.00163999991</v>
      </c>
      <c r="AC19" s="45">
        <f>333168.168-1593690+1485154</f>
        <v>224632.16800000006</v>
      </c>
      <c r="AD19" s="45">
        <f>443153.50769-1818324+1785811</f>
        <v>410640.50768999988</v>
      </c>
      <c r="AE19" s="45">
        <f>303333.90065-2228965+2212040</f>
        <v>286408.90064999997</v>
      </c>
      <c r="AF19" s="45">
        <f>285068.99895-2515374+2499630</f>
        <v>269324.99894999992</v>
      </c>
      <c r="AG19" s="45">
        <f>585774.66311-2784697+2691929</f>
        <v>493006.66311000008</v>
      </c>
      <c r="AH19" s="45">
        <v>1767915.3942100001</v>
      </c>
      <c r="AI19" s="46">
        <f t="shared" si="7"/>
        <v>2784696.8561699996</v>
      </c>
      <c r="AJ19" s="48"/>
      <c r="AK19" s="49"/>
      <c r="AL19" s="49"/>
      <c r="AM19" s="49"/>
      <c r="AN19" s="50">
        <f t="shared" si="5"/>
        <v>2476323.1577900006</v>
      </c>
      <c r="AO19" s="1">
        <f t="shared" si="6"/>
        <v>2218990.1293300008</v>
      </c>
      <c r="AP19" s="38">
        <v>-561728.9774600002</v>
      </c>
    </row>
    <row r="20" spans="1:42" ht="12.75" customHeight="1" x14ac:dyDescent="0.2">
      <c r="A20" s="13"/>
      <c r="E20" s="56" t="s">
        <v>36</v>
      </c>
      <c r="F20" s="56"/>
      <c r="G20" s="57"/>
      <c r="H20" s="45">
        <v>71.558999999999997</v>
      </c>
      <c r="I20" s="44">
        <v>0</v>
      </c>
      <c r="J20" s="49">
        <v>71.558999999999997</v>
      </c>
      <c r="K20" s="47">
        <v>0</v>
      </c>
      <c r="L20" s="47">
        <v>0</v>
      </c>
      <c r="M20" s="47">
        <v>0</v>
      </c>
      <c r="N20" s="47">
        <v>0</v>
      </c>
      <c r="O20" s="47">
        <v>0</v>
      </c>
      <c r="P20" s="47">
        <v>0</v>
      </c>
      <c r="Q20" s="47">
        <v>0</v>
      </c>
      <c r="R20" s="47">
        <v>0</v>
      </c>
      <c r="S20" s="47">
        <v>0</v>
      </c>
      <c r="T20" s="47">
        <v>0</v>
      </c>
      <c r="U20" s="46">
        <f>SUM(I20:T20)</f>
        <v>71.558999999999997</v>
      </c>
      <c r="V20" s="44">
        <v>20.732399999999984</v>
      </c>
      <c r="W20" s="47">
        <v>67.085250000000002</v>
      </c>
      <c r="X20" s="45">
        <v>4.1390000000000002</v>
      </c>
      <c r="Y20" s="47">
        <v>4</v>
      </c>
      <c r="Z20" s="47">
        <v>19.332999999999998</v>
      </c>
      <c r="AA20" s="47">
        <v>-1.26</v>
      </c>
      <c r="AB20" s="45">
        <v>0.89300000000000002</v>
      </c>
      <c r="AC20" s="45">
        <v>2.3273999999999999</v>
      </c>
      <c r="AD20" s="45">
        <v>0</v>
      </c>
      <c r="AE20" s="45">
        <v>0</v>
      </c>
      <c r="AF20" s="45">
        <v>-14.7</v>
      </c>
      <c r="AG20" s="45">
        <v>0</v>
      </c>
      <c r="AH20" s="45">
        <v>-61.085250000000002</v>
      </c>
      <c r="AI20" s="46">
        <f t="shared" si="7"/>
        <v>81.817649999999986</v>
      </c>
      <c r="AJ20" s="48"/>
      <c r="AK20" s="49"/>
      <c r="AL20" s="49"/>
      <c r="AM20" s="49"/>
      <c r="AN20" s="50">
        <f t="shared" si="5"/>
        <v>0</v>
      </c>
      <c r="AO20" s="1">
        <f t="shared" si="6"/>
        <v>-61.085250000000002</v>
      </c>
      <c r="AP20" s="38">
        <v>-0.58600000000001273</v>
      </c>
    </row>
    <row r="21" spans="1:42" s="38" customFormat="1" ht="12.75" customHeight="1" x14ac:dyDescent="0.2">
      <c r="A21" s="50"/>
      <c r="B21" s="14" t="s">
        <v>37</v>
      </c>
      <c r="C21" s="37"/>
      <c r="E21" s="58"/>
      <c r="F21" s="58"/>
      <c r="G21" s="59"/>
      <c r="H21" s="60">
        <f>H22</f>
        <v>10174610.99</v>
      </c>
      <c r="I21" s="60">
        <f t="shared" ref="I21:AH21" si="8">I22</f>
        <v>1448896.29446</v>
      </c>
      <c r="J21" s="61">
        <f t="shared" si="8"/>
        <v>1119036.5325999998</v>
      </c>
      <c r="K21" s="62">
        <f t="shared" si="8"/>
        <v>8683.9046199999993</v>
      </c>
      <c r="L21" s="62">
        <f t="shared" si="8"/>
        <v>88985.843720000004</v>
      </c>
      <c r="M21" s="62">
        <f t="shared" si="8"/>
        <v>75881.088000000003</v>
      </c>
      <c r="N21" s="62">
        <f t="shared" si="8"/>
        <v>169905.86504</v>
      </c>
      <c r="O21" s="62">
        <f t="shared" si="8"/>
        <v>1462514.1096400002</v>
      </c>
      <c r="P21" s="62">
        <f t="shared" si="8"/>
        <v>1488220.46254</v>
      </c>
      <c r="Q21" s="62">
        <f t="shared" si="8"/>
        <v>1667699.5313499998</v>
      </c>
      <c r="R21" s="62">
        <f t="shared" si="8"/>
        <v>1637904.7564300001</v>
      </c>
      <c r="S21" s="62">
        <f t="shared" si="8"/>
        <v>0</v>
      </c>
      <c r="T21" s="62">
        <f t="shared" si="8"/>
        <v>0</v>
      </c>
      <c r="U21" s="63">
        <f t="shared" si="8"/>
        <v>9167728.3883999996</v>
      </c>
      <c r="V21" s="64">
        <f t="shared" si="8"/>
        <v>18486280.33836</v>
      </c>
      <c r="W21" s="65">
        <f t="shared" si="8"/>
        <v>1486557.3596700002</v>
      </c>
      <c r="X21" s="66">
        <f t="shared" si="8"/>
        <v>1412889.2435599999</v>
      </c>
      <c r="Y21" s="66">
        <f t="shared" si="8"/>
        <v>1388120.6329900001</v>
      </c>
      <c r="Z21" s="62">
        <f t="shared" si="8"/>
        <v>1443837.3841199998</v>
      </c>
      <c r="AA21" s="66">
        <f t="shared" si="8"/>
        <v>1524560.1272400001</v>
      </c>
      <c r="AB21" s="66">
        <f t="shared" si="8"/>
        <v>1497959.2152200001</v>
      </c>
      <c r="AC21" s="66">
        <f>AC22</f>
        <v>1535608.7352400001</v>
      </c>
      <c r="AD21" s="66">
        <f t="shared" si="8"/>
        <v>1485949.6038800001</v>
      </c>
      <c r="AE21" s="66">
        <f t="shared" si="8"/>
        <v>1683694.1335400001</v>
      </c>
      <c r="AF21" s="66">
        <f t="shared" si="8"/>
        <v>1704155.1792899999</v>
      </c>
      <c r="AG21" s="66">
        <f t="shared" si="8"/>
        <v>1575779.40793</v>
      </c>
      <c r="AH21" s="66">
        <f t="shared" si="8"/>
        <v>1747169.31568</v>
      </c>
      <c r="AI21" s="63">
        <f>AI22</f>
        <v>15163331.61475</v>
      </c>
      <c r="AJ21" s="67"/>
      <c r="AK21" s="61"/>
      <c r="AL21" s="61"/>
      <c r="AM21" s="61"/>
      <c r="AN21" s="50">
        <f>H21-U21</f>
        <v>1006882.6016000006</v>
      </c>
      <c r="AO21" s="1">
        <f t="shared" si="6"/>
        <v>3322948.7236100007</v>
      </c>
      <c r="AP21" s="38">
        <v>-9.3469999730587006E-2</v>
      </c>
    </row>
    <row r="22" spans="1:42" ht="12.75" customHeight="1" x14ac:dyDescent="0.2">
      <c r="A22" s="13"/>
      <c r="C22" s="68" t="s">
        <v>38</v>
      </c>
      <c r="F22" s="69"/>
      <c r="G22" s="59"/>
      <c r="H22" s="45">
        <v>10174610.99</v>
      </c>
      <c r="I22" s="44">
        <v>1448896.29446</v>
      </c>
      <c r="J22" s="49">
        <v>1119036.5325999998</v>
      </c>
      <c r="K22" s="47">
        <v>8683.9046199999993</v>
      </c>
      <c r="L22" s="47">
        <v>88985.843720000004</v>
      </c>
      <c r="M22" s="47">
        <v>75881.088000000003</v>
      </c>
      <c r="N22" s="47">
        <v>169905.86504</v>
      </c>
      <c r="O22" s="47">
        <v>1462514.1096400002</v>
      </c>
      <c r="P22" s="47">
        <v>1488220.46254</v>
      </c>
      <c r="Q22" s="47">
        <v>1667699.5313499998</v>
      </c>
      <c r="R22" s="47">
        <v>1637904.7564300001</v>
      </c>
      <c r="S22" s="47">
        <v>0</v>
      </c>
      <c r="T22" s="47">
        <v>0</v>
      </c>
      <c r="U22" s="46">
        <f>SUM(I22:T22)</f>
        <v>9167728.3883999996</v>
      </c>
      <c r="V22" s="44">
        <v>18486280.33836</v>
      </c>
      <c r="W22" s="47">
        <v>1486557.3596700002</v>
      </c>
      <c r="X22" s="45">
        <v>1412889.2435599999</v>
      </c>
      <c r="Y22" s="47">
        <v>1388120.6329900001</v>
      </c>
      <c r="Z22" s="47">
        <v>1443837.3841199998</v>
      </c>
      <c r="AA22" s="47">
        <v>1524560.1272400001</v>
      </c>
      <c r="AB22" s="45">
        <v>1497959.2152200001</v>
      </c>
      <c r="AC22" s="66">
        <v>1535608.7352400001</v>
      </c>
      <c r="AD22" s="45">
        <v>1485949.6038800001</v>
      </c>
      <c r="AE22" s="45">
        <v>1683694.1335400001</v>
      </c>
      <c r="AF22" s="45">
        <v>1704155.1792899999</v>
      </c>
      <c r="AG22" s="45">
        <v>1575779.40793</v>
      </c>
      <c r="AH22" s="45">
        <v>1747169.31568</v>
      </c>
      <c r="AI22" s="46">
        <f t="shared" si="7"/>
        <v>15163331.61475</v>
      </c>
      <c r="AJ22" s="48"/>
      <c r="AK22" s="49"/>
      <c r="AL22" s="49"/>
      <c r="AM22" s="49"/>
      <c r="AN22" s="50">
        <f t="shared" ref="AN22:AN63" si="9">H22-U22</f>
        <v>1006882.6016000006</v>
      </c>
      <c r="AO22" s="1">
        <f t="shared" si="6"/>
        <v>3322948.7236100007</v>
      </c>
      <c r="AP22" s="38">
        <v>-9.3469999730587006E-2</v>
      </c>
    </row>
    <row r="23" spans="1:42" s="38" customFormat="1" ht="12.75" customHeight="1" x14ac:dyDescent="0.2">
      <c r="A23" s="50"/>
      <c r="B23" s="14" t="s">
        <v>39</v>
      </c>
      <c r="C23" s="37"/>
      <c r="E23" s="58"/>
      <c r="F23" s="58"/>
      <c r="G23" s="59"/>
      <c r="H23" s="60">
        <f>SUM(H24:H29)</f>
        <v>14454626.437000003</v>
      </c>
      <c r="I23" s="60">
        <f>SUM(I24:I29)</f>
        <v>930000.28094000008</v>
      </c>
      <c r="J23" s="61">
        <f t="shared" ref="J23:U23" si="10">SUM(J24:J29)</f>
        <v>964345.83990000002</v>
      </c>
      <c r="K23" s="62">
        <f t="shared" si="10"/>
        <v>1222430.14439</v>
      </c>
      <c r="L23" s="62">
        <f t="shared" si="10"/>
        <v>1300104.89249</v>
      </c>
      <c r="M23" s="62">
        <f t="shared" si="10"/>
        <v>1253114.29495</v>
      </c>
      <c r="N23" s="62">
        <f t="shared" si="10"/>
        <v>1425464.15118</v>
      </c>
      <c r="O23" s="62">
        <f t="shared" si="10"/>
        <v>1457954.3470199998</v>
      </c>
      <c r="P23" s="62">
        <f t="shared" si="10"/>
        <v>1638130.02015</v>
      </c>
      <c r="Q23" s="62">
        <f t="shared" si="10"/>
        <v>1246894.6395299998</v>
      </c>
      <c r="R23" s="62">
        <f t="shared" si="10"/>
        <v>1262648.4423799999</v>
      </c>
      <c r="S23" s="62">
        <f t="shared" si="10"/>
        <v>0</v>
      </c>
      <c r="T23" s="62">
        <f t="shared" si="10"/>
        <v>0</v>
      </c>
      <c r="U23" s="63">
        <f t="shared" si="10"/>
        <v>12701087.052929999</v>
      </c>
      <c r="V23" s="60">
        <f>SUM(V24:V29)</f>
        <v>15979940.205900002</v>
      </c>
      <c r="W23" s="62">
        <f>SUM(W24:W29)</f>
        <v>1273463.2842899999</v>
      </c>
      <c r="X23" s="70">
        <f t="shared" ref="X23:AH23" si="11">SUM(X24:X29)</f>
        <v>1218002.7180599999</v>
      </c>
      <c r="Y23" s="70">
        <f t="shared" si="11"/>
        <v>1197194.08048</v>
      </c>
      <c r="Z23" s="62">
        <f t="shared" si="11"/>
        <v>1255267.6250199997</v>
      </c>
      <c r="AA23" s="70">
        <f t="shared" si="11"/>
        <v>1311750.4920399999</v>
      </c>
      <c r="AB23" s="70">
        <f t="shared" si="11"/>
        <v>1150972.34228</v>
      </c>
      <c r="AC23" s="70">
        <f>SUM(AC24:AC29)</f>
        <v>1419716.86209</v>
      </c>
      <c r="AD23" s="70">
        <f t="shared" si="11"/>
        <v>2619856.30528</v>
      </c>
      <c r="AE23" s="70">
        <f>SUM(AE24:AE29)</f>
        <v>951461.71384999994</v>
      </c>
      <c r="AF23" s="70">
        <f>SUM(AF24:AF29)</f>
        <v>1107402.01119</v>
      </c>
      <c r="AG23" s="70">
        <f>SUM(AG24:AG29)</f>
        <v>1203624.8027900001</v>
      </c>
      <c r="AH23" s="70">
        <f t="shared" si="11"/>
        <v>1271227.96853</v>
      </c>
      <c r="AI23" s="63">
        <f>SUM(AI24:AI29)</f>
        <v>13505087.43458</v>
      </c>
      <c r="AJ23" s="67"/>
      <c r="AK23" s="61"/>
      <c r="AL23" s="61"/>
      <c r="AM23" s="61"/>
      <c r="AN23" s="50">
        <f t="shared" si="9"/>
        <v>1753539.3840700034</v>
      </c>
      <c r="AO23" s="1">
        <f t="shared" si="6"/>
        <v>2474852.7713200022</v>
      </c>
      <c r="AP23" s="38">
        <v>0.50685000047087669</v>
      </c>
    </row>
    <row r="24" spans="1:42" s="38" customFormat="1" ht="12.75" customHeight="1" x14ac:dyDescent="0.2">
      <c r="A24" s="50"/>
      <c r="B24" s="14"/>
      <c r="C24" s="51" t="s">
        <v>40</v>
      </c>
      <c r="D24" s="51"/>
      <c r="E24" s="51"/>
      <c r="F24" s="51"/>
      <c r="G24" s="52"/>
      <c r="H24" s="45"/>
      <c r="I24" s="44"/>
      <c r="J24" s="49"/>
      <c r="K24" s="47"/>
      <c r="L24" s="47"/>
      <c r="M24" s="47"/>
      <c r="N24" s="47"/>
      <c r="O24" s="47"/>
      <c r="P24" s="47"/>
      <c r="Q24" s="47"/>
      <c r="R24" s="47"/>
      <c r="S24" s="47"/>
      <c r="T24" s="47"/>
      <c r="U24" s="46"/>
      <c r="V24" s="44"/>
      <c r="W24" s="49"/>
      <c r="X24" s="45"/>
      <c r="Y24" s="45"/>
      <c r="Z24" s="47"/>
      <c r="AA24" s="45"/>
      <c r="AB24" s="45"/>
      <c r="AC24" s="45"/>
      <c r="AD24" s="45"/>
      <c r="AE24" s="45"/>
      <c r="AF24" s="45"/>
      <c r="AG24" s="45"/>
      <c r="AH24" s="45"/>
      <c r="AI24" s="46"/>
      <c r="AJ24" s="48"/>
      <c r="AK24" s="49"/>
      <c r="AL24" s="49"/>
      <c r="AM24" s="49"/>
      <c r="AN24" s="50"/>
      <c r="AO24" s="1">
        <f t="shared" si="6"/>
        <v>0</v>
      </c>
      <c r="AP24" s="38">
        <v>0</v>
      </c>
    </row>
    <row r="25" spans="1:42" ht="12.75" customHeight="1" x14ac:dyDescent="0.2">
      <c r="A25" s="13"/>
      <c r="E25" s="68" t="s">
        <v>41</v>
      </c>
      <c r="F25" s="68"/>
      <c r="G25" s="59"/>
      <c r="H25" s="45">
        <v>626954.78399999999</v>
      </c>
      <c r="I25" s="44">
        <v>31559.846730000001</v>
      </c>
      <c r="J25" s="49">
        <v>10892.31041</v>
      </c>
      <c r="K25" s="47">
        <v>46560.754789999999</v>
      </c>
      <c r="L25" s="47">
        <v>34777.232400000001</v>
      </c>
      <c r="M25" s="47">
        <v>55122.520259999998</v>
      </c>
      <c r="N25" s="47">
        <v>68695.364930000011</v>
      </c>
      <c r="O25" s="47">
        <v>25458.964090000001</v>
      </c>
      <c r="P25" s="47">
        <v>64813.07576</v>
      </c>
      <c r="Q25" s="47">
        <v>55056.423969999996</v>
      </c>
      <c r="R25" s="47">
        <v>32973.087879999999</v>
      </c>
      <c r="S25" s="47">
        <v>0</v>
      </c>
      <c r="T25" s="47">
        <v>0</v>
      </c>
      <c r="U25" s="46">
        <f>SUM(I25:T25)</f>
        <v>425909.58121999999</v>
      </c>
      <c r="V25" s="44">
        <v>572260.51356000011</v>
      </c>
      <c r="W25" s="49">
        <v>44296.821329999999</v>
      </c>
      <c r="X25" s="45">
        <v>35163.065840000003</v>
      </c>
      <c r="Y25" s="47">
        <v>25841.288860000001</v>
      </c>
      <c r="Z25" s="47">
        <v>41455.151149999998</v>
      </c>
      <c r="AA25" s="47">
        <v>26383.988730000001</v>
      </c>
      <c r="AB25" s="45">
        <v>49254.720159999997</v>
      </c>
      <c r="AC25" s="45">
        <v>100003.02798999999</v>
      </c>
      <c r="AD25" s="45">
        <v>26963.738420000001</v>
      </c>
      <c r="AE25" s="45">
        <v>21675.22249</v>
      </c>
      <c r="AF25" s="45">
        <v>34255.995880000002</v>
      </c>
      <c r="AG25" s="45">
        <v>54902.155279999999</v>
      </c>
      <c r="AH25" s="45">
        <v>112065.33743000001</v>
      </c>
      <c r="AI25" s="46">
        <f t="shared" ref="AI25:AI26" si="12">SUM(W25:AF25)</f>
        <v>405293.02085000003</v>
      </c>
      <c r="AJ25" s="48"/>
      <c r="AK25" s="49"/>
      <c r="AL25" s="49"/>
      <c r="AM25" s="49"/>
      <c r="AN25" s="50">
        <f t="shared" si="9"/>
        <v>201045.20277999999</v>
      </c>
      <c r="AO25" s="1">
        <f t="shared" si="6"/>
        <v>166967.49271000008</v>
      </c>
      <c r="AP25" s="38">
        <v>0.43591000000014901</v>
      </c>
    </row>
    <row r="26" spans="1:42" ht="12.75" customHeight="1" x14ac:dyDescent="0.2">
      <c r="A26" s="13"/>
      <c r="E26" s="68" t="s">
        <v>42</v>
      </c>
      <c r="F26" s="68"/>
      <c r="G26" s="59"/>
      <c r="H26" s="45">
        <v>3000000.0010000002</v>
      </c>
      <c r="I26" s="44">
        <v>96256.162180000014</v>
      </c>
      <c r="J26" s="49">
        <v>129073.12845999999</v>
      </c>
      <c r="K26" s="47">
        <v>226718.81278000001</v>
      </c>
      <c r="L26" s="47">
        <v>264484.19075999997</v>
      </c>
      <c r="M26" s="47">
        <v>157561.25753</v>
      </c>
      <c r="N26" s="47">
        <v>279991.56835000002</v>
      </c>
      <c r="O26" s="47">
        <v>214142.49699000001</v>
      </c>
      <c r="P26" s="47">
        <v>216394.44462999998</v>
      </c>
      <c r="Q26" s="47">
        <v>199917.46669</v>
      </c>
      <c r="R26" s="47">
        <v>103876.80607999999</v>
      </c>
      <c r="S26" s="47">
        <v>0</v>
      </c>
      <c r="T26" s="47">
        <v>0</v>
      </c>
      <c r="U26" s="46">
        <f>SUM(I26:T26)</f>
        <v>1888416.33445</v>
      </c>
      <c r="V26" s="44">
        <v>2047842.9223399998</v>
      </c>
      <c r="W26" s="49">
        <v>146391.82277</v>
      </c>
      <c r="X26" s="45">
        <v>143514.96836999999</v>
      </c>
      <c r="Y26" s="47">
        <v>156403.32399</v>
      </c>
      <c r="Z26" s="47">
        <v>197905.40074000001</v>
      </c>
      <c r="AA26" s="47">
        <v>169148.53209999998</v>
      </c>
      <c r="AB26" s="45">
        <v>138645.72691</v>
      </c>
      <c r="AC26" s="45">
        <v>174047.93703</v>
      </c>
      <c r="AD26" s="45">
        <v>178701.3413</v>
      </c>
      <c r="AE26" s="45">
        <v>168839.29102999999</v>
      </c>
      <c r="AF26" s="45">
        <v>173464.23949000001</v>
      </c>
      <c r="AG26" s="45">
        <v>183943.45116</v>
      </c>
      <c r="AH26" s="45">
        <v>216836.88744999998</v>
      </c>
      <c r="AI26" s="46">
        <f t="shared" si="12"/>
        <v>1647062.5837299998</v>
      </c>
      <c r="AJ26" s="48"/>
      <c r="AK26" s="49"/>
      <c r="AL26" s="49"/>
      <c r="AM26" s="49"/>
      <c r="AN26" s="50">
        <f t="shared" si="9"/>
        <v>1111583.6665500002</v>
      </c>
      <c r="AO26" s="1">
        <f t="shared" si="6"/>
        <v>400780.33860999998</v>
      </c>
      <c r="AP26" s="38">
        <v>3.3559999894350767E-2</v>
      </c>
    </row>
    <row r="27" spans="1:42" x14ac:dyDescent="0.2">
      <c r="A27" s="13"/>
      <c r="C27" s="51" t="s">
        <v>43</v>
      </c>
      <c r="D27" s="51"/>
      <c r="E27" s="51"/>
      <c r="F27" s="51"/>
      <c r="G27" s="52"/>
      <c r="H27" s="45"/>
      <c r="I27" s="44"/>
      <c r="J27" s="49"/>
      <c r="K27" s="47"/>
      <c r="L27" s="47"/>
      <c r="M27" s="47"/>
      <c r="N27" s="47"/>
      <c r="O27" s="47"/>
      <c r="P27" s="47"/>
      <c r="Q27" s="47"/>
      <c r="R27" s="47"/>
      <c r="S27" s="47"/>
      <c r="T27" s="47"/>
      <c r="U27" s="46"/>
      <c r="V27" s="44"/>
      <c r="W27" s="49"/>
      <c r="X27" s="45"/>
      <c r="Y27" s="47"/>
      <c r="Z27" s="47"/>
      <c r="AA27" s="47"/>
      <c r="AB27" s="45"/>
      <c r="AC27" s="45"/>
      <c r="AD27" s="45"/>
      <c r="AE27" s="45"/>
      <c r="AF27" s="45"/>
      <c r="AG27" s="45"/>
      <c r="AH27" s="45"/>
      <c r="AI27" s="46"/>
      <c r="AJ27" s="48"/>
      <c r="AK27" s="49"/>
      <c r="AL27" s="49"/>
      <c r="AM27" s="49"/>
      <c r="AN27" s="50"/>
      <c r="AO27" s="1">
        <f t="shared" si="6"/>
        <v>0</v>
      </c>
      <c r="AP27" s="38">
        <v>0</v>
      </c>
    </row>
    <row r="28" spans="1:42" ht="12.75" customHeight="1" x14ac:dyDescent="0.2">
      <c r="A28" s="13"/>
      <c r="E28" s="68" t="s">
        <v>44</v>
      </c>
      <c r="F28" s="68"/>
      <c r="G28" s="59"/>
      <c r="H28" s="45">
        <v>5674685.0080000004</v>
      </c>
      <c r="I28" s="44">
        <v>724379.24122000008</v>
      </c>
      <c r="J28" s="49">
        <v>440553.43148000003</v>
      </c>
      <c r="K28" s="47">
        <v>479629.67985000001</v>
      </c>
      <c r="L28" s="47">
        <v>467319.17436</v>
      </c>
      <c r="M28" s="47">
        <v>440190.07876999996</v>
      </c>
      <c r="N28" s="47">
        <v>337034.30754000001</v>
      </c>
      <c r="O28" s="47">
        <v>355660.93687999999</v>
      </c>
      <c r="P28" s="47">
        <v>414652.91749000002</v>
      </c>
      <c r="Q28" s="47">
        <v>479060.93511999998</v>
      </c>
      <c r="R28" s="47">
        <v>415607.07444</v>
      </c>
      <c r="S28" s="47">
        <v>0</v>
      </c>
      <c r="T28" s="47">
        <v>0</v>
      </c>
      <c r="U28" s="46">
        <f>SUM(I28:T28)</f>
        <v>4554087.7771499995</v>
      </c>
      <c r="V28" s="44">
        <v>6240209.3064200003</v>
      </c>
      <c r="W28" s="49">
        <v>458925.01891000004</v>
      </c>
      <c r="X28" s="45">
        <v>346662.08555999998</v>
      </c>
      <c r="Y28" s="47">
        <v>480309.75639999995</v>
      </c>
      <c r="Z28" s="47">
        <v>353650.14681999997</v>
      </c>
      <c r="AA28" s="47">
        <v>504941.19263000001</v>
      </c>
      <c r="AB28" s="45">
        <v>389420.60843000002</v>
      </c>
      <c r="AC28" s="45">
        <v>433222.00581</v>
      </c>
      <c r="AD28" s="45">
        <v>1723424.1935999999</v>
      </c>
      <c r="AE28" s="45">
        <v>427934.50442000001</v>
      </c>
      <c r="AF28" s="45">
        <v>387633.97282999998</v>
      </c>
      <c r="AG28" s="45">
        <v>354439.98926999996</v>
      </c>
      <c r="AH28" s="45">
        <v>379645.83173999999</v>
      </c>
      <c r="AI28" s="46">
        <f t="shared" ref="AI28:AI29" si="13">SUM(W28:AF28)</f>
        <v>5506123.4854100002</v>
      </c>
      <c r="AJ28" s="48"/>
      <c r="AK28" s="49"/>
      <c r="AL28" s="49"/>
      <c r="AM28" s="49"/>
      <c r="AN28" s="50">
        <f t="shared" si="9"/>
        <v>1120597.2308500009</v>
      </c>
      <c r="AO28" s="1">
        <f t="shared" si="6"/>
        <v>734085.82101000007</v>
      </c>
      <c r="AP28" s="38">
        <v>-0.43056999985128641</v>
      </c>
    </row>
    <row r="29" spans="1:42" ht="12.75" customHeight="1" x14ac:dyDescent="0.2">
      <c r="A29" s="13"/>
      <c r="E29" s="68" t="s">
        <v>45</v>
      </c>
      <c r="F29" s="68"/>
      <c r="G29" s="59"/>
      <c r="H29" s="45">
        <v>5152986.6440000003</v>
      </c>
      <c r="I29" s="44">
        <v>77805.030809999997</v>
      </c>
      <c r="J29" s="49">
        <v>383826.96955000004</v>
      </c>
      <c r="K29" s="47">
        <v>469520.89697</v>
      </c>
      <c r="L29" s="47">
        <v>533524.29497000005</v>
      </c>
      <c r="M29" s="47">
        <v>600240.43839000002</v>
      </c>
      <c r="N29" s="47">
        <v>739742.91035999998</v>
      </c>
      <c r="O29" s="47">
        <v>862691.9490599999</v>
      </c>
      <c r="P29" s="47">
        <v>942269.58227000001</v>
      </c>
      <c r="Q29" s="47">
        <v>512859.81374999997</v>
      </c>
      <c r="R29" s="47">
        <v>710191.47398000001</v>
      </c>
      <c r="S29" s="47">
        <v>0</v>
      </c>
      <c r="T29" s="47">
        <v>0</v>
      </c>
      <c r="U29" s="46">
        <f>SUM(I29:T29)</f>
        <v>5832673.3601099998</v>
      </c>
      <c r="V29" s="44">
        <v>7119627.4635800002</v>
      </c>
      <c r="W29" s="49">
        <v>623849.62127999996</v>
      </c>
      <c r="X29" s="45">
        <v>692662.59828999999</v>
      </c>
      <c r="Y29" s="47">
        <v>534639.71123000002</v>
      </c>
      <c r="Z29" s="47">
        <v>662256.92630999989</v>
      </c>
      <c r="AA29" s="47">
        <v>611276.77858000004</v>
      </c>
      <c r="AB29" s="45">
        <v>573651.28677999997</v>
      </c>
      <c r="AC29" s="45">
        <v>712443.89125999995</v>
      </c>
      <c r="AD29" s="45">
        <v>690767.03196000005</v>
      </c>
      <c r="AE29" s="45">
        <v>333012.69591000001</v>
      </c>
      <c r="AF29" s="45">
        <v>512047.80299</v>
      </c>
      <c r="AG29" s="45">
        <v>610339.20708000008</v>
      </c>
      <c r="AH29" s="45">
        <v>562679.91191000002</v>
      </c>
      <c r="AI29" s="46">
        <f t="shared" si="13"/>
        <v>5946608.3445899999</v>
      </c>
      <c r="AJ29" s="48"/>
      <c r="AK29" s="49"/>
      <c r="AL29" s="49"/>
      <c r="AM29" s="49"/>
      <c r="AN29" s="50">
        <f t="shared" si="9"/>
        <v>-679686.71610999946</v>
      </c>
      <c r="AO29" s="1">
        <f t="shared" si="6"/>
        <v>1173019.1189900003</v>
      </c>
      <c r="AP29" s="38">
        <v>0.4679500013589859</v>
      </c>
    </row>
    <row r="30" spans="1:42" ht="12.75" customHeight="1" x14ac:dyDescent="0.2">
      <c r="A30" s="13"/>
      <c r="B30" s="14" t="s">
        <v>46</v>
      </c>
      <c r="C30" s="37"/>
      <c r="E30" s="68"/>
      <c r="F30" s="68"/>
      <c r="G30" s="59"/>
      <c r="H30" s="60">
        <f t="shared" ref="H30:N30" si="14">H31+H35+H37+H46+H47+H48+H54+H55+H56+H57+H58+H59+H60+H63+H61</f>
        <v>406902676.04400009</v>
      </c>
      <c r="I30" s="70">
        <f t="shared" si="14"/>
        <v>28356908.747899994</v>
      </c>
      <c r="J30" s="70">
        <f t="shared" si="14"/>
        <v>20250969.917430002</v>
      </c>
      <c r="K30" s="60">
        <f t="shared" si="14"/>
        <v>20828640.803550001</v>
      </c>
      <c r="L30" s="60">
        <f t="shared" si="14"/>
        <v>32016682.791159999</v>
      </c>
      <c r="M30" s="60">
        <f t="shared" si="14"/>
        <v>38058942.388289988</v>
      </c>
      <c r="N30" s="60">
        <f t="shared" si="14"/>
        <v>42513455.054179981</v>
      </c>
      <c r="O30" s="60">
        <f>O31+O35+O37+O46+O47+O48+O54+O55+O56+O57+O58+O59+O60+O63+O61</f>
        <v>47983958.66038999</v>
      </c>
      <c r="P30" s="60">
        <f t="shared" ref="P30:AI30" si="15">P31+P35+P37+P46+P47+P48+P54+P55+P56+P57+P58+P59+P60+P63+P61</f>
        <v>47171696.52651</v>
      </c>
      <c r="Q30" s="60">
        <f t="shared" si="15"/>
        <v>42848327.083300009</v>
      </c>
      <c r="R30" s="60">
        <f t="shared" si="15"/>
        <v>46036676.935669996</v>
      </c>
      <c r="S30" s="60">
        <f t="shared" si="15"/>
        <v>0</v>
      </c>
      <c r="T30" s="60">
        <f t="shared" si="15"/>
        <v>0</v>
      </c>
      <c r="U30" s="71">
        <f t="shared" si="15"/>
        <v>366066258.90837991</v>
      </c>
      <c r="V30" s="60">
        <f t="shared" si="15"/>
        <v>492282787.71899015</v>
      </c>
      <c r="W30" s="60">
        <f t="shared" si="15"/>
        <v>32377446.9802</v>
      </c>
      <c r="X30" s="60">
        <f t="shared" si="15"/>
        <v>36952393.600270025</v>
      </c>
      <c r="Y30" s="60">
        <f t="shared" si="15"/>
        <v>38221349.329040006</v>
      </c>
      <c r="Z30" s="60">
        <f t="shared" si="15"/>
        <v>39714315.318700001</v>
      </c>
      <c r="AA30" s="60">
        <f t="shared" si="15"/>
        <v>38378682.190399982</v>
      </c>
      <c r="AB30" s="60">
        <f t="shared" si="15"/>
        <v>42869845.250019997</v>
      </c>
      <c r="AC30" s="60">
        <f t="shared" si="15"/>
        <v>40284335.230359994</v>
      </c>
      <c r="AD30" s="60">
        <f>AD31+AD35+AD37+AD46+AD47+AD48+AD54+AD55+AD56+AD57+AD58+AD59+AD60+AD63+AD61</f>
        <v>40722661.34173999</v>
      </c>
      <c r="AE30" s="60">
        <f t="shared" si="15"/>
        <v>42252814.115399994</v>
      </c>
      <c r="AF30" s="60">
        <f t="shared" si="15"/>
        <v>48002585.085210003</v>
      </c>
      <c r="AG30" s="60">
        <f t="shared" si="15"/>
        <v>42758806.629029997</v>
      </c>
      <c r="AH30" s="60">
        <f t="shared" si="15"/>
        <v>49734479.539840005</v>
      </c>
      <c r="AI30" s="70">
        <f t="shared" si="15"/>
        <v>399776428.44133997</v>
      </c>
      <c r="AJ30" s="67"/>
      <c r="AK30" s="61"/>
      <c r="AL30" s="61"/>
      <c r="AM30" s="61"/>
      <c r="AN30" s="43">
        <f t="shared" si="9"/>
        <v>40836417.135620177</v>
      </c>
      <c r="AO30" s="1">
        <f t="shared" si="6"/>
        <v>92506359.277650177</v>
      </c>
      <c r="AP30" s="38">
        <v>-3.0540049076080322E-2</v>
      </c>
    </row>
    <row r="31" spans="1:42" s="38" customFormat="1" ht="12.75" customHeight="1" x14ac:dyDescent="0.2">
      <c r="A31" s="50"/>
      <c r="B31" s="1"/>
      <c r="C31" s="68" t="s">
        <v>47</v>
      </c>
      <c r="D31" s="1"/>
      <c r="E31" s="1"/>
      <c r="F31" s="72"/>
      <c r="G31" s="73"/>
      <c r="H31" s="45">
        <f>+H32+H33+H34</f>
        <v>287697822.31099999</v>
      </c>
      <c r="I31" s="44">
        <f>+I32+I33+I34</f>
        <v>18776740.935239997</v>
      </c>
      <c r="J31" s="49">
        <f t="shared" ref="J31:P31" si="16">+J32+J33+J34</f>
        <v>16236146.551860001</v>
      </c>
      <c r="K31" s="45">
        <f t="shared" si="16"/>
        <v>17497398.209230002</v>
      </c>
      <c r="L31" s="47">
        <f t="shared" si="16"/>
        <v>24156555.682999998</v>
      </c>
      <c r="M31" s="47">
        <f t="shared" si="16"/>
        <v>28925326.47027</v>
      </c>
      <c r="N31" s="47">
        <f t="shared" si="16"/>
        <v>30839146.360589996</v>
      </c>
      <c r="O31" s="47">
        <f t="shared" si="16"/>
        <v>31852786.621889997</v>
      </c>
      <c r="P31" s="47">
        <f t="shared" si="16"/>
        <v>34287156.751970001</v>
      </c>
      <c r="Q31" s="47">
        <f>+Q32+Q33+Q34</f>
        <v>30755912.496950008</v>
      </c>
      <c r="R31" s="47">
        <f>+R32+R33+R34</f>
        <v>33003863.607320003</v>
      </c>
      <c r="S31" s="47">
        <v>0</v>
      </c>
      <c r="T31" s="47">
        <v>0</v>
      </c>
      <c r="U31" s="46">
        <f>+U32+U33+U34</f>
        <v>266331033.68831998</v>
      </c>
      <c r="V31" s="44">
        <f>SUM(V32:V34)</f>
        <v>346760767.35686016</v>
      </c>
      <c r="W31" s="49">
        <f t="shared" ref="W31:AH31" si="17">+W32+W33+W34</f>
        <v>19087796.203689996</v>
      </c>
      <c r="X31" s="45">
        <f t="shared" si="17"/>
        <v>26452644.209570009</v>
      </c>
      <c r="Y31" s="45">
        <f t="shared" si="17"/>
        <v>27469523.342359997</v>
      </c>
      <c r="Z31" s="47">
        <f t="shared" si="17"/>
        <v>27931003.059100002</v>
      </c>
      <c r="AA31" s="45">
        <f t="shared" si="17"/>
        <v>28309249.809279997</v>
      </c>
      <c r="AB31" s="45">
        <f t="shared" si="17"/>
        <v>31178326.168849997</v>
      </c>
      <c r="AC31" s="45">
        <f t="shared" si="17"/>
        <v>27125465.40343</v>
      </c>
      <c r="AD31" s="45">
        <f t="shared" si="17"/>
        <v>28526341.00395</v>
      </c>
      <c r="AE31" s="45">
        <f t="shared" si="17"/>
        <v>30619163.936020002</v>
      </c>
      <c r="AF31" s="45">
        <f t="shared" si="17"/>
        <v>33441736.308420002</v>
      </c>
      <c r="AG31" s="45">
        <f t="shared" si="17"/>
        <v>30419416.516730003</v>
      </c>
      <c r="AH31" s="45">
        <f t="shared" si="17"/>
        <v>36187028.286680013</v>
      </c>
      <c r="AI31" s="46">
        <f t="shared" ref="AI31:AI35" si="18">SUM(W31:AF31)</f>
        <v>280141249.44467002</v>
      </c>
      <c r="AJ31" s="48"/>
      <c r="AK31" s="49"/>
      <c r="AL31" s="49"/>
      <c r="AM31" s="49"/>
      <c r="AN31" s="50">
        <f t="shared" si="9"/>
        <v>21366788.622680008</v>
      </c>
      <c r="AO31" s="1">
        <f t="shared" si="6"/>
        <v>66619517.912190139</v>
      </c>
      <c r="AP31" s="38">
        <v>17.168430030345917</v>
      </c>
    </row>
    <row r="32" spans="1:42" s="38" customFormat="1" ht="12.75" customHeight="1" x14ac:dyDescent="0.2">
      <c r="A32" s="50"/>
      <c r="C32" s="74"/>
      <c r="D32" s="1"/>
      <c r="E32" s="75" t="s">
        <v>48</v>
      </c>
      <c r="F32" s="72"/>
      <c r="G32" s="59"/>
      <c r="H32" s="45">
        <v>365068963.93299997</v>
      </c>
      <c r="I32" s="44">
        <v>30729928.097920001</v>
      </c>
      <c r="J32" s="49">
        <v>23628213.569529999</v>
      </c>
      <c r="K32" s="47">
        <v>26987147.829450004</v>
      </c>
      <c r="L32" s="47">
        <v>33184655.828279998</v>
      </c>
      <c r="M32" s="47">
        <v>32688282.992089998</v>
      </c>
      <c r="N32" s="47">
        <v>34824457.563249998</v>
      </c>
      <c r="O32" s="47">
        <v>34283804.861469999</v>
      </c>
      <c r="P32" s="47">
        <v>35701045.356770001</v>
      </c>
      <c r="Q32" s="47">
        <v>35625227.583170004</v>
      </c>
      <c r="R32" s="47">
        <v>38701466.623580001</v>
      </c>
      <c r="S32" s="47">
        <v>0</v>
      </c>
      <c r="T32" s="47">
        <v>0</v>
      </c>
      <c r="U32" s="46">
        <f>SUM(I32:T32)</f>
        <v>326354230.30550998</v>
      </c>
      <c r="V32" s="44">
        <v>399288366.49105012</v>
      </c>
      <c r="W32" s="49">
        <v>32106002.039889999</v>
      </c>
      <c r="X32" s="45">
        <v>32788533.340090003</v>
      </c>
      <c r="Y32" s="47">
        <v>31097090.10334</v>
      </c>
      <c r="Z32" s="47">
        <v>33218205.330849998</v>
      </c>
      <c r="AA32" s="47">
        <v>32067614.14443</v>
      </c>
      <c r="AB32" s="45">
        <v>33883265.714919999</v>
      </c>
      <c r="AC32" s="45">
        <v>32588168.592829999</v>
      </c>
      <c r="AD32" s="45">
        <v>34203684.948849998</v>
      </c>
      <c r="AE32" s="45">
        <v>34614001.725600004</v>
      </c>
      <c r="AF32" s="45">
        <v>37954856.541610003</v>
      </c>
      <c r="AG32" s="45">
        <v>32000073.457700003</v>
      </c>
      <c r="AH32" s="45">
        <v>32759804.053910002</v>
      </c>
      <c r="AI32" s="46">
        <f t="shared" si="18"/>
        <v>334521422.48241007</v>
      </c>
      <c r="AJ32" s="48"/>
      <c r="AK32" s="49"/>
      <c r="AL32" s="49"/>
      <c r="AM32" s="49"/>
      <c r="AN32" s="50">
        <f t="shared" si="9"/>
        <v>38714733.627489984</v>
      </c>
      <c r="AO32" s="1">
        <f t="shared" si="6"/>
        <v>64766944.008640051</v>
      </c>
      <c r="AP32" s="38">
        <v>0.34689003229141235</v>
      </c>
    </row>
    <row r="33" spans="1:42" s="38" customFormat="1" ht="12.75" customHeight="1" x14ac:dyDescent="0.2">
      <c r="A33" s="50"/>
      <c r="C33" s="74"/>
      <c r="D33" s="1"/>
      <c r="E33" s="75" t="s">
        <v>49</v>
      </c>
      <c r="F33" s="72"/>
      <c r="G33" s="59"/>
      <c r="H33" s="45">
        <v>138001101.889</v>
      </c>
      <c r="I33" s="44">
        <v>3529370.3886099998</v>
      </c>
      <c r="J33" s="49">
        <v>11130423.847820001</v>
      </c>
      <c r="K33" s="47">
        <v>11682969.60579</v>
      </c>
      <c r="L33" s="47">
        <v>11388901.296339998</v>
      </c>
      <c r="M33" s="47">
        <v>12281816.734439999</v>
      </c>
      <c r="N33" s="47">
        <v>14412080.88515</v>
      </c>
      <c r="O33" s="47">
        <v>15675191.26237</v>
      </c>
      <c r="P33" s="47">
        <v>16503013.676609999</v>
      </c>
      <c r="Q33" s="47">
        <v>15860667.49006</v>
      </c>
      <c r="R33" s="47">
        <v>12542005.088149998</v>
      </c>
      <c r="S33" s="47">
        <v>0</v>
      </c>
      <c r="T33" s="47">
        <v>0</v>
      </c>
      <c r="U33" s="46">
        <f>SUM(I33:T33)</f>
        <v>125006440.27533999</v>
      </c>
      <c r="V33" s="44">
        <v>179987356.57670003</v>
      </c>
      <c r="W33" s="49">
        <v>4712214.7641599998</v>
      </c>
      <c r="X33" s="45">
        <v>15016547.501580002</v>
      </c>
      <c r="Y33" s="47">
        <v>14694802.62631</v>
      </c>
      <c r="Z33" s="47">
        <v>15210416.082280001</v>
      </c>
      <c r="AA33" s="47">
        <v>16752271.243469998</v>
      </c>
      <c r="AB33" s="45">
        <v>16851360.23731</v>
      </c>
      <c r="AC33" s="45">
        <v>16548049.56246</v>
      </c>
      <c r="AD33" s="45">
        <v>16186736.69562</v>
      </c>
      <c r="AE33" s="45">
        <v>14799895.336339999</v>
      </c>
      <c r="AF33" s="45">
        <v>11976843.05473</v>
      </c>
      <c r="AG33" s="45">
        <v>14437887.10369</v>
      </c>
      <c r="AH33" s="45">
        <v>22800332.368750002</v>
      </c>
      <c r="AI33" s="46">
        <f t="shared" si="18"/>
        <v>142749137.10426</v>
      </c>
      <c r="AJ33" s="48"/>
      <c r="AK33" s="49"/>
      <c r="AL33" s="49"/>
      <c r="AM33" s="49"/>
      <c r="AN33" s="50">
        <f t="shared" si="9"/>
        <v>12994661.613660008</v>
      </c>
      <c r="AO33" s="1">
        <f t="shared" si="6"/>
        <v>37238219.472440034</v>
      </c>
      <c r="AP33" s="38">
        <v>-231.0765900015831</v>
      </c>
    </row>
    <row r="34" spans="1:42" s="38" customFormat="1" ht="12.75" customHeight="1" x14ac:dyDescent="0.2">
      <c r="A34" s="50"/>
      <c r="C34" s="74"/>
      <c r="D34" s="1"/>
      <c r="E34" s="75" t="s">
        <v>50</v>
      </c>
      <c r="F34" s="72"/>
      <c r="G34" s="73"/>
      <c r="H34" s="45">
        <v>-215372243.51100001</v>
      </c>
      <c r="I34" s="44">
        <v>-15482557.551290002</v>
      </c>
      <c r="J34" s="49">
        <v>-18522490.865490001</v>
      </c>
      <c r="K34" s="47">
        <v>-21172719.226009998</v>
      </c>
      <c r="L34" s="47">
        <v>-20417001.44162</v>
      </c>
      <c r="M34" s="47">
        <v>-16044773.25626</v>
      </c>
      <c r="N34" s="47">
        <v>-18397392.087810002</v>
      </c>
      <c r="O34" s="47">
        <v>-18106209.501949999</v>
      </c>
      <c r="P34" s="47">
        <v>-17916902.281410001</v>
      </c>
      <c r="Q34" s="47">
        <v>-20729982.576279998</v>
      </c>
      <c r="R34" s="47">
        <v>-18239608.10441</v>
      </c>
      <c r="S34" s="47">
        <v>0</v>
      </c>
      <c r="T34" s="47">
        <v>0</v>
      </c>
      <c r="U34" s="46">
        <f>SUM(I34:T34)</f>
        <v>-185029636.89253002</v>
      </c>
      <c r="V34" s="44">
        <v>-232514955.71089002</v>
      </c>
      <c r="W34" s="49">
        <v>-17730420.600360002</v>
      </c>
      <c r="X34" s="45">
        <v>-21352436.632099997</v>
      </c>
      <c r="Y34" s="47">
        <v>-18322369.387290001</v>
      </c>
      <c r="Z34" s="47">
        <v>-20497618.354029998</v>
      </c>
      <c r="AA34" s="47">
        <v>-20510635.578619998</v>
      </c>
      <c r="AB34" s="45">
        <v>-19556299.783380002</v>
      </c>
      <c r="AC34" s="45">
        <v>-22010752.75186</v>
      </c>
      <c r="AD34" s="45">
        <v>-21864080.640519999</v>
      </c>
      <c r="AE34" s="45">
        <v>-18794733.125919998</v>
      </c>
      <c r="AF34" s="45">
        <v>-16489963.28792</v>
      </c>
      <c r="AG34" s="45">
        <v>-16018544.04466</v>
      </c>
      <c r="AH34" s="45">
        <v>-19373108.135979999</v>
      </c>
      <c r="AI34" s="46">
        <f t="shared" si="18"/>
        <v>-197129310.14200002</v>
      </c>
      <c r="AJ34" s="48"/>
      <c r="AK34" s="49"/>
      <c r="AL34" s="49"/>
      <c r="AM34" s="49"/>
      <c r="AN34" s="50">
        <f t="shared" si="9"/>
        <v>-30342606.618469983</v>
      </c>
      <c r="AO34" s="1">
        <f t="shared" si="6"/>
        <v>-35385645.568890005</v>
      </c>
      <c r="AP34" s="38">
        <v>247.8981299996376</v>
      </c>
    </row>
    <row r="35" spans="1:42" s="38" customFormat="1" ht="12.75" customHeight="1" x14ac:dyDescent="0.2">
      <c r="A35" s="50"/>
      <c r="B35" s="1"/>
      <c r="C35" s="68" t="s">
        <v>51</v>
      </c>
      <c r="D35" s="68"/>
      <c r="E35" s="68"/>
      <c r="F35" s="68"/>
      <c r="G35" s="59"/>
      <c r="H35" s="45">
        <v>1337.6089999999999</v>
      </c>
      <c r="I35" s="44">
        <v>92.286479999999997</v>
      </c>
      <c r="J35" s="49">
        <v>357.09545000000003</v>
      </c>
      <c r="K35" s="47">
        <v>176.53769</v>
      </c>
      <c r="L35" s="47">
        <v>68.885259999999988</v>
      </c>
      <c r="M35" s="47">
        <v>1661.1098300000001</v>
      </c>
      <c r="N35" s="47">
        <v>794.15470999999991</v>
      </c>
      <c r="O35" s="47">
        <v>362.46553</v>
      </c>
      <c r="P35" s="47">
        <v>214.13531</v>
      </c>
      <c r="Q35" s="47">
        <v>48.535129999999995</v>
      </c>
      <c r="R35" s="47">
        <v>343.37419</v>
      </c>
      <c r="S35" s="47">
        <v>0</v>
      </c>
      <c r="T35" s="47">
        <v>0</v>
      </c>
      <c r="U35" s="46">
        <f>SUM(I35:T35)</f>
        <v>4118.5795799999996</v>
      </c>
      <c r="V35" s="44">
        <v>8449.8804199999977</v>
      </c>
      <c r="W35" s="49">
        <v>864.69512999999995</v>
      </c>
      <c r="X35" s="45">
        <v>157.87732</v>
      </c>
      <c r="Y35" s="47">
        <v>76.537289999999999</v>
      </c>
      <c r="Z35" s="47">
        <v>114.95444999999999</v>
      </c>
      <c r="AA35" s="47">
        <v>12441.686609999999</v>
      </c>
      <c r="AB35" s="45">
        <v>1408.2118500000001</v>
      </c>
      <c r="AC35" s="45">
        <v>128.68188000000001</v>
      </c>
      <c r="AD35" s="45">
        <v>88.296940000000006</v>
      </c>
      <c r="AE35" s="45">
        <v>105.89149</v>
      </c>
      <c r="AF35" s="45">
        <v>479.04048</v>
      </c>
      <c r="AG35" s="45">
        <v>-7850.3513899999998</v>
      </c>
      <c r="AH35" s="45">
        <v>434.35836999999998</v>
      </c>
      <c r="AI35" s="46">
        <f t="shared" si="18"/>
        <v>15865.873439999998</v>
      </c>
      <c r="AJ35" s="48"/>
      <c r="AK35" s="49"/>
      <c r="AL35" s="49"/>
      <c r="AM35" s="49"/>
      <c r="AN35" s="50">
        <f t="shared" si="9"/>
        <v>-2780.9705799999997</v>
      </c>
      <c r="AO35" s="1">
        <f t="shared" si="6"/>
        <v>-7415.9930199999999</v>
      </c>
      <c r="AP35" s="38">
        <v>0</v>
      </c>
    </row>
    <row r="36" spans="1:42" s="38" customFormat="1" ht="12.75" customHeight="1" x14ac:dyDescent="0.2">
      <c r="A36" s="50"/>
      <c r="B36" s="1"/>
      <c r="C36" s="68"/>
      <c r="D36" s="68"/>
      <c r="E36" s="68"/>
      <c r="F36" s="68"/>
      <c r="G36" s="59"/>
      <c r="H36" s="45"/>
      <c r="I36" s="44"/>
      <c r="J36" s="49"/>
      <c r="K36" s="47"/>
      <c r="L36" s="47"/>
      <c r="M36" s="47"/>
      <c r="N36" s="47"/>
      <c r="O36" s="47"/>
      <c r="P36" s="47"/>
      <c r="Q36" s="47"/>
      <c r="R36" s="47"/>
      <c r="S36" s="47"/>
      <c r="T36" s="47"/>
      <c r="U36" s="46"/>
      <c r="V36" s="44"/>
      <c r="W36" s="49"/>
      <c r="X36" s="45"/>
      <c r="Y36" s="47"/>
      <c r="Z36" s="47"/>
      <c r="AA36" s="45"/>
      <c r="AB36" s="45"/>
      <c r="AC36" s="45"/>
      <c r="AD36" s="45"/>
      <c r="AE36" s="45"/>
      <c r="AF36" s="45"/>
      <c r="AG36" s="45"/>
      <c r="AH36" s="45"/>
      <c r="AI36" s="46"/>
      <c r="AJ36" s="48"/>
      <c r="AK36" s="49"/>
      <c r="AL36" s="49"/>
      <c r="AM36" s="49"/>
      <c r="AN36" s="50"/>
      <c r="AO36" s="1">
        <f t="shared" si="6"/>
        <v>0</v>
      </c>
      <c r="AP36" s="38">
        <v>0</v>
      </c>
    </row>
    <row r="37" spans="1:42" x14ac:dyDescent="0.2">
      <c r="A37" s="13"/>
      <c r="C37" s="1" t="s">
        <v>52</v>
      </c>
      <c r="E37" s="68"/>
      <c r="F37" s="68"/>
      <c r="G37" s="59"/>
      <c r="H37" s="76">
        <f>SUM(H38:H45)</f>
        <v>33777911.467</v>
      </c>
      <c r="I37" s="77">
        <f>SUM(I38:I45)</f>
        <v>1991407.8530100002</v>
      </c>
      <c r="J37" s="78">
        <f t="shared" ref="J37:T37" si="19">SUM(J38:J45)</f>
        <v>-332200.97429000004</v>
      </c>
      <c r="K37" s="79">
        <f t="shared" si="19"/>
        <v>563077.92375999992</v>
      </c>
      <c r="L37" s="79">
        <f t="shared" si="19"/>
        <v>1709727.8021600002</v>
      </c>
      <c r="M37" s="79">
        <f t="shared" si="19"/>
        <v>1373222.0260700001</v>
      </c>
      <c r="N37" s="79">
        <f t="shared" si="19"/>
        <v>1001956.2987799998</v>
      </c>
      <c r="O37" s="79">
        <f t="shared" si="19"/>
        <v>4188024.3445699997</v>
      </c>
      <c r="P37" s="79">
        <f t="shared" si="19"/>
        <v>4932372.628010001</v>
      </c>
      <c r="Q37" s="79">
        <f t="shared" si="19"/>
        <v>4034578.5773399994</v>
      </c>
      <c r="R37" s="79">
        <f t="shared" si="19"/>
        <v>3180587.28265</v>
      </c>
      <c r="S37" s="79">
        <f t="shared" si="19"/>
        <v>0</v>
      </c>
      <c r="T37" s="79">
        <f t="shared" si="19"/>
        <v>0</v>
      </c>
      <c r="U37" s="80">
        <f t="shared" ref="U37:U48" si="20">SUM(I37:T37)</f>
        <v>22642753.762060001</v>
      </c>
      <c r="V37" s="44">
        <f>SUM(V38:V45)</f>
        <v>46826574.018409997</v>
      </c>
      <c r="W37" s="44">
        <f t="shared" ref="W37:AH37" si="21">SUM(W38:W45)</f>
        <v>4389537.5104</v>
      </c>
      <c r="X37" s="44">
        <f t="shared" si="21"/>
        <v>2779836.8507400001</v>
      </c>
      <c r="Y37" s="44">
        <f t="shared" si="21"/>
        <v>3429317.8402999998</v>
      </c>
      <c r="Z37" s="44">
        <f t="shared" si="21"/>
        <v>3160961.4994200002</v>
      </c>
      <c r="AA37" s="44">
        <f>SUM(AA38:AA45)</f>
        <v>2848097.9539799998</v>
      </c>
      <c r="AB37" s="44">
        <f t="shared" si="21"/>
        <v>3608974.0604700008</v>
      </c>
      <c r="AC37" s="44">
        <f t="shared" si="21"/>
        <v>3735827.8779500001</v>
      </c>
      <c r="AD37" s="44">
        <f t="shared" si="21"/>
        <v>3607624.5937799998</v>
      </c>
      <c r="AE37" s="44">
        <f>SUM(AE38:AE45)</f>
        <v>4210492.1567399995</v>
      </c>
      <c r="AF37" s="44">
        <f t="shared" si="21"/>
        <v>5801217.0462600002</v>
      </c>
      <c r="AG37" s="44">
        <f t="shared" si="21"/>
        <v>4205237.7721299995</v>
      </c>
      <c r="AH37" s="44">
        <f t="shared" si="21"/>
        <v>5049448.8562400006</v>
      </c>
      <c r="AI37" s="44">
        <f t="shared" ref="AI37:AI48" si="22">SUM(W37:AF37)</f>
        <v>37571887.390040003</v>
      </c>
      <c r="AJ37" s="22"/>
      <c r="AK37" s="49"/>
      <c r="AL37" s="49"/>
      <c r="AM37" s="49"/>
      <c r="AN37" s="50">
        <f t="shared" si="9"/>
        <v>11135157.704939999</v>
      </c>
      <c r="AO37" s="1">
        <f t="shared" si="6"/>
        <v>9254686.6283699945</v>
      </c>
      <c r="AP37" s="38">
        <v>-1.8989987671375275E-2</v>
      </c>
    </row>
    <row r="38" spans="1:42" ht="12.75" customHeight="1" x14ac:dyDescent="0.2">
      <c r="A38" s="13"/>
      <c r="E38" s="68" t="s">
        <v>53</v>
      </c>
      <c r="F38" s="68"/>
      <c r="G38" s="59"/>
      <c r="H38" s="45">
        <v>11035409.926999999</v>
      </c>
      <c r="I38" s="44">
        <v>78054.261659999989</v>
      </c>
      <c r="J38" s="49">
        <v>392.34933000000001</v>
      </c>
      <c r="K38" s="47">
        <v>1985.5041799999999</v>
      </c>
      <c r="L38" s="47">
        <v>483523.78136999998</v>
      </c>
      <c r="M38" s="47">
        <v>732721.62242999999</v>
      </c>
      <c r="N38" s="47">
        <v>156914.30515999999</v>
      </c>
      <c r="O38" s="47">
        <v>1116954.7629800001</v>
      </c>
      <c r="P38" s="47">
        <v>2683153.8275700002</v>
      </c>
      <c r="Q38" s="47">
        <v>2254546.5369899999</v>
      </c>
      <c r="R38" s="47">
        <v>213222.35999</v>
      </c>
      <c r="S38" s="47">
        <v>0</v>
      </c>
      <c r="T38" s="47">
        <v>0</v>
      </c>
      <c r="U38" s="46">
        <f t="shared" si="20"/>
        <v>7721469.3116600001</v>
      </c>
      <c r="V38" s="44">
        <v>15524758.652489999</v>
      </c>
      <c r="W38" s="49">
        <v>645432.03515999997</v>
      </c>
      <c r="X38" s="45">
        <v>1336460.6933599999</v>
      </c>
      <c r="Y38" s="47">
        <v>1217578.0185699998</v>
      </c>
      <c r="Z38" s="47">
        <v>1144692.0212100002</v>
      </c>
      <c r="AA38" s="47">
        <v>1239157.7511500001</v>
      </c>
      <c r="AB38" s="45">
        <v>1311143.52498</v>
      </c>
      <c r="AC38" s="45">
        <v>1227824.49712</v>
      </c>
      <c r="AD38" s="45">
        <v>1346975.6470000001</v>
      </c>
      <c r="AE38" s="76">
        <v>1324690.7493599998</v>
      </c>
      <c r="AF38" s="45">
        <v>1474308.4417999999</v>
      </c>
      <c r="AG38" s="76">
        <v>1403663.5605200001</v>
      </c>
      <c r="AH38" s="76">
        <v>1852831.7122599999</v>
      </c>
      <c r="AI38" s="44">
        <f t="shared" si="22"/>
        <v>12268263.379709998</v>
      </c>
      <c r="AJ38" s="48"/>
      <c r="AK38" s="49"/>
      <c r="AL38" s="49"/>
      <c r="AM38" s="49"/>
      <c r="AN38" s="50">
        <f t="shared" si="9"/>
        <v>3313940.6153399991</v>
      </c>
      <c r="AO38" s="1">
        <f t="shared" si="6"/>
        <v>3256495.2727800012</v>
      </c>
      <c r="AP38" s="38">
        <v>-0.12763000279664993</v>
      </c>
    </row>
    <row r="39" spans="1:42" ht="12.75" customHeight="1" x14ac:dyDescent="0.2">
      <c r="A39" s="13"/>
      <c r="E39" s="68" t="s">
        <v>54</v>
      </c>
      <c r="F39" s="68"/>
      <c r="G39" s="59"/>
      <c r="H39" s="45">
        <v>4289.2610000000004</v>
      </c>
      <c r="I39" s="44">
        <v>425.25809999999996</v>
      </c>
      <c r="J39" s="49">
        <v>224.7467</v>
      </c>
      <c r="K39" s="47">
        <v>5.7259999999999998E-2</v>
      </c>
      <c r="L39" s="47">
        <v>509.38524999999998</v>
      </c>
      <c r="M39" s="47">
        <v>128.83141000000001</v>
      </c>
      <c r="N39" s="47">
        <v>367.59075999999999</v>
      </c>
      <c r="O39" s="47">
        <v>413.69871999999998</v>
      </c>
      <c r="P39" s="47">
        <v>373.85462000000001</v>
      </c>
      <c r="Q39" s="47">
        <v>361.72765999999996</v>
      </c>
      <c r="R39" s="47">
        <v>326.33090999999996</v>
      </c>
      <c r="S39" s="47">
        <v>0</v>
      </c>
      <c r="T39" s="47">
        <v>0</v>
      </c>
      <c r="U39" s="46">
        <f t="shared" si="20"/>
        <v>3131.4813900000004</v>
      </c>
      <c r="V39" s="44">
        <v>4365.8577800000003</v>
      </c>
      <c r="W39" s="49">
        <v>411.44488000000001</v>
      </c>
      <c r="X39" s="45">
        <v>582.59392000000003</v>
      </c>
      <c r="Y39" s="47">
        <v>379.05412999999999</v>
      </c>
      <c r="Z39" s="47">
        <v>353.22517999999997</v>
      </c>
      <c r="AA39" s="47">
        <v>366.86054999999999</v>
      </c>
      <c r="AB39" s="45">
        <v>126.39821999999999</v>
      </c>
      <c r="AC39" s="45">
        <v>550.99706000000003</v>
      </c>
      <c r="AD39" s="45">
        <v>159.62575000000001</v>
      </c>
      <c r="AE39" s="45">
        <v>314.59178000000003</v>
      </c>
      <c r="AF39" s="45">
        <v>291.13127000000003</v>
      </c>
      <c r="AG39" s="45">
        <v>312.68134000000003</v>
      </c>
      <c r="AH39" s="45">
        <v>517.25369999999998</v>
      </c>
      <c r="AI39" s="44">
        <f t="shared" si="22"/>
        <v>3535.9227400000004</v>
      </c>
      <c r="AJ39" s="48"/>
      <c r="AK39" s="49"/>
      <c r="AL39" s="49"/>
      <c r="AM39" s="49"/>
      <c r="AN39" s="50">
        <f t="shared" si="9"/>
        <v>1157.77961</v>
      </c>
      <c r="AO39" s="1">
        <f t="shared" si="6"/>
        <v>829.93503999999984</v>
      </c>
      <c r="AP39" s="38">
        <v>-0.42710999999962951</v>
      </c>
    </row>
    <row r="40" spans="1:42" s="38" customFormat="1" ht="12.75" customHeight="1" x14ac:dyDescent="0.2">
      <c r="A40" s="50"/>
      <c r="B40" s="1"/>
      <c r="C40" s="1"/>
      <c r="E40" s="68" t="s">
        <v>55</v>
      </c>
      <c r="F40" s="68"/>
      <c r="G40" s="59"/>
      <c r="H40" s="45">
        <v>4283344.7180000003</v>
      </c>
      <c r="I40" s="44">
        <v>59461.878259999998</v>
      </c>
      <c r="J40" s="49">
        <v>2032.2235900000001</v>
      </c>
      <c r="K40" s="47">
        <v>10311.17325</v>
      </c>
      <c r="L40" s="47">
        <v>139841.67874999999</v>
      </c>
      <c r="M40" s="47">
        <v>10883.90263</v>
      </c>
      <c r="N40" s="47">
        <v>60400.805850000004</v>
      </c>
      <c r="O40" s="47">
        <v>504205.09276999999</v>
      </c>
      <c r="P40" s="47">
        <v>463717.46691000002</v>
      </c>
      <c r="Q40" s="47">
        <v>605844.88520000002</v>
      </c>
      <c r="R40" s="47">
        <v>515556.80114999996</v>
      </c>
      <c r="S40" s="47">
        <v>0</v>
      </c>
      <c r="T40" s="47">
        <v>0</v>
      </c>
      <c r="U40" s="46">
        <f t="shared" si="20"/>
        <v>2372255.9083599998</v>
      </c>
      <c r="V40" s="44">
        <v>4574469.0212900005</v>
      </c>
      <c r="W40" s="49">
        <v>344650.07581999997</v>
      </c>
      <c r="X40" s="45">
        <v>311227.37400000001</v>
      </c>
      <c r="Y40" s="47">
        <v>395585.26152</v>
      </c>
      <c r="Z40" s="47">
        <v>328235.43017000001</v>
      </c>
      <c r="AA40" s="47">
        <v>19738.928079999998</v>
      </c>
      <c r="AB40" s="45">
        <v>280802.25291000004</v>
      </c>
      <c r="AC40" s="45">
        <v>375497.53158999997</v>
      </c>
      <c r="AD40" s="45">
        <v>357215.24654000002</v>
      </c>
      <c r="AE40" s="45">
        <v>512121.84948999999</v>
      </c>
      <c r="AF40" s="45">
        <v>508613.17636000004</v>
      </c>
      <c r="AG40" s="45">
        <v>795155.04833999998</v>
      </c>
      <c r="AH40" s="45">
        <v>345626.84647000005</v>
      </c>
      <c r="AI40" s="44">
        <f t="shared" si="22"/>
        <v>3433687.1264800001</v>
      </c>
      <c r="AJ40" s="48"/>
      <c r="AK40" s="49"/>
      <c r="AL40" s="49"/>
      <c r="AM40" s="49"/>
      <c r="AN40" s="50">
        <f t="shared" si="9"/>
        <v>1911088.8096400006</v>
      </c>
      <c r="AO40" s="1">
        <f t="shared" si="6"/>
        <v>1140781.8948100004</v>
      </c>
      <c r="AP40" s="38">
        <v>0.15277000050991774</v>
      </c>
    </row>
    <row r="41" spans="1:42" ht="12.75" customHeight="1" x14ac:dyDescent="0.2">
      <c r="A41" s="13"/>
      <c r="E41" s="68" t="s">
        <v>56</v>
      </c>
      <c r="F41" s="68"/>
      <c r="G41" s="59"/>
      <c r="H41" s="45">
        <v>7271730.7659999998</v>
      </c>
      <c r="I41" s="44">
        <v>452189.48809</v>
      </c>
      <c r="J41" s="49">
        <v>22998.270989999997</v>
      </c>
      <c r="K41" s="47">
        <v>530527.09701999999</v>
      </c>
      <c r="L41" s="47">
        <v>507927.39297000004</v>
      </c>
      <c r="M41" s="47">
        <v>299222.33916999999</v>
      </c>
      <c r="N41" s="47">
        <v>329870.84451999998</v>
      </c>
      <c r="O41" s="47">
        <v>742830.71201999998</v>
      </c>
      <c r="P41" s="47">
        <v>1143657.39182</v>
      </c>
      <c r="Q41" s="47">
        <v>633891.47451999993</v>
      </c>
      <c r="R41" s="47">
        <v>861471.52591999993</v>
      </c>
      <c r="S41" s="47">
        <v>0</v>
      </c>
      <c r="T41" s="47">
        <v>0</v>
      </c>
      <c r="U41" s="46">
        <f t="shared" si="20"/>
        <v>5524586.5370399999</v>
      </c>
      <c r="V41" s="44">
        <v>8994733.5919899996</v>
      </c>
      <c r="W41" s="49">
        <v>968423.40338000003</v>
      </c>
      <c r="X41" s="45">
        <v>685639.09735000005</v>
      </c>
      <c r="Y41" s="47">
        <v>708818.19360999996</v>
      </c>
      <c r="Z41" s="47">
        <v>864562.62917999993</v>
      </c>
      <c r="AA41" s="47">
        <v>443237.86310000002</v>
      </c>
      <c r="AB41" s="45">
        <v>450069.79883999994</v>
      </c>
      <c r="AC41" s="45">
        <v>782915.50820000004</v>
      </c>
      <c r="AD41" s="45">
        <v>680063.36220000009</v>
      </c>
      <c r="AE41" s="45">
        <v>727797.45153999992</v>
      </c>
      <c r="AF41" s="45">
        <v>674911.0575</v>
      </c>
      <c r="AG41" s="45">
        <v>934114.52815000003</v>
      </c>
      <c r="AH41" s="45">
        <v>1074180.69894</v>
      </c>
      <c r="AI41" s="44">
        <f t="shared" si="22"/>
        <v>6986438.3649000004</v>
      </c>
      <c r="AJ41" s="48"/>
      <c r="AK41" s="49"/>
      <c r="AL41" s="49"/>
      <c r="AM41" s="49"/>
      <c r="AN41" s="50">
        <f t="shared" si="9"/>
        <v>1747144.22896</v>
      </c>
      <c r="AO41" s="1">
        <f t="shared" si="6"/>
        <v>2008295.2270899992</v>
      </c>
      <c r="AP41" s="38">
        <v>0.15080999955534935</v>
      </c>
    </row>
    <row r="42" spans="1:42" ht="12.75" customHeight="1" x14ac:dyDescent="0.2">
      <c r="A42" s="13"/>
      <c r="E42" s="56" t="s">
        <v>57</v>
      </c>
      <c r="F42" s="56"/>
      <c r="G42" s="57"/>
      <c r="H42" s="45">
        <v>8452730.6180000007</v>
      </c>
      <c r="I42" s="44">
        <v>813649.3255700001</v>
      </c>
      <c r="J42" s="49">
        <v>4202.4741599999998</v>
      </c>
      <c r="K42" s="47">
        <v>2015.8130000000001</v>
      </c>
      <c r="L42" s="47">
        <v>67153.999580000003</v>
      </c>
      <c r="M42" s="47">
        <v>54639.81</v>
      </c>
      <c r="N42" s="47">
        <v>70572.898140000005</v>
      </c>
      <c r="O42" s="47">
        <v>1962986.4908</v>
      </c>
      <c r="P42" s="47">
        <v>526604.11269999994</v>
      </c>
      <c r="Q42" s="47">
        <v>454369.89654000005</v>
      </c>
      <c r="R42" s="47">
        <v>1159570.1090200001</v>
      </c>
      <c r="S42" s="47">
        <v>0</v>
      </c>
      <c r="T42" s="47">
        <v>0</v>
      </c>
      <c r="U42" s="46">
        <f t="shared" si="20"/>
        <v>5115764.9295100002</v>
      </c>
      <c r="V42" s="44">
        <v>13969781.7259</v>
      </c>
      <c r="W42" s="49">
        <v>1968021.7834000001</v>
      </c>
      <c r="X42" s="45">
        <v>341655.21857999999</v>
      </c>
      <c r="Y42" s="47">
        <v>706865.34465999994</v>
      </c>
      <c r="Z42" s="47">
        <v>630873.85900000005</v>
      </c>
      <c r="AA42" s="47">
        <v>891549.24364</v>
      </c>
      <c r="AB42" s="45">
        <v>1147553.56803</v>
      </c>
      <c r="AC42" s="45">
        <v>1075037.3341400002</v>
      </c>
      <c r="AD42" s="45">
        <v>1116545.6632999999</v>
      </c>
      <c r="AE42" s="45">
        <v>1127724.73465</v>
      </c>
      <c r="AF42" s="45">
        <v>2886153.3446399998</v>
      </c>
      <c r="AG42" s="45">
        <v>962185.49410999997</v>
      </c>
      <c r="AH42" s="45">
        <v>1115616.13775</v>
      </c>
      <c r="AI42" s="44">
        <f t="shared" si="22"/>
        <v>11891980.094040001</v>
      </c>
      <c r="AJ42" s="48"/>
      <c r="AK42" s="49"/>
      <c r="AL42" s="49"/>
      <c r="AM42" s="49"/>
      <c r="AN42" s="50">
        <f t="shared" si="9"/>
        <v>3336965.6884900006</v>
      </c>
      <c r="AO42" s="1">
        <f t="shared" si="6"/>
        <v>2077801.6318599992</v>
      </c>
      <c r="AP42" s="38">
        <v>-1.2929998338222504E-2</v>
      </c>
    </row>
    <row r="43" spans="1:42" ht="12.75" customHeight="1" x14ac:dyDescent="0.2">
      <c r="A43" s="13"/>
      <c r="E43" s="68" t="s">
        <v>58</v>
      </c>
      <c r="F43" s="74"/>
      <c r="G43" s="59"/>
      <c r="H43" s="45">
        <v>443812.05300000001</v>
      </c>
      <c r="I43" s="44">
        <v>122052.86167</v>
      </c>
      <c r="J43" s="49">
        <v>1675.7114099999999</v>
      </c>
      <c r="K43" s="47">
        <v>1833.711</v>
      </c>
      <c r="L43" s="47">
        <v>9587.91093</v>
      </c>
      <c r="M43" s="47">
        <v>11040.439970000001</v>
      </c>
      <c r="N43" s="47">
        <v>12029.512570000001</v>
      </c>
      <c r="O43" s="47">
        <v>88439.733699999997</v>
      </c>
      <c r="P43" s="47">
        <v>54735.244939999997</v>
      </c>
      <c r="Q43" s="47">
        <v>29323.613170000001</v>
      </c>
      <c r="R43" s="47">
        <v>41079.841799999995</v>
      </c>
      <c r="S43" s="47">
        <v>0</v>
      </c>
      <c r="T43" s="47">
        <v>0</v>
      </c>
      <c r="U43" s="46">
        <f t="shared" si="20"/>
        <v>371798.58116</v>
      </c>
      <c r="V43" s="44">
        <v>495694.30487999995</v>
      </c>
      <c r="W43" s="49">
        <v>54108.781920000001</v>
      </c>
      <c r="X43" s="45">
        <v>31660.611089999999</v>
      </c>
      <c r="Y43" s="47">
        <v>34412.940479999997</v>
      </c>
      <c r="Z43" s="47">
        <v>38793.29722</v>
      </c>
      <c r="AA43" s="47">
        <v>37301.608919999999</v>
      </c>
      <c r="AB43" s="45">
        <v>55656.1973</v>
      </c>
      <c r="AC43" s="45">
        <v>39190.156799999997</v>
      </c>
      <c r="AD43" s="45">
        <v>43690.214399999997</v>
      </c>
      <c r="AE43" s="45">
        <v>54160.801009999996</v>
      </c>
      <c r="AF43" s="45">
        <v>56834.95162</v>
      </c>
      <c r="AG43" s="45">
        <v>42652.453270000005</v>
      </c>
      <c r="AH43" s="45">
        <v>7232.2908499999994</v>
      </c>
      <c r="AI43" s="44">
        <f t="shared" si="22"/>
        <v>445809.56075999996</v>
      </c>
      <c r="AJ43" s="48"/>
      <c r="AK43" s="49"/>
      <c r="AL43" s="49"/>
      <c r="AM43" s="49"/>
      <c r="AN43" s="50">
        <f t="shared" si="9"/>
        <v>72013.471840000013</v>
      </c>
      <c r="AO43" s="1">
        <f t="shared" si="6"/>
        <v>49884.744119999988</v>
      </c>
      <c r="AP43" s="38">
        <v>0.27573999995365739</v>
      </c>
    </row>
    <row r="44" spans="1:42" ht="12.75" customHeight="1" x14ac:dyDescent="0.2">
      <c r="A44" s="13"/>
      <c r="E44" s="68" t="s">
        <v>59</v>
      </c>
      <c r="F44" s="74"/>
      <c r="G44" s="59" t="s">
        <v>60</v>
      </c>
      <c r="H44" s="45">
        <v>810323.924</v>
      </c>
      <c r="I44" s="44">
        <v>463724.63547000004</v>
      </c>
      <c r="J44" s="49">
        <v>-363726.75047000003</v>
      </c>
      <c r="K44" s="47">
        <v>16404.568050000002</v>
      </c>
      <c r="L44" s="47">
        <v>38381.618490000001</v>
      </c>
      <c r="M44" s="47">
        <v>264585.08046000003</v>
      </c>
      <c r="N44" s="47">
        <v>354138.52256000001</v>
      </c>
      <c r="O44" s="47">
        <v>-387300.35839000001</v>
      </c>
      <c r="P44" s="47">
        <v>60130.729450000006</v>
      </c>
      <c r="Q44" s="47">
        <v>56240.44326</v>
      </c>
      <c r="R44" s="47">
        <v>60721.679179999999</v>
      </c>
      <c r="S44" s="47">
        <v>0</v>
      </c>
      <c r="T44" s="47">
        <v>0</v>
      </c>
      <c r="U44" s="46">
        <f t="shared" si="20"/>
        <v>563300.16805999994</v>
      </c>
      <c r="V44" s="44">
        <v>825672.58494999993</v>
      </c>
      <c r="W44" s="49">
        <v>64585.994009999995</v>
      </c>
      <c r="X44" s="45">
        <v>72611.262439999991</v>
      </c>
      <c r="Y44" s="47">
        <v>71939.046860000002</v>
      </c>
      <c r="Z44" s="47">
        <v>69202.47368000001</v>
      </c>
      <c r="AA44" s="47">
        <v>67757.232629999999</v>
      </c>
      <c r="AB44" s="45">
        <v>71545.808239999998</v>
      </c>
      <c r="AC44" s="45">
        <v>66182.183090000006</v>
      </c>
      <c r="AD44" s="45">
        <v>62974.834590000006</v>
      </c>
      <c r="AE44" s="45">
        <v>69292.204599999997</v>
      </c>
      <c r="AF44" s="45">
        <v>75850.491330000004</v>
      </c>
      <c r="AG44" s="45">
        <v>67154.006400000013</v>
      </c>
      <c r="AH44" s="45">
        <v>66577.047080000004</v>
      </c>
      <c r="AI44" s="44">
        <f t="shared" si="22"/>
        <v>691941.53146999993</v>
      </c>
      <c r="AJ44" s="48"/>
      <c r="AK44" s="49"/>
      <c r="AL44" s="49"/>
      <c r="AM44" s="49"/>
      <c r="AN44" s="50">
        <f t="shared" si="9"/>
        <v>247023.75594000006</v>
      </c>
      <c r="AO44" s="1">
        <f t="shared" si="6"/>
        <v>133731.05348</v>
      </c>
      <c r="AP44" s="38">
        <v>0.35910000000149012</v>
      </c>
    </row>
    <row r="45" spans="1:42" ht="12.75" customHeight="1" x14ac:dyDescent="0.2">
      <c r="A45" s="13"/>
      <c r="E45" s="51" t="s">
        <v>61</v>
      </c>
      <c r="F45" s="51"/>
      <c r="G45" s="59" t="s">
        <v>62</v>
      </c>
      <c r="H45" s="76">
        <v>1476270.2</v>
      </c>
      <c r="I45" s="77">
        <v>1850.14419</v>
      </c>
      <c r="J45" s="78">
        <v>0</v>
      </c>
      <c r="K45" s="79">
        <v>0</v>
      </c>
      <c r="L45" s="79">
        <v>462802.03482</v>
      </c>
      <c r="M45" s="79">
        <v>0</v>
      </c>
      <c r="N45" s="79">
        <v>17661.819219999998</v>
      </c>
      <c r="O45" s="79">
        <v>159494.21197</v>
      </c>
      <c r="P45" s="79">
        <v>0</v>
      </c>
      <c r="Q45" s="79">
        <v>0</v>
      </c>
      <c r="R45" s="79">
        <v>328638.63468000002</v>
      </c>
      <c r="S45" s="79">
        <v>0</v>
      </c>
      <c r="T45" s="79">
        <v>0</v>
      </c>
      <c r="U45" s="80">
        <f t="shared" si="20"/>
        <v>970446.84488000011</v>
      </c>
      <c r="V45" s="77">
        <v>2437098.2791300002</v>
      </c>
      <c r="W45" s="49">
        <v>343903.99182999996</v>
      </c>
      <c r="X45" s="76">
        <v>0</v>
      </c>
      <c r="Y45" s="79">
        <v>293739.98047000001</v>
      </c>
      <c r="Z45" s="79">
        <v>84248.563779999997</v>
      </c>
      <c r="AA45" s="47">
        <v>148988.46591</v>
      </c>
      <c r="AB45" s="76">
        <v>292076.51195000001</v>
      </c>
      <c r="AC45" s="76">
        <v>168629.66994999998</v>
      </c>
      <c r="AD45" s="76">
        <v>0</v>
      </c>
      <c r="AE45" s="45">
        <v>394389.77431000001</v>
      </c>
      <c r="AF45" s="76">
        <v>124254.45173999999</v>
      </c>
      <c r="AG45" s="45">
        <v>0</v>
      </c>
      <c r="AH45" s="45">
        <v>586866.86919000011</v>
      </c>
      <c r="AI45" s="44">
        <f t="shared" si="22"/>
        <v>1850231.4099399999</v>
      </c>
      <c r="AJ45" s="48"/>
      <c r="AK45" s="49"/>
      <c r="AL45" s="49"/>
      <c r="AM45" s="49"/>
      <c r="AN45" s="50">
        <f t="shared" si="9"/>
        <v>505823.35511999985</v>
      </c>
      <c r="AO45" s="1">
        <f t="shared" si="6"/>
        <v>586866.86919000023</v>
      </c>
      <c r="AP45" s="38">
        <v>-0.38974000001326203</v>
      </c>
    </row>
    <row r="46" spans="1:42" ht="12.75" customHeight="1" x14ac:dyDescent="0.2">
      <c r="A46" s="13"/>
      <c r="C46" s="1" t="s">
        <v>63</v>
      </c>
      <c r="F46" s="74"/>
      <c r="G46" s="59"/>
      <c r="H46" s="45">
        <v>3201639.628</v>
      </c>
      <c r="I46" s="44">
        <v>822372.64898000006</v>
      </c>
      <c r="J46" s="49">
        <v>5065.5160199999991</v>
      </c>
      <c r="K46" s="47">
        <v>9728.25641</v>
      </c>
      <c r="L46" s="47">
        <v>414007.68244999996</v>
      </c>
      <c r="M46" s="47">
        <v>166.27601000000001</v>
      </c>
      <c r="N46" s="47">
        <v>1550.9545500000002</v>
      </c>
      <c r="O46" s="47">
        <v>895232.56822000002</v>
      </c>
      <c r="P46" s="47">
        <v>6643.6721600000001</v>
      </c>
      <c r="Q46" s="47">
        <v>-256.33217000000002</v>
      </c>
      <c r="R46" s="47">
        <v>1173280.79853</v>
      </c>
      <c r="S46" s="47">
        <v>0</v>
      </c>
      <c r="T46" s="47">
        <v>0</v>
      </c>
      <c r="U46" s="46">
        <f t="shared" si="20"/>
        <v>3327792.0411600005</v>
      </c>
      <c r="V46" s="44">
        <v>4124241.25648</v>
      </c>
      <c r="W46" s="49">
        <v>1001040.9323300001</v>
      </c>
      <c r="X46" s="45">
        <v>477.95976999999999</v>
      </c>
      <c r="Y46" s="47">
        <v>157.18648000000002</v>
      </c>
      <c r="Z46" s="47">
        <v>1056079.91775</v>
      </c>
      <c r="AA46" s="47">
        <v>19829.603059999998</v>
      </c>
      <c r="AB46" s="45">
        <v>1730.0260600000001</v>
      </c>
      <c r="AC46" s="45">
        <v>1162707.3327800001</v>
      </c>
      <c r="AD46" s="45">
        <v>230.40851999999998</v>
      </c>
      <c r="AE46" s="76">
        <v>1103.14797</v>
      </c>
      <c r="AF46" s="45">
        <v>877230.24240999995</v>
      </c>
      <c r="AG46" s="76">
        <v>3035.86555</v>
      </c>
      <c r="AH46" s="76">
        <v>618.63380000000006</v>
      </c>
      <c r="AI46" s="44">
        <f t="shared" si="22"/>
        <v>4120586.7571299998</v>
      </c>
      <c r="AJ46" s="48"/>
      <c r="AK46" s="49"/>
      <c r="AL46" s="49"/>
      <c r="AM46" s="49"/>
      <c r="AN46" s="50">
        <f t="shared" si="9"/>
        <v>-126152.41316000046</v>
      </c>
      <c r="AO46" s="1">
        <f t="shared" si="6"/>
        <v>3654.4993500001729</v>
      </c>
      <c r="AP46" s="38">
        <v>-0.32648999989032745</v>
      </c>
    </row>
    <row r="47" spans="1:42" ht="12.75" customHeight="1" x14ac:dyDescent="0.2">
      <c r="A47" s="13"/>
      <c r="C47" s="1" t="s">
        <v>64</v>
      </c>
      <c r="F47" s="74"/>
      <c r="G47" s="59"/>
      <c r="H47" s="45">
        <v>2076036.676</v>
      </c>
      <c r="I47" s="44">
        <v>185135.75828000001</v>
      </c>
      <c r="J47" s="49">
        <v>113348.94443999999</v>
      </c>
      <c r="K47" s="47">
        <v>109092.40106</v>
      </c>
      <c r="L47" s="47">
        <v>124980.42164</v>
      </c>
      <c r="M47" s="47">
        <v>134741.58343999999</v>
      </c>
      <c r="N47" s="47">
        <v>156124.90093</v>
      </c>
      <c r="O47" s="47">
        <v>188449.44688999999</v>
      </c>
      <c r="P47" s="47">
        <v>217916.20838999999</v>
      </c>
      <c r="Q47" s="47">
        <v>210652.12862</v>
      </c>
      <c r="R47" s="47">
        <v>234443.85879</v>
      </c>
      <c r="S47" s="47">
        <v>0</v>
      </c>
      <c r="T47" s="47">
        <v>0</v>
      </c>
      <c r="U47" s="46">
        <f t="shared" si="20"/>
        <v>1674885.6524799999</v>
      </c>
      <c r="V47" s="44">
        <v>2446183.8920800001</v>
      </c>
      <c r="W47" s="49">
        <v>266056.59428000002</v>
      </c>
      <c r="X47" s="45">
        <v>219161.63021</v>
      </c>
      <c r="Y47" s="47">
        <v>208877.07261</v>
      </c>
      <c r="Z47" s="47">
        <v>168243.80935</v>
      </c>
      <c r="AA47" s="47">
        <v>186100.34221</v>
      </c>
      <c r="AB47" s="45">
        <v>216506.90796000001</v>
      </c>
      <c r="AC47" s="45">
        <v>188563.25603999998</v>
      </c>
      <c r="AD47" s="45">
        <v>217177.56147999997</v>
      </c>
      <c r="AE47" s="45">
        <v>234267.22955000002</v>
      </c>
      <c r="AF47" s="45">
        <v>221762.50435</v>
      </c>
      <c r="AG47" s="45">
        <v>157888.63480999999</v>
      </c>
      <c r="AH47" s="45">
        <v>161578.34922999999</v>
      </c>
      <c r="AI47" s="44">
        <f t="shared" si="22"/>
        <v>2126716.9080400001</v>
      </c>
      <c r="AJ47" s="48"/>
      <c r="AK47" s="49"/>
      <c r="AL47" s="49"/>
      <c r="AM47" s="49"/>
      <c r="AN47" s="50">
        <f t="shared" si="9"/>
        <v>401151.02352000005</v>
      </c>
      <c r="AO47" s="1">
        <f t="shared" si="6"/>
        <v>319466.98404000001</v>
      </c>
      <c r="AP47" s="38">
        <v>0</v>
      </c>
    </row>
    <row r="48" spans="1:42" ht="12.75" customHeight="1" x14ac:dyDescent="0.2">
      <c r="A48" s="13"/>
      <c r="C48" s="1" t="s">
        <v>65</v>
      </c>
      <c r="F48" s="74"/>
      <c r="G48" s="59"/>
      <c r="H48" s="45">
        <v>68383890.637000009</v>
      </c>
      <c r="I48" s="44">
        <v>5701916.3850499997</v>
      </c>
      <c r="J48" s="49">
        <v>3646380.0375699997</v>
      </c>
      <c r="K48" s="47">
        <v>1833329.8482299997</v>
      </c>
      <c r="L48" s="47">
        <v>4773113.7970500002</v>
      </c>
      <c r="M48" s="47">
        <v>6807650.8402999993</v>
      </c>
      <c r="N48" s="47">
        <v>9500649.9982699994</v>
      </c>
      <c r="O48" s="47">
        <v>9339581.0962899979</v>
      </c>
      <c r="P48" s="47">
        <v>6652096.6077399999</v>
      </c>
      <c r="Q48" s="47">
        <v>6796289.2272900008</v>
      </c>
      <c r="R48" s="47">
        <v>7428417.7116099996</v>
      </c>
      <c r="S48" s="47">
        <v>0</v>
      </c>
      <c r="T48" s="47">
        <v>0</v>
      </c>
      <c r="U48" s="46">
        <f t="shared" si="20"/>
        <v>62479425.549399994</v>
      </c>
      <c r="V48" s="44">
        <v>80175160.064259991</v>
      </c>
      <c r="W48" s="49">
        <v>6640862.1658100002</v>
      </c>
      <c r="X48" s="45">
        <v>6614292.1899699997</v>
      </c>
      <c r="Y48" s="47">
        <v>6106205.0218799999</v>
      </c>
      <c r="Z48" s="47">
        <v>6269229.05198</v>
      </c>
      <c r="AA48" s="45">
        <f>6035766.99021</f>
        <v>6035766.9902100004</v>
      </c>
      <c r="AB48" s="45">
        <v>6857348.6157200001</v>
      </c>
      <c r="AC48" s="45">
        <v>6976445.9132900005</v>
      </c>
      <c r="AD48" s="45">
        <v>7311236.0746500008</v>
      </c>
      <c r="AE48" s="45">
        <v>6210686.7699200008</v>
      </c>
      <c r="AF48" s="45">
        <v>6678475.5081499992</v>
      </c>
      <c r="AG48" s="45">
        <v>7103085.8110100003</v>
      </c>
      <c r="AH48" s="45">
        <v>7371525.9516699994</v>
      </c>
      <c r="AI48" s="44">
        <f t="shared" si="22"/>
        <v>65700548.301579989</v>
      </c>
      <c r="AJ48" s="48"/>
      <c r="AK48" s="49"/>
      <c r="AL48" s="49"/>
      <c r="AM48" s="49"/>
      <c r="AN48" s="50">
        <f t="shared" si="9"/>
        <v>5904465.0876000151</v>
      </c>
      <c r="AO48" s="1">
        <f t="shared" si="6"/>
        <v>14474611.762680002</v>
      </c>
      <c r="AP48" s="38">
        <v>-16.673299998044968</v>
      </c>
    </row>
    <row r="49" spans="1:42" ht="12.75" customHeight="1" x14ac:dyDescent="0.2">
      <c r="A49" s="13"/>
      <c r="E49" s="81" t="s">
        <v>66</v>
      </c>
      <c r="F49" s="74"/>
      <c r="G49" s="59"/>
      <c r="H49" s="45"/>
      <c r="I49" s="44"/>
      <c r="J49" s="49"/>
      <c r="K49" s="47"/>
      <c r="L49" s="47"/>
      <c r="M49" s="47"/>
      <c r="N49" s="47"/>
      <c r="O49" s="47"/>
      <c r="P49" s="47"/>
      <c r="Q49" s="47"/>
      <c r="R49" s="47"/>
      <c r="S49" s="47"/>
      <c r="T49" s="47"/>
      <c r="U49" s="46"/>
      <c r="V49" s="44"/>
      <c r="W49" s="49"/>
      <c r="X49" s="45"/>
      <c r="Y49" s="47"/>
      <c r="Z49" s="47"/>
      <c r="AA49" s="45"/>
      <c r="AB49" s="45"/>
      <c r="AC49" s="45"/>
      <c r="AD49" s="45"/>
      <c r="AF49" s="45"/>
      <c r="AG49" s="45"/>
      <c r="AH49" s="45"/>
      <c r="AI49" s="46"/>
      <c r="AJ49" s="48"/>
      <c r="AK49" s="49"/>
      <c r="AL49" s="49"/>
      <c r="AM49" s="49"/>
      <c r="AN49" s="50"/>
      <c r="AO49" s="1">
        <f t="shared" si="6"/>
        <v>0</v>
      </c>
      <c r="AP49" s="38">
        <v>0</v>
      </c>
    </row>
    <row r="50" spans="1:42" s="38" customFormat="1" ht="12.75" customHeight="1" x14ac:dyDescent="0.2">
      <c r="A50" s="50"/>
      <c r="E50" s="38" t="s">
        <v>67</v>
      </c>
      <c r="F50" s="74"/>
      <c r="G50" s="59"/>
      <c r="H50" s="82">
        <f t="shared" ref="H50:R50" si="23">SUM(H51:H52)</f>
        <v>1241727.442</v>
      </c>
      <c r="I50" s="15">
        <f t="shared" si="23"/>
        <v>121508.67478999999</v>
      </c>
      <c r="J50" s="49">
        <f t="shared" si="23"/>
        <v>84551.576229999991</v>
      </c>
      <c r="K50" s="47">
        <f t="shared" si="23"/>
        <v>46962.2958</v>
      </c>
      <c r="L50" s="82">
        <f t="shared" si="23"/>
        <v>104872.55524</v>
      </c>
      <c r="M50" s="83">
        <f t="shared" si="23"/>
        <v>151952.50563999999</v>
      </c>
      <c r="N50" s="83">
        <f t="shared" si="23"/>
        <v>168070.07587</v>
      </c>
      <c r="O50" s="83">
        <f t="shared" si="23"/>
        <v>189099.96143</v>
      </c>
      <c r="P50" s="83">
        <f t="shared" si="23"/>
        <v>141508.16481000002</v>
      </c>
      <c r="Q50" s="83">
        <f t="shared" si="23"/>
        <v>140257.82496999999</v>
      </c>
      <c r="R50" s="83">
        <f t="shared" si="23"/>
        <v>152619.83791</v>
      </c>
      <c r="S50" s="83">
        <v>0</v>
      </c>
      <c r="T50" s="83">
        <v>0</v>
      </c>
      <c r="U50" s="84">
        <f>SUM(U51:U52)</f>
        <v>1301403.47269</v>
      </c>
      <c r="V50" s="15">
        <v>1287284.94786</v>
      </c>
      <c r="W50" s="85">
        <v>0</v>
      </c>
      <c r="X50" s="82">
        <f t="shared" ref="X50:AH50" si="24">SUM(X51:X52)</f>
        <v>0</v>
      </c>
      <c r="Y50" s="83">
        <f t="shared" si="24"/>
        <v>3255.27936</v>
      </c>
      <c r="Z50" s="83">
        <f t="shared" si="24"/>
        <v>15660.22831</v>
      </c>
      <c r="AA50" s="82">
        <f t="shared" si="24"/>
        <v>65124.925879999995</v>
      </c>
      <c r="AB50" s="82">
        <f t="shared" si="24"/>
        <v>135016.89245000001</v>
      </c>
      <c r="AC50" s="82">
        <f t="shared" si="24"/>
        <v>283965.05514000001</v>
      </c>
      <c r="AD50" s="82">
        <f t="shared" si="24"/>
        <v>154274.30668000001</v>
      </c>
      <c r="AE50" s="82">
        <f t="shared" si="24"/>
        <v>152960.67767</v>
      </c>
      <c r="AF50" s="82">
        <f t="shared" si="24"/>
        <v>147348.14661999998</v>
      </c>
      <c r="AG50" s="82">
        <f t="shared" si="24"/>
        <v>158820.49348</v>
      </c>
      <c r="AH50" s="82">
        <f t="shared" si="24"/>
        <v>170858.94227</v>
      </c>
      <c r="AI50" s="84">
        <f t="shared" ref="AI50:AI52" si="25">SUM(W50:AF50)</f>
        <v>957605.51211000001</v>
      </c>
      <c r="AJ50" s="86"/>
      <c r="AK50" s="85"/>
      <c r="AL50" s="85"/>
      <c r="AM50" s="85"/>
      <c r="AN50" s="50">
        <f t="shared" si="9"/>
        <v>-59676.030689999927</v>
      </c>
      <c r="AO50" s="1">
        <f t="shared" si="6"/>
        <v>329679.43574999995</v>
      </c>
      <c r="AP50" s="38">
        <v>0</v>
      </c>
    </row>
    <row r="51" spans="1:42" s="38" customFormat="1" ht="12.75" customHeight="1" x14ac:dyDescent="0.2">
      <c r="A51" s="50"/>
      <c r="E51" s="87" t="s">
        <v>68</v>
      </c>
      <c r="F51" s="74"/>
      <c r="G51" s="59"/>
      <c r="H51" s="82">
        <v>1025165.618</v>
      </c>
      <c r="I51" s="15">
        <v>111705.54444</v>
      </c>
      <c r="J51" s="85">
        <v>75853.334739999991</v>
      </c>
      <c r="K51" s="83">
        <v>34498.877</v>
      </c>
      <c r="L51" s="83">
        <v>81014.502160000004</v>
      </c>
      <c r="M51" s="83">
        <v>119220.27217</v>
      </c>
      <c r="N51" s="83">
        <v>137393.81875000001</v>
      </c>
      <c r="O51" s="83">
        <v>164835.85774000001</v>
      </c>
      <c r="P51" s="83">
        <v>123043.38761000001</v>
      </c>
      <c r="Q51" s="83">
        <v>117831.72095999999</v>
      </c>
      <c r="R51" s="83">
        <v>123670.26723</v>
      </c>
      <c r="S51" s="83">
        <v>0</v>
      </c>
      <c r="T51" s="83">
        <v>0</v>
      </c>
      <c r="U51" s="84">
        <f>SUM(I51:T51)</f>
        <v>1089067.5828</v>
      </c>
      <c r="V51" s="15">
        <v>1092715.37216</v>
      </c>
      <c r="W51" s="85">
        <v>0</v>
      </c>
      <c r="X51" s="82">
        <v>0</v>
      </c>
      <c r="Y51" s="88">
        <v>0</v>
      </c>
      <c r="Z51" s="88">
        <v>0</v>
      </c>
      <c r="AA51" s="82">
        <v>51884.600989999999</v>
      </c>
      <c r="AB51" s="82">
        <v>116451.20586</v>
      </c>
      <c r="AC51" s="82">
        <v>256103.40635</v>
      </c>
      <c r="AD51" s="82">
        <v>134264.75219</v>
      </c>
      <c r="AE51" s="82">
        <v>139629.97080000001</v>
      </c>
      <c r="AF51" s="82">
        <v>133684.01535999999</v>
      </c>
      <c r="AG51" s="38">
        <v>129730.63045</v>
      </c>
      <c r="AH51" s="82">
        <v>130966.79015999999</v>
      </c>
      <c r="AI51" s="84">
        <f t="shared" si="25"/>
        <v>832017.95155</v>
      </c>
      <c r="AJ51" s="86"/>
      <c r="AK51" s="85"/>
      <c r="AL51" s="85"/>
      <c r="AM51" s="85"/>
      <c r="AN51" s="50"/>
      <c r="AO51" s="1">
        <f t="shared" si="6"/>
        <v>260697.42061000003</v>
      </c>
      <c r="AP51" s="38">
        <v>0</v>
      </c>
    </row>
    <row r="52" spans="1:42" s="38" customFormat="1" ht="12.75" customHeight="1" x14ac:dyDescent="0.2">
      <c r="A52" s="50"/>
      <c r="E52" s="87" t="s">
        <v>69</v>
      </c>
      <c r="F52" s="74"/>
      <c r="G52" s="59"/>
      <c r="H52" s="88">
        <v>216561.82399999999</v>
      </c>
      <c r="I52" s="89">
        <v>9803.1303499999995</v>
      </c>
      <c r="J52" s="89">
        <v>8698.2414900000003</v>
      </c>
      <c r="K52" s="88">
        <v>12463.418800000001</v>
      </c>
      <c r="L52" s="88">
        <v>23858.053079999998</v>
      </c>
      <c r="M52" s="88">
        <v>32732.233469999999</v>
      </c>
      <c r="N52" s="88">
        <v>30676.257120000002</v>
      </c>
      <c r="O52" s="88">
        <v>24264.10369</v>
      </c>
      <c r="P52" s="88">
        <v>18464.7772</v>
      </c>
      <c r="Q52" s="88">
        <v>22426.104010000003</v>
      </c>
      <c r="R52" s="88">
        <v>28949.570680000001</v>
      </c>
      <c r="S52" s="88">
        <v>0</v>
      </c>
      <c r="T52" s="88">
        <v>0</v>
      </c>
      <c r="U52" s="90">
        <f>SUM(I52:T52)</f>
        <v>212335.88989000002</v>
      </c>
      <c r="V52" s="89">
        <v>194569.57569999999</v>
      </c>
      <c r="W52" s="85">
        <v>0</v>
      </c>
      <c r="X52" s="88">
        <v>0</v>
      </c>
      <c r="Y52" s="83">
        <v>3255.27936</v>
      </c>
      <c r="Z52" s="83">
        <v>15660.22831</v>
      </c>
      <c r="AA52" s="88">
        <v>13240.32489</v>
      </c>
      <c r="AB52" s="88">
        <v>18565.686590000001</v>
      </c>
      <c r="AC52" s="88">
        <v>27861.648789999999</v>
      </c>
      <c r="AD52" s="88">
        <v>20009.554489999999</v>
      </c>
      <c r="AE52" s="88">
        <v>13330.70687</v>
      </c>
      <c r="AF52" s="88">
        <v>13664.13126</v>
      </c>
      <c r="AG52" s="38">
        <v>29089.86303</v>
      </c>
      <c r="AH52" s="88">
        <v>39892.152110000003</v>
      </c>
      <c r="AI52" s="84">
        <f t="shared" si="25"/>
        <v>125587.56055999998</v>
      </c>
      <c r="AJ52" s="86"/>
      <c r="AK52" s="85"/>
      <c r="AL52" s="85"/>
      <c r="AM52" s="85"/>
      <c r="AN52" s="50">
        <f t="shared" si="9"/>
        <v>4225.9341099999729</v>
      </c>
      <c r="AO52" s="1">
        <f t="shared" si="6"/>
        <v>68982.015140000003</v>
      </c>
      <c r="AP52" s="38">
        <v>0</v>
      </c>
    </row>
    <row r="53" spans="1:42" ht="12.75" customHeight="1" x14ac:dyDescent="0.2">
      <c r="A53" s="13"/>
      <c r="C53" s="51" t="s">
        <v>70</v>
      </c>
      <c r="D53" s="51"/>
      <c r="E53" s="51"/>
      <c r="F53" s="51"/>
      <c r="G53" s="52"/>
      <c r="H53" s="45"/>
      <c r="I53" s="44"/>
      <c r="J53" s="49"/>
      <c r="K53" s="47"/>
      <c r="L53" s="47"/>
      <c r="M53" s="47"/>
      <c r="N53" s="47"/>
      <c r="O53" s="47"/>
      <c r="P53" s="47"/>
      <c r="Q53" s="47"/>
      <c r="R53" s="47"/>
      <c r="S53" s="47"/>
      <c r="T53" s="47"/>
      <c r="U53" s="46"/>
      <c r="V53" s="44"/>
      <c r="W53" s="49"/>
      <c r="X53" s="45"/>
      <c r="Y53" s="47"/>
      <c r="Z53" s="47"/>
      <c r="AA53" s="45"/>
      <c r="AB53" s="45"/>
      <c r="AC53" s="45"/>
      <c r="AD53" s="45"/>
      <c r="AE53" s="45"/>
      <c r="AF53" s="45"/>
      <c r="AH53" s="45"/>
      <c r="AI53" s="46"/>
      <c r="AJ53" s="48"/>
      <c r="AK53" s="49"/>
      <c r="AL53" s="49"/>
      <c r="AM53" s="49"/>
      <c r="AN53" s="50">
        <f t="shared" si="9"/>
        <v>0</v>
      </c>
      <c r="AO53" s="1">
        <f t="shared" si="6"/>
        <v>0</v>
      </c>
      <c r="AP53" s="38">
        <v>0</v>
      </c>
    </row>
    <row r="54" spans="1:42" ht="12.75" customHeight="1" x14ac:dyDescent="0.2">
      <c r="A54" s="13"/>
      <c r="E54" s="68" t="s">
        <v>71</v>
      </c>
      <c r="F54" s="68"/>
      <c r="G54" s="59"/>
      <c r="H54" s="45">
        <v>180720.30300000001</v>
      </c>
      <c r="I54" s="44">
        <v>44499.3</v>
      </c>
      <c r="J54" s="49">
        <v>7339.5190000000002</v>
      </c>
      <c r="K54" s="47">
        <v>9838.8181100000002</v>
      </c>
      <c r="L54" s="47">
        <v>2593.24125</v>
      </c>
      <c r="M54" s="47">
        <v>2419.38679</v>
      </c>
      <c r="N54" s="47">
        <v>2911.0088799999999</v>
      </c>
      <c r="O54" s="47">
        <v>2404.6863699999999</v>
      </c>
      <c r="P54" s="47">
        <v>8588.8708299999998</v>
      </c>
      <c r="Q54" s="47">
        <v>11949.722390000001</v>
      </c>
      <c r="R54" s="47">
        <v>19352.721219999999</v>
      </c>
      <c r="S54" s="47">
        <v>0</v>
      </c>
      <c r="T54" s="47">
        <v>0</v>
      </c>
      <c r="U54" s="46">
        <f t="shared" ref="U54:U63" si="26">SUM(I54:T54)</f>
        <v>111897.27484</v>
      </c>
      <c r="V54" s="44">
        <v>1068258.39194</v>
      </c>
      <c r="W54" s="49">
        <v>101134.07089</v>
      </c>
      <c r="X54" s="45">
        <v>88456.650020000001</v>
      </c>
      <c r="Y54" s="47">
        <v>79895.462639999998</v>
      </c>
      <c r="Z54" s="47">
        <v>89968.693189999991</v>
      </c>
      <c r="AA54" s="47">
        <v>78624.689760000008</v>
      </c>
      <c r="AB54" s="45">
        <v>97444.078309999997</v>
      </c>
      <c r="AC54" s="45">
        <v>90797.060430000012</v>
      </c>
      <c r="AD54" s="45">
        <v>87744.328480000011</v>
      </c>
      <c r="AE54" s="45">
        <v>74769.74166</v>
      </c>
      <c r="AF54" s="45">
        <v>93965.362790000014</v>
      </c>
      <c r="AG54" s="82">
        <v>104745.30426999999</v>
      </c>
      <c r="AH54" s="45">
        <v>80712.949500000002</v>
      </c>
      <c r="AI54" s="46">
        <f t="shared" ref="AI54:AI61" si="27">SUM(W54:AF54)</f>
        <v>882800.13817000005</v>
      </c>
      <c r="AJ54" s="48"/>
      <c r="AK54" s="49"/>
      <c r="AL54" s="49"/>
      <c r="AM54" s="49"/>
      <c r="AN54" s="50">
        <f t="shared" si="9"/>
        <v>68823.028160000016</v>
      </c>
      <c r="AO54" s="1">
        <f t="shared" si="6"/>
        <v>185458.25376999995</v>
      </c>
      <c r="AP54" s="38">
        <v>-0.26537999999709427</v>
      </c>
    </row>
    <row r="55" spans="1:42" ht="12.75" customHeight="1" x14ac:dyDescent="0.2">
      <c r="A55" s="13"/>
      <c r="E55" s="68" t="s">
        <v>72</v>
      </c>
      <c r="F55" s="68"/>
      <c r="G55" s="59"/>
      <c r="H55" s="76">
        <v>353340.50400000002</v>
      </c>
      <c r="I55" s="77">
        <v>2102.3136199999999</v>
      </c>
      <c r="J55" s="78">
        <v>4279.8074500000002</v>
      </c>
      <c r="K55" s="79">
        <v>105062.09069</v>
      </c>
      <c r="L55" s="79">
        <v>1330.6143999999999</v>
      </c>
      <c r="M55" s="79">
        <v>1374.28125</v>
      </c>
      <c r="N55" s="79">
        <v>140826.21997999999</v>
      </c>
      <c r="O55" s="79">
        <v>1433.5246499999998</v>
      </c>
      <c r="P55" s="79">
        <v>1392.76125</v>
      </c>
      <c r="Q55" s="79">
        <v>178558.00097999998</v>
      </c>
      <c r="R55" s="79">
        <v>5178.6430599999994</v>
      </c>
      <c r="S55" s="79">
        <v>0</v>
      </c>
      <c r="T55" s="79">
        <v>0</v>
      </c>
      <c r="U55" s="80">
        <f t="shared" si="26"/>
        <v>441538.25732999999</v>
      </c>
      <c r="V55" s="77">
        <v>317897.40741999994</v>
      </c>
      <c r="W55" s="49">
        <v>360.00211999999999</v>
      </c>
      <c r="X55" s="76">
        <v>1533.06378</v>
      </c>
      <c r="Y55" s="79">
        <v>79889.292019999993</v>
      </c>
      <c r="Z55" s="79">
        <v>6341.1352000000006</v>
      </c>
      <c r="AA55" s="79">
        <v>807.73906999999997</v>
      </c>
      <c r="AB55" s="76">
        <v>72062.041319999989</v>
      </c>
      <c r="AC55" s="76">
        <v>865.00909000000001</v>
      </c>
      <c r="AD55" s="76">
        <v>757.45093000000008</v>
      </c>
      <c r="AE55" s="76">
        <v>98378.689450000005</v>
      </c>
      <c r="AF55" s="76">
        <v>521.68747999999994</v>
      </c>
      <c r="AG55" s="88">
        <v>709.92959999999994</v>
      </c>
      <c r="AH55" s="76">
        <v>55671.367359999997</v>
      </c>
      <c r="AI55" s="46">
        <f t="shared" si="27"/>
        <v>261516.11045999997</v>
      </c>
      <c r="AJ55" s="48"/>
      <c r="AK55" s="49"/>
      <c r="AL55" s="49"/>
      <c r="AM55" s="49"/>
      <c r="AN55" s="50">
        <f t="shared" si="9"/>
        <v>-88197.753329999978</v>
      </c>
      <c r="AO55" s="1">
        <f t="shared" si="6"/>
        <v>56381.296959999978</v>
      </c>
      <c r="AP55" s="38">
        <v>6.6040000063367188E-2</v>
      </c>
    </row>
    <row r="56" spans="1:42" ht="12.75" customHeight="1" x14ac:dyDescent="0.2">
      <c r="A56" s="13"/>
      <c r="E56" s="68" t="s">
        <v>73</v>
      </c>
      <c r="F56" s="68"/>
      <c r="G56" s="59"/>
      <c r="H56" s="76">
        <v>7554523.2110000001</v>
      </c>
      <c r="I56" s="77">
        <v>663677.81744000001</v>
      </c>
      <c r="J56" s="78">
        <v>516013.16327999998</v>
      </c>
      <c r="K56" s="79">
        <v>630236.35684000002</v>
      </c>
      <c r="L56" s="79">
        <v>680668.51142</v>
      </c>
      <c r="M56" s="79">
        <v>707817.28547</v>
      </c>
      <c r="N56" s="79">
        <v>681945.63951999997</v>
      </c>
      <c r="O56" s="79">
        <v>658415.67720000003</v>
      </c>
      <c r="P56" s="79">
        <v>684664.91873999999</v>
      </c>
      <c r="Q56" s="79">
        <v>651100.69027000002</v>
      </c>
      <c r="R56" s="79">
        <v>638034.44986000005</v>
      </c>
      <c r="S56" s="79">
        <v>0</v>
      </c>
      <c r="T56" s="79">
        <v>0</v>
      </c>
      <c r="U56" s="80">
        <f t="shared" si="26"/>
        <v>6512574.5100399991</v>
      </c>
      <c r="V56" s="77">
        <v>8290675.6081699999</v>
      </c>
      <c r="W56" s="49">
        <v>681890.39384999999</v>
      </c>
      <c r="X56" s="76">
        <v>685628.53688000003</v>
      </c>
      <c r="Y56" s="79">
        <v>732383.77339999995</v>
      </c>
      <c r="Z56" s="79">
        <v>724049.92690999992</v>
      </c>
      <c r="AA56" s="79">
        <v>739522.19195000001</v>
      </c>
      <c r="AB56" s="76">
        <v>699763.68946000002</v>
      </c>
      <c r="AC56" s="76">
        <v>683982.67203000002</v>
      </c>
      <c r="AD56" s="76">
        <v>707044.99799000006</v>
      </c>
      <c r="AE56" s="76">
        <v>678337.01846000005</v>
      </c>
      <c r="AF56" s="76">
        <v>642919.55673000007</v>
      </c>
      <c r="AG56" s="45">
        <v>671885.0808</v>
      </c>
      <c r="AH56" s="76">
        <v>643267.76971000002</v>
      </c>
      <c r="AI56" s="46">
        <f t="shared" si="27"/>
        <v>6975522.7576600006</v>
      </c>
      <c r="AJ56" s="48"/>
      <c r="AK56" s="49"/>
      <c r="AL56" s="49"/>
      <c r="AM56" s="49"/>
      <c r="AN56" s="50">
        <f t="shared" si="9"/>
        <v>1041948.700960001</v>
      </c>
      <c r="AO56" s="1">
        <f t="shared" si="6"/>
        <v>1315152.8505099993</v>
      </c>
      <c r="AP56" s="38">
        <v>-0.17494000121951103</v>
      </c>
    </row>
    <row r="57" spans="1:42" ht="12.75" customHeight="1" x14ac:dyDescent="0.2">
      <c r="A57" s="13"/>
      <c r="E57" s="68" t="s">
        <v>74</v>
      </c>
      <c r="F57" s="68"/>
      <c r="G57" s="44"/>
      <c r="H57" s="76">
        <v>37167.678999999996</v>
      </c>
      <c r="I57" s="77">
        <v>4415.4679400000005</v>
      </c>
      <c r="J57" s="78">
        <v>4473.4460599999993</v>
      </c>
      <c r="K57" s="79">
        <v>904.2</v>
      </c>
      <c r="L57" s="79">
        <v>1248.08</v>
      </c>
      <c r="M57" s="79">
        <v>854.00599999999997</v>
      </c>
      <c r="N57" s="79">
        <v>1321.7719999999999</v>
      </c>
      <c r="O57" s="79">
        <v>1703.4860000000001</v>
      </c>
      <c r="P57" s="79">
        <v>1840.91419</v>
      </c>
      <c r="Q57" s="79">
        <v>1314.7673500000001</v>
      </c>
      <c r="R57" s="79">
        <v>1369.5740000000001</v>
      </c>
      <c r="S57" s="79">
        <v>0</v>
      </c>
      <c r="T57" s="79">
        <v>0</v>
      </c>
      <c r="U57" s="80">
        <f t="shared" si="26"/>
        <v>19445.713540000004</v>
      </c>
      <c r="V57" s="77">
        <v>33963.099889999998</v>
      </c>
      <c r="W57" s="49">
        <v>2145.8075800000001</v>
      </c>
      <c r="X57" s="76">
        <v>2248.6260000000002</v>
      </c>
      <c r="Y57" s="79">
        <v>2643.96</v>
      </c>
      <c r="Z57" s="79">
        <v>2476.768</v>
      </c>
      <c r="AA57" s="79">
        <v>3064.7824999999998</v>
      </c>
      <c r="AB57" s="76">
        <v>3354.4690499999997</v>
      </c>
      <c r="AC57" s="76">
        <v>5239.2961699999996</v>
      </c>
      <c r="AD57" s="76">
        <v>2175.9119900000001</v>
      </c>
      <c r="AE57" s="76">
        <v>2199.1088</v>
      </c>
      <c r="AF57" s="76">
        <v>2080.7399999999998</v>
      </c>
      <c r="AG57" s="45">
        <v>2600.232</v>
      </c>
      <c r="AH57" s="76">
        <v>3733.3977999999997</v>
      </c>
      <c r="AI57" s="46">
        <f t="shared" si="27"/>
        <v>27629.470089999995</v>
      </c>
      <c r="AJ57" s="48"/>
      <c r="AK57" s="49"/>
      <c r="AL57" s="49"/>
      <c r="AM57" s="49"/>
      <c r="AN57" s="50">
        <f t="shared" si="9"/>
        <v>17721.965459999992</v>
      </c>
      <c r="AO57" s="1">
        <f t="shared" si="6"/>
        <v>6333.6298000000024</v>
      </c>
      <c r="AP57" s="38">
        <v>9.4299999997019768E-2</v>
      </c>
    </row>
    <row r="58" spans="1:42" ht="12.75" customHeight="1" x14ac:dyDescent="0.2">
      <c r="A58" s="13"/>
      <c r="E58" s="56" t="s">
        <v>75</v>
      </c>
      <c r="F58" s="56"/>
      <c r="G58" s="44"/>
      <c r="H58" s="76">
        <v>1125614.3230000001</v>
      </c>
      <c r="I58" s="77">
        <v>102172.43</v>
      </c>
      <c r="J58" s="78">
        <v>25403.27</v>
      </c>
      <c r="K58" s="79">
        <v>44642.238840000005</v>
      </c>
      <c r="L58" s="79">
        <v>110784.27191</v>
      </c>
      <c r="M58" s="79">
        <v>67305.844060000003</v>
      </c>
      <c r="N58" s="79">
        <v>89155.548139999999</v>
      </c>
      <c r="O58" s="79">
        <v>218224.64413</v>
      </c>
      <c r="P58" s="79">
        <v>120660.51315</v>
      </c>
      <c r="Q58" s="79">
        <v>121271.72165000001</v>
      </c>
      <c r="R58" s="79">
        <v>254939.55093999999</v>
      </c>
      <c r="S58" s="79">
        <v>0</v>
      </c>
      <c r="T58" s="79">
        <v>0</v>
      </c>
      <c r="U58" s="80">
        <f t="shared" si="26"/>
        <v>1154560.0328199998</v>
      </c>
      <c r="V58" s="77">
        <v>1327417.47749</v>
      </c>
      <c r="W58" s="49">
        <v>131657.41737000001</v>
      </c>
      <c r="X58" s="76">
        <v>62472.618340000001</v>
      </c>
      <c r="Y58" s="79">
        <v>71468.911699999997</v>
      </c>
      <c r="Z58" s="79">
        <v>196098.67846</v>
      </c>
      <c r="AA58" s="79">
        <v>87745.890510000012</v>
      </c>
      <c r="AB58" s="76">
        <v>73739.958259999999</v>
      </c>
      <c r="AC58" s="76">
        <v>204085.63427000001</v>
      </c>
      <c r="AD58" s="76">
        <v>71881.057889999996</v>
      </c>
      <c r="AE58" s="76">
        <v>79448.182889999996</v>
      </c>
      <c r="AF58" s="76">
        <v>158615.99619000001</v>
      </c>
      <c r="AG58" s="76">
        <v>63012.178039999999</v>
      </c>
      <c r="AH58" s="76">
        <v>127190.95357</v>
      </c>
      <c r="AI58" s="46">
        <f t="shared" si="27"/>
        <v>1137214.3458800002</v>
      </c>
      <c r="AJ58" s="48"/>
      <c r="AK58" s="49"/>
      <c r="AL58" s="49"/>
      <c r="AM58" s="49"/>
      <c r="AN58" s="50">
        <f t="shared" si="9"/>
        <v>-28945.709819999756</v>
      </c>
      <c r="AO58" s="1">
        <f t="shared" si="6"/>
        <v>190203.13160999981</v>
      </c>
      <c r="AP58" s="38">
        <v>1.5519999898970127E-2</v>
      </c>
    </row>
    <row r="59" spans="1:42" ht="12.75" customHeight="1" x14ac:dyDescent="0.2">
      <c r="A59" s="13"/>
      <c r="E59" s="68" t="s">
        <v>76</v>
      </c>
      <c r="G59" s="44"/>
      <c r="H59" s="76">
        <v>612246.06099999999</v>
      </c>
      <c r="I59" s="77">
        <v>62375.55186</v>
      </c>
      <c r="J59" s="78">
        <v>22795.161649999998</v>
      </c>
      <c r="K59" s="79">
        <v>25146.591039999999</v>
      </c>
      <c r="L59" s="79">
        <v>41291.678500000002</v>
      </c>
      <c r="M59" s="79">
        <v>33732.366000000002</v>
      </c>
      <c r="N59" s="79">
        <v>32719.31825</v>
      </c>
      <c r="O59" s="79">
        <v>96670.641250000001</v>
      </c>
      <c r="P59" s="79">
        <v>39371.064850000002</v>
      </c>
      <c r="Q59" s="79">
        <v>43156.036039999999</v>
      </c>
      <c r="R59" s="79">
        <v>87442.435980000009</v>
      </c>
      <c r="S59" s="79">
        <v>0</v>
      </c>
      <c r="T59" s="79">
        <v>0</v>
      </c>
      <c r="U59" s="80">
        <f t="shared" si="26"/>
        <v>484700.84542000003</v>
      </c>
      <c r="V59" s="77">
        <v>708018.0634300001</v>
      </c>
      <c r="W59" s="49">
        <v>73869.339959999998</v>
      </c>
      <c r="X59" s="76">
        <v>42382.25965</v>
      </c>
      <c r="Y59" s="79">
        <v>40728.512750000002</v>
      </c>
      <c r="Z59" s="79">
        <v>107950.1213</v>
      </c>
      <c r="AA59" s="79">
        <v>45735.520219999999</v>
      </c>
      <c r="AB59" s="76">
        <v>45085.570959999997</v>
      </c>
      <c r="AC59" s="76">
        <v>98938.232530000008</v>
      </c>
      <c r="AD59" s="76">
        <v>38617.041709999998</v>
      </c>
      <c r="AE59" s="76">
        <v>43862.242450000005</v>
      </c>
      <c r="AF59" s="76">
        <v>83415.301040000006</v>
      </c>
      <c r="AG59" s="76">
        <v>34783.105149999996</v>
      </c>
      <c r="AH59" s="76">
        <v>52650.815710000003</v>
      </c>
      <c r="AI59" s="46">
        <f t="shared" si="27"/>
        <v>620584.14257000014</v>
      </c>
      <c r="AJ59" s="48"/>
      <c r="AK59" s="49"/>
      <c r="AL59" s="49"/>
      <c r="AM59" s="49"/>
      <c r="AN59" s="50">
        <f t="shared" si="9"/>
        <v>127545.21557999996</v>
      </c>
      <c r="AO59" s="1">
        <f t="shared" si="6"/>
        <v>87433.920859999955</v>
      </c>
      <c r="AP59" s="38">
        <v>8.4269999992102385E-2</v>
      </c>
    </row>
    <row r="60" spans="1:42" ht="12.75" customHeight="1" x14ac:dyDescent="0.2">
      <c r="A60" s="13"/>
      <c r="E60" s="68" t="s">
        <v>77</v>
      </c>
      <c r="F60" s="68"/>
      <c r="G60" s="44"/>
      <c r="H60" s="76">
        <v>2670.913</v>
      </c>
      <c r="I60" s="77">
        <v>0</v>
      </c>
      <c r="J60" s="78">
        <v>0</v>
      </c>
      <c r="K60" s="79">
        <v>0</v>
      </c>
      <c r="L60" s="79">
        <v>0</v>
      </c>
      <c r="M60" s="79">
        <v>2670.9127999999996</v>
      </c>
      <c r="N60" s="79">
        <v>0</v>
      </c>
      <c r="O60" s="79">
        <v>0</v>
      </c>
      <c r="P60" s="79">
        <v>0</v>
      </c>
      <c r="Q60" s="79">
        <v>0</v>
      </c>
      <c r="R60" s="79">
        <v>0</v>
      </c>
      <c r="S60" s="79">
        <v>0</v>
      </c>
      <c r="T60" s="79">
        <v>0</v>
      </c>
      <c r="U60" s="80">
        <f t="shared" si="26"/>
        <v>2670.9127999999996</v>
      </c>
      <c r="V60" s="77">
        <v>3093.03305</v>
      </c>
      <c r="W60" s="49">
        <v>0</v>
      </c>
      <c r="X60" s="76">
        <v>3093.03305</v>
      </c>
      <c r="Y60" s="79">
        <v>0</v>
      </c>
      <c r="Z60" s="79">
        <v>0</v>
      </c>
      <c r="AA60" s="79">
        <v>0</v>
      </c>
      <c r="AB60" s="76">
        <v>0</v>
      </c>
      <c r="AC60" s="76">
        <v>0</v>
      </c>
      <c r="AD60" s="76">
        <v>0</v>
      </c>
      <c r="AE60" s="76">
        <v>0</v>
      </c>
      <c r="AF60" s="76">
        <v>0</v>
      </c>
      <c r="AG60" s="76">
        <v>0</v>
      </c>
      <c r="AH60" s="76">
        <v>0</v>
      </c>
      <c r="AI60" s="46">
        <f t="shared" si="27"/>
        <v>3093.03305</v>
      </c>
      <c r="AJ60" s="48"/>
      <c r="AK60" s="49"/>
      <c r="AL60" s="49"/>
      <c r="AM60" s="49"/>
      <c r="AN60" s="50">
        <f t="shared" si="9"/>
        <v>2.0000000040454324E-4</v>
      </c>
      <c r="AO60" s="1">
        <f t="shared" si="6"/>
        <v>0</v>
      </c>
      <c r="AP60" s="38">
        <v>0</v>
      </c>
    </row>
    <row r="61" spans="1:42" ht="12.75" customHeight="1" x14ac:dyDescent="0.2">
      <c r="A61" s="13"/>
      <c r="E61" s="68" t="s">
        <v>78</v>
      </c>
      <c r="F61" s="68"/>
      <c r="G61" s="44"/>
      <c r="H61" s="76">
        <v>1750000</v>
      </c>
      <c r="I61" s="77">
        <v>0</v>
      </c>
      <c r="J61" s="78">
        <v>0</v>
      </c>
      <c r="K61" s="79">
        <v>0</v>
      </c>
      <c r="L61" s="79">
        <v>0</v>
      </c>
      <c r="M61" s="79">
        <v>0</v>
      </c>
      <c r="N61" s="79">
        <v>0</v>
      </c>
      <c r="O61" s="79">
        <v>538036.03075000003</v>
      </c>
      <c r="P61" s="79">
        <v>44247.598060000004</v>
      </c>
      <c r="Q61" s="79">
        <v>43751.511460000002</v>
      </c>
      <c r="R61" s="79">
        <v>8230.962379999999</v>
      </c>
      <c r="S61" s="79"/>
      <c r="T61" s="79"/>
      <c r="U61" s="80">
        <f t="shared" si="26"/>
        <v>634266.10265000002</v>
      </c>
      <c r="V61" s="77">
        <v>0</v>
      </c>
      <c r="W61" s="49">
        <v>0</v>
      </c>
      <c r="X61" s="76">
        <v>0</v>
      </c>
      <c r="Y61" s="79">
        <v>0</v>
      </c>
      <c r="Z61" s="79">
        <v>0</v>
      </c>
      <c r="AA61" s="79">
        <v>0</v>
      </c>
      <c r="AB61" s="76">
        <v>0</v>
      </c>
      <c r="AC61" s="76">
        <v>0</v>
      </c>
      <c r="AD61" s="76">
        <v>0</v>
      </c>
      <c r="AE61" s="76">
        <v>0</v>
      </c>
      <c r="AF61" s="76">
        <v>0</v>
      </c>
      <c r="AG61" s="76"/>
      <c r="AH61" s="76"/>
      <c r="AI61" s="46">
        <f t="shared" si="27"/>
        <v>0</v>
      </c>
      <c r="AJ61" s="48"/>
      <c r="AK61" s="49"/>
      <c r="AL61" s="49"/>
      <c r="AM61" s="49"/>
      <c r="AN61" s="50"/>
      <c r="AO61" s="1">
        <f t="shared" si="6"/>
        <v>0</v>
      </c>
      <c r="AP61" s="38"/>
    </row>
    <row r="62" spans="1:42" ht="12.75" customHeight="1" x14ac:dyDescent="0.2">
      <c r="A62" s="13"/>
      <c r="C62" s="1" t="s">
        <v>34</v>
      </c>
      <c r="E62" s="68"/>
      <c r="F62" s="68"/>
      <c r="G62" s="44"/>
      <c r="H62" s="45"/>
      <c r="I62" s="44"/>
      <c r="J62" s="49"/>
      <c r="K62" s="47"/>
      <c r="L62" s="47"/>
      <c r="M62" s="47"/>
      <c r="N62" s="79"/>
      <c r="O62" s="47"/>
      <c r="P62" s="47"/>
      <c r="Q62" s="47"/>
      <c r="R62" s="47"/>
      <c r="S62" s="47"/>
      <c r="T62" s="47"/>
      <c r="U62" s="46"/>
      <c r="V62" s="44"/>
      <c r="W62" s="49"/>
      <c r="X62" s="45"/>
      <c r="Y62" s="47"/>
      <c r="Z62" s="47"/>
      <c r="AA62" s="47"/>
      <c r="AB62" s="45"/>
      <c r="AC62" s="45"/>
      <c r="AD62" s="45"/>
      <c r="AE62" s="45"/>
      <c r="AF62" s="45"/>
      <c r="AG62" s="45"/>
      <c r="AH62" s="45"/>
      <c r="AI62" s="46"/>
      <c r="AJ62" s="48"/>
      <c r="AK62" s="49"/>
      <c r="AL62" s="49"/>
      <c r="AM62" s="49"/>
      <c r="AN62" s="50">
        <f t="shared" si="9"/>
        <v>0</v>
      </c>
      <c r="AO62" s="1">
        <f t="shared" si="6"/>
        <v>0</v>
      </c>
      <c r="AP62" s="38">
        <v>0</v>
      </c>
    </row>
    <row r="63" spans="1:42" ht="12.75" customHeight="1" x14ac:dyDescent="0.2">
      <c r="A63" s="13"/>
      <c r="E63" s="68" t="s">
        <v>79</v>
      </c>
      <c r="F63" s="68"/>
      <c r="G63" s="44"/>
      <c r="H63" s="45">
        <v>147754.72200000001</v>
      </c>
      <c r="I63" s="44">
        <v>0</v>
      </c>
      <c r="J63" s="49">
        <v>1568.3789400000001</v>
      </c>
      <c r="K63" s="47">
        <v>7.3316499999999998</v>
      </c>
      <c r="L63" s="47">
        <v>312.12212</v>
      </c>
      <c r="M63" s="47">
        <v>0</v>
      </c>
      <c r="N63" s="47">
        <v>64352.879580000001</v>
      </c>
      <c r="O63" s="47">
        <v>2633.4266499999999</v>
      </c>
      <c r="P63" s="47">
        <v>174529.88186000002</v>
      </c>
      <c r="Q63" s="47">
        <v>0</v>
      </c>
      <c r="R63" s="47">
        <v>1191.9651399999998</v>
      </c>
      <c r="S63" s="47">
        <v>0</v>
      </c>
      <c r="T63" s="47">
        <v>0</v>
      </c>
      <c r="U63" s="46">
        <f t="shared" si="26"/>
        <v>244595.98593999998</v>
      </c>
      <c r="V63" s="44">
        <v>192088.16909000001</v>
      </c>
      <c r="W63" s="49">
        <v>231.84679</v>
      </c>
      <c r="X63" s="45">
        <v>8.09497</v>
      </c>
      <c r="Y63" s="47">
        <v>182.41560999999999</v>
      </c>
      <c r="Z63" s="47">
        <v>1797.7035900000001</v>
      </c>
      <c r="AA63" s="47">
        <v>11694.991039999999</v>
      </c>
      <c r="AB63" s="45">
        <v>14101.45175</v>
      </c>
      <c r="AC63" s="45">
        <v>11288.860470000001</v>
      </c>
      <c r="AD63" s="45">
        <v>151742.61343</v>
      </c>
      <c r="AE63" s="45">
        <v>0</v>
      </c>
      <c r="AF63" s="45">
        <v>165.79091</v>
      </c>
      <c r="AG63" s="45">
        <v>256.55032999999997</v>
      </c>
      <c r="AH63" s="45">
        <v>617.85019999999997</v>
      </c>
      <c r="AI63" s="46">
        <f t="shared" ref="AI63" si="28">SUM(W63:AF63)</f>
        <v>191213.76856000003</v>
      </c>
      <c r="AJ63" s="48"/>
      <c r="AK63" s="49"/>
      <c r="AL63" s="49"/>
      <c r="AM63" s="49"/>
      <c r="AN63" s="50">
        <f t="shared" si="9"/>
        <v>-96841.263939999975</v>
      </c>
      <c r="AO63" s="1">
        <f t="shared" si="6"/>
        <v>874.40052999998443</v>
      </c>
      <c r="AP63" s="38">
        <v>0</v>
      </c>
    </row>
    <row r="64" spans="1:42" s="38" customFormat="1" ht="12.75" customHeight="1" x14ac:dyDescent="0.2">
      <c r="A64" s="43"/>
      <c r="B64" s="14" t="s">
        <v>80</v>
      </c>
      <c r="C64" s="37"/>
      <c r="E64" s="58"/>
      <c r="F64" s="58"/>
      <c r="G64" s="59"/>
      <c r="H64" s="60">
        <f>SUM(H66:H71)</f>
        <v>40745561.084999986</v>
      </c>
      <c r="I64" s="60">
        <f>SUM(I66:I71)</f>
        <v>1871615.1225500002</v>
      </c>
      <c r="J64" s="61">
        <f t="shared" ref="J64:AH64" si="29">SUM(J66:J71)</f>
        <v>2320662.0403300002</v>
      </c>
      <c r="K64" s="62">
        <f t="shared" si="29"/>
        <v>2271074.6917500002</v>
      </c>
      <c r="L64" s="62">
        <f t="shared" si="29"/>
        <v>4144629.2502699997</v>
      </c>
      <c r="M64" s="62">
        <f t="shared" si="29"/>
        <v>3545310.6683600005</v>
      </c>
      <c r="N64" s="62">
        <f t="shared" si="29"/>
        <v>4679104.9118300006</v>
      </c>
      <c r="O64" s="62">
        <f t="shared" si="29"/>
        <v>3673055.920810001</v>
      </c>
      <c r="P64" s="62">
        <f t="shared" si="29"/>
        <v>4599758.3712600004</v>
      </c>
      <c r="Q64" s="62">
        <f t="shared" si="29"/>
        <v>4782525.9269900005</v>
      </c>
      <c r="R64" s="62">
        <f t="shared" si="29"/>
        <v>4025182.71954</v>
      </c>
      <c r="S64" s="62">
        <f t="shared" si="29"/>
        <v>0</v>
      </c>
      <c r="T64" s="62">
        <f t="shared" si="29"/>
        <v>0</v>
      </c>
      <c r="U64" s="63">
        <f t="shared" si="29"/>
        <v>35912919.623690002</v>
      </c>
      <c r="V64" s="64">
        <f t="shared" si="29"/>
        <v>56322406.194339991</v>
      </c>
      <c r="W64" s="23">
        <f t="shared" si="29"/>
        <v>2063346.1049899999</v>
      </c>
      <c r="X64" s="66">
        <f t="shared" si="29"/>
        <v>4181882.5542000001</v>
      </c>
      <c r="Y64" s="66">
        <f t="shared" si="29"/>
        <v>4104791.2754799998</v>
      </c>
      <c r="Z64" s="62">
        <f t="shared" si="29"/>
        <v>5008013.8788299998</v>
      </c>
      <c r="AA64" s="70">
        <f t="shared" si="29"/>
        <v>4782367.3543799995</v>
      </c>
      <c r="AB64" s="70">
        <f t="shared" si="29"/>
        <v>5307081.4732500007</v>
      </c>
      <c r="AC64" s="70">
        <f>SUM(AC66:AC71)</f>
        <v>5700347.0049300008</v>
      </c>
      <c r="AD64" s="70">
        <f>SUM(AD66:AD71)</f>
        <v>4892079.6717900001</v>
      </c>
      <c r="AE64" s="70">
        <f>SUM(AE66:AE71)</f>
        <v>4865055.8616399998</v>
      </c>
      <c r="AF64" s="70">
        <f t="shared" si="29"/>
        <v>4157283.5933300001</v>
      </c>
      <c r="AG64" s="70">
        <f t="shared" si="29"/>
        <v>4904349.0384299997</v>
      </c>
      <c r="AH64" s="70">
        <f t="shared" si="29"/>
        <v>6355808.3830899997</v>
      </c>
      <c r="AI64" s="63">
        <f>SUM(AI66:AI71)</f>
        <v>45062248.772819996</v>
      </c>
      <c r="AJ64" s="67"/>
      <c r="AK64" s="61"/>
      <c r="AL64" s="61"/>
      <c r="AM64" s="61"/>
      <c r="AN64" s="50"/>
      <c r="AO64" s="1">
        <f t="shared" si="6"/>
        <v>11260157.421519995</v>
      </c>
      <c r="AP64" s="38">
        <v>20.973050005733967</v>
      </c>
    </row>
    <row r="65" spans="1:42" s="38" customFormat="1" ht="12.75" customHeight="1" x14ac:dyDescent="0.2">
      <c r="A65" s="43"/>
      <c r="B65" s="14"/>
      <c r="C65" s="1" t="s">
        <v>81</v>
      </c>
      <c r="E65" s="58"/>
      <c r="F65" s="58"/>
      <c r="G65" s="59"/>
      <c r="H65" s="45"/>
      <c r="I65" s="44"/>
      <c r="J65" s="49"/>
      <c r="K65" s="47"/>
      <c r="L65" s="47"/>
      <c r="M65" s="47"/>
      <c r="N65" s="47"/>
      <c r="O65" s="47"/>
      <c r="P65" s="47"/>
      <c r="Q65" s="47"/>
      <c r="R65" s="47"/>
      <c r="S65" s="47"/>
      <c r="T65" s="47"/>
      <c r="U65" s="46"/>
      <c r="V65" s="44"/>
      <c r="W65" s="49"/>
      <c r="X65" s="45"/>
      <c r="Y65" s="45"/>
      <c r="Z65" s="47"/>
      <c r="AA65" s="45"/>
      <c r="AB65" s="45"/>
      <c r="AC65" s="45"/>
      <c r="AD65" s="45"/>
      <c r="AE65" s="45"/>
      <c r="AF65" s="45"/>
      <c r="AG65" s="45"/>
      <c r="AH65" s="45"/>
      <c r="AI65" s="46"/>
      <c r="AJ65" s="48"/>
      <c r="AK65" s="49"/>
      <c r="AL65" s="49"/>
      <c r="AM65" s="49"/>
      <c r="AN65" s="50"/>
      <c r="AO65" s="1">
        <f t="shared" si="6"/>
        <v>0</v>
      </c>
      <c r="AP65" s="38">
        <v>0</v>
      </c>
    </row>
    <row r="66" spans="1:42" s="38" customFormat="1" ht="12.75" customHeight="1" x14ac:dyDescent="0.2">
      <c r="A66" s="43"/>
      <c r="B66" s="1"/>
      <c r="E66" s="1" t="s">
        <v>82</v>
      </c>
      <c r="F66" s="68"/>
      <c r="G66" s="59"/>
      <c r="H66" s="45">
        <v>36548320.099999994</v>
      </c>
      <c r="I66" s="44">
        <v>1665132.71854</v>
      </c>
      <c r="J66" s="49">
        <v>2420101.5696100001</v>
      </c>
      <c r="K66" s="47">
        <v>2202305.6750099999</v>
      </c>
      <c r="L66" s="47">
        <v>3153901.05595</v>
      </c>
      <c r="M66" s="47">
        <v>3224111.7025500005</v>
      </c>
      <c r="N66" s="47">
        <v>3669787.9673300004</v>
      </c>
      <c r="O66" s="47">
        <v>4250000.1231500003</v>
      </c>
      <c r="P66" s="47">
        <v>4055185.3876100001</v>
      </c>
      <c r="Q66" s="47">
        <v>3722149.1899300003</v>
      </c>
      <c r="R66" s="47">
        <v>3456626.2320900001</v>
      </c>
      <c r="S66" s="47">
        <v>0</v>
      </c>
      <c r="T66" s="47">
        <v>0</v>
      </c>
      <c r="U66" s="46">
        <f>SUM(I66:T66)</f>
        <v>31819301.621770002</v>
      </c>
      <c r="V66" s="44">
        <v>47504070.831339993</v>
      </c>
      <c r="W66" s="49">
        <v>1848368.75905</v>
      </c>
      <c r="X66" s="45">
        <v>3618440.3049700004</v>
      </c>
      <c r="Y66" s="47">
        <v>3567908.4383200002</v>
      </c>
      <c r="Z66" s="47">
        <v>4364813.0685999999</v>
      </c>
      <c r="AA66" s="47">
        <v>4176623.9757700004</v>
      </c>
      <c r="AB66" s="47">
        <v>4491395.5611000005</v>
      </c>
      <c r="AC66" s="45">
        <v>4837339.7154200003</v>
      </c>
      <c r="AD66" s="45">
        <v>4016644.1704799999</v>
      </c>
      <c r="AE66" s="45">
        <v>3810898.1652700002</v>
      </c>
      <c r="AF66" s="45">
        <v>3325875.0724200001</v>
      </c>
      <c r="AG66" s="45">
        <v>3914912.2271199995</v>
      </c>
      <c r="AH66" s="45">
        <v>5530851.3728200002</v>
      </c>
      <c r="AI66" s="46">
        <f t="shared" ref="AI66:AI68" si="30">SUM(W66:AF66)</f>
        <v>38058307.231399998</v>
      </c>
      <c r="AJ66" s="48"/>
      <c r="AK66" s="49"/>
      <c r="AL66" s="49"/>
      <c r="AM66" s="49"/>
      <c r="AN66" s="50"/>
      <c r="AO66" s="1">
        <f t="shared" si="6"/>
        <v>9445763.5999399945</v>
      </c>
      <c r="AP66" s="38">
        <v>20.904030002653599</v>
      </c>
    </row>
    <row r="67" spans="1:42" ht="12.75" customHeight="1" x14ac:dyDescent="0.2">
      <c r="A67" s="13"/>
      <c r="E67" s="1" t="s">
        <v>83</v>
      </c>
      <c r="F67" s="68"/>
      <c r="G67" s="73"/>
      <c r="H67" s="76">
        <v>3753835.96</v>
      </c>
      <c r="I67" s="77">
        <v>45206.048840000003</v>
      </c>
      <c r="J67" s="78">
        <v>17941.464689999997</v>
      </c>
      <c r="K67" s="79">
        <v>112788.36186000002</v>
      </c>
      <c r="L67" s="79">
        <v>389678.26277000003</v>
      </c>
      <c r="M67" s="79">
        <v>141351.30131000001</v>
      </c>
      <c r="N67" s="79">
        <v>670147.52271999989</v>
      </c>
      <c r="O67" s="79">
        <v>536426.24579000007</v>
      </c>
      <c r="P67" s="79">
        <v>532401.21225999994</v>
      </c>
      <c r="Q67" s="79">
        <v>829522.74057999998</v>
      </c>
      <c r="R67" s="79">
        <v>470248.47297</v>
      </c>
      <c r="S67" s="79">
        <v>0</v>
      </c>
      <c r="T67" s="79">
        <v>0</v>
      </c>
      <c r="U67" s="80">
        <f>SUM(I67:T67)</f>
        <v>3745711.6337899999</v>
      </c>
      <c r="V67" s="77">
        <v>7924289.2635400007</v>
      </c>
      <c r="W67" s="49">
        <v>85988.763349999994</v>
      </c>
      <c r="X67" s="76">
        <v>475109.2157</v>
      </c>
      <c r="Y67" s="79">
        <v>463419.72545999999</v>
      </c>
      <c r="Z67" s="79">
        <v>590126.7547200002</v>
      </c>
      <c r="AA67" s="79">
        <v>557906.75127000001</v>
      </c>
      <c r="AB67" s="79">
        <v>723575.43200999987</v>
      </c>
      <c r="AC67" s="76">
        <v>783193.39619</v>
      </c>
      <c r="AD67" s="76">
        <v>759353.74650000001</v>
      </c>
      <c r="AE67" s="76">
        <v>898141.94186999998</v>
      </c>
      <c r="AF67" s="76">
        <v>784717.23092000012</v>
      </c>
      <c r="AG67" s="76">
        <v>906198.58243000007</v>
      </c>
      <c r="AH67" s="76">
        <v>896557.72311999998</v>
      </c>
      <c r="AI67" s="46">
        <f t="shared" si="30"/>
        <v>6121532.95799</v>
      </c>
      <c r="AJ67" s="48"/>
      <c r="AK67" s="49"/>
      <c r="AL67" s="49"/>
      <c r="AM67" s="49"/>
      <c r="AN67" s="50"/>
      <c r="AO67" s="1">
        <f t="shared" si="6"/>
        <v>1802756.3055500006</v>
      </c>
      <c r="AP67" s="38">
        <v>-0.45797999948263168</v>
      </c>
    </row>
    <row r="68" spans="1:42" ht="12.75" customHeight="1" x14ac:dyDescent="0.2">
      <c r="A68" s="13"/>
      <c r="C68" s="1" t="s">
        <v>84</v>
      </c>
      <c r="G68" s="73"/>
      <c r="H68" s="76">
        <v>49901.557000000001</v>
      </c>
      <c r="I68" s="77">
        <v>2732.1754100000003</v>
      </c>
      <c r="J68" s="78">
        <v>6056.9970000000003</v>
      </c>
      <c r="K68" s="79">
        <v>6432.1417799999999</v>
      </c>
      <c r="L68" s="79">
        <v>4135.5707599999996</v>
      </c>
      <c r="M68" s="79">
        <v>3161.2752500000001</v>
      </c>
      <c r="N68" s="79">
        <v>3012.1276000000003</v>
      </c>
      <c r="O68" s="79">
        <v>4845.3901299999998</v>
      </c>
      <c r="P68" s="79">
        <v>6470.9197800000002</v>
      </c>
      <c r="Q68" s="79">
        <v>7885.82276</v>
      </c>
      <c r="R68" s="79">
        <v>4737.9110899999996</v>
      </c>
      <c r="S68" s="79">
        <v>0</v>
      </c>
      <c r="T68" s="79">
        <v>0</v>
      </c>
      <c r="U68" s="80">
        <f>SUM(I68:T68)</f>
        <v>49470.331560000006</v>
      </c>
      <c r="V68" s="77">
        <v>66606.079759999993</v>
      </c>
      <c r="W68" s="49">
        <v>3048.6212799999998</v>
      </c>
      <c r="X68" s="76">
        <v>6114.5615099999995</v>
      </c>
      <c r="Y68" s="79">
        <v>5744.12565</v>
      </c>
      <c r="Z68" s="79">
        <v>6526.5096199999998</v>
      </c>
      <c r="AA68" s="79">
        <v>3406.8414400000001</v>
      </c>
      <c r="AB68" s="79">
        <v>5081.61168</v>
      </c>
      <c r="AC68" s="76">
        <v>3948.0883199999998</v>
      </c>
      <c r="AD68" s="76">
        <v>6684.3316799999993</v>
      </c>
      <c r="AE68" s="76">
        <v>6352.5147300000008</v>
      </c>
      <c r="AF68" s="76">
        <v>5725.3077300000004</v>
      </c>
      <c r="AG68" s="76">
        <v>5889.5580899999995</v>
      </c>
      <c r="AH68" s="76">
        <v>8084.00803</v>
      </c>
      <c r="AI68" s="46">
        <f t="shared" si="30"/>
        <v>52632.513639999997</v>
      </c>
      <c r="AJ68" s="48"/>
      <c r="AK68" s="49"/>
      <c r="AL68" s="49"/>
      <c r="AM68" s="49"/>
      <c r="AN68" s="50"/>
      <c r="AO68" s="1">
        <f t="shared" si="6"/>
        <v>13973.566119999996</v>
      </c>
      <c r="AP68" s="38">
        <v>5.5469999992055818E-2</v>
      </c>
    </row>
    <row r="69" spans="1:42" s="38" customFormat="1" ht="12.75" customHeight="1" x14ac:dyDescent="0.2">
      <c r="A69" s="43"/>
      <c r="B69" s="1"/>
      <c r="C69" s="1" t="s">
        <v>34</v>
      </c>
      <c r="E69" s="1"/>
      <c r="F69" s="68"/>
      <c r="G69" s="59"/>
      <c r="H69" s="45"/>
      <c r="I69" s="44"/>
      <c r="J69" s="49"/>
      <c r="K69" s="47"/>
      <c r="L69" s="47"/>
      <c r="M69" s="47"/>
      <c r="N69" s="47"/>
      <c r="O69" s="47"/>
      <c r="P69" s="47"/>
      <c r="Q69" s="47"/>
      <c r="R69" s="47"/>
      <c r="S69" s="47"/>
      <c r="T69" s="47"/>
      <c r="U69" s="46"/>
      <c r="V69" s="44"/>
      <c r="W69" s="49"/>
      <c r="X69" s="45"/>
      <c r="Y69" s="47"/>
      <c r="Z69" s="47"/>
      <c r="AA69" s="47"/>
      <c r="AB69" s="47"/>
      <c r="AC69" s="45"/>
      <c r="AD69" s="45"/>
      <c r="AE69" s="45"/>
      <c r="AF69" s="45"/>
      <c r="AG69" s="45"/>
      <c r="AH69" s="45"/>
      <c r="AI69" s="46"/>
      <c r="AJ69" s="48"/>
      <c r="AK69" s="49"/>
      <c r="AL69" s="49"/>
      <c r="AM69" s="49"/>
      <c r="AN69" s="50"/>
      <c r="AO69" s="1">
        <f t="shared" si="6"/>
        <v>0</v>
      </c>
      <c r="AP69" s="38">
        <v>0</v>
      </c>
    </row>
    <row r="70" spans="1:42" ht="12.75" customHeight="1" x14ac:dyDescent="0.2">
      <c r="A70" s="13"/>
      <c r="E70" s="1" t="s">
        <v>85</v>
      </c>
      <c r="G70" s="59"/>
      <c r="H70" s="45">
        <v>329474.89899999998</v>
      </c>
      <c r="I70" s="44">
        <v>154705.31579000002</v>
      </c>
      <c r="J70" s="49">
        <v>-123637.29246999999</v>
      </c>
      <c r="K70" s="47">
        <v>-50451.486900000004</v>
      </c>
      <c r="L70" s="47">
        <v>596914.36078999995</v>
      </c>
      <c r="M70" s="47">
        <v>176686.38924999998</v>
      </c>
      <c r="N70" s="47">
        <v>315157.10374999995</v>
      </c>
      <c r="O70" s="47">
        <v>-1119145.52021</v>
      </c>
      <c r="P70" s="47">
        <v>5700.8516099999997</v>
      </c>
      <c r="Q70" s="47">
        <v>222968.17371999999</v>
      </c>
      <c r="R70" s="47">
        <v>90975.57789</v>
      </c>
      <c r="S70" s="47">
        <v>0</v>
      </c>
      <c r="T70" s="47">
        <v>0</v>
      </c>
      <c r="U70" s="46">
        <f>SUM(I70:T70)</f>
        <v>269873.47321999987</v>
      </c>
      <c r="V70" s="44">
        <v>732758.97381999996</v>
      </c>
      <c r="W70" s="49">
        <v>121451.30553</v>
      </c>
      <c r="X70" s="45">
        <v>81853.96067</v>
      </c>
      <c r="Y70" s="47">
        <v>67718.128020000004</v>
      </c>
      <c r="Z70" s="47">
        <v>42594.099199999997</v>
      </c>
      <c r="AA70" s="47">
        <v>44219.562750000005</v>
      </c>
      <c r="AB70" s="47">
        <v>59321.950859999997</v>
      </c>
      <c r="AC70" s="45">
        <v>62563.343839999994</v>
      </c>
      <c r="AD70" s="45">
        <v>109065.06453</v>
      </c>
      <c r="AE70" s="45">
        <v>149440.38412</v>
      </c>
      <c r="AF70" s="45">
        <v>35783.673520000004</v>
      </c>
      <c r="AG70" s="45">
        <v>77266.321590000007</v>
      </c>
      <c r="AH70" s="45">
        <v>-118518.82080999999</v>
      </c>
      <c r="AI70" s="46">
        <f t="shared" ref="AI70:AI71" si="31">SUM(W70:AF70)</f>
        <v>774011.47303999984</v>
      </c>
      <c r="AJ70" s="48"/>
      <c r="AK70" s="49"/>
      <c r="AL70" s="49"/>
      <c r="AM70" s="49"/>
      <c r="AN70" s="50"/>
      <c r="AO70" s="1">
        <f t="shared" si="6"/>
        <v>-41252.499219999881</v>
      </c>
      <c r="AP70" s="38">
        <v>0.17573999986052513</v>
      </c>
    </row>
    <row r="71" spans="1:42" ht="12.75" customHeight="1" x14ac:dyDescent="0.2">
      <c r="A71" s="13"/>
      <c r="E71" s="1" t="s">
        <v>86</v>
      </c>
      <c r="F71" s="68"/>
      <c r="G71" s="59"/>
      <c r="H71" s="76">
        <v>64028.569000000003</v>
      </c>
      <c r="I71" s="77">
        <v>3838.8639700000003</v>
      </c>
      <c r="J71" s="77">
        <v>199.3015</v>
      </c>
      <c r="K71" s="76">
        <v>0</v>
      </c>
      <c r="L71" s="76">
        <v>0</v>
      </c>
      <c r="M71" s="76">
        <v>0</v>
      </c>
      <c r="N71" s="76">
        <v>21000.190429999999</v>
      </c>
      <c r="O71" s="76">
        <v>929.68194999999992</v>
      </c>
      <c r="P71" s="76">
        <v>0</v>
      </c>
      <c r="Q71" s="76">
        <v>0</v>
      </c>
      <c r="R71" s="76">
        <v>2594.5255000000002</v>
      </c>
      <c r="S71" s="76">
        <v>0</v>
      </c>
      <c r="T71" s="76">
        <v>0</v>
      </c>
      <c r="U71" s="80">
        <f>SUM(I71:T71)</f>
        <v>28562.563349999997</v>
      </c>
      <c r="V71" s="77">
        <v>94681.045879999991</v>
      </c>
      <c r="W71" s="49">
        <v>4488.65578</v>
      </c>
      <c r="X71" s="76">
        <v>364.51134999999999</v>
      </c>
      <c r="Y71" s="76">
        <v>0.85802999999999996</v>
      </c>
      <c r="Z71" s="76">
        <v>3953.4466899999998</v>
      </c>
      <c r="AA71" s="76">
        <v>210.22315</v>
      </c>
      <c r="AB71" s="76">
        <v>27706.917600000001</v>
      </c>
      <c r="AC71" s="76">
        <v>13302.461160000001</v>
      </c>
      <c r="AD71" s="76">
        <v>332.35859999999997</v>
      </c>
      <c r="AE71" s="76">
        <v>222.85565</v>
      </c>
      <c r="AF71" s="76">
        <v>5182.3087400000004</v>
      </c>
      <c r="AG71" s="76">
        <v>82.349199999999996</v>
      </c>
      <c r="AH71" s="76">
        <v>38834.099929999997</v>
      </c>
      <c r="AI71" s="46">
        <f t="shared" si="31"/>
        <v>55764.596749999997</v>
      </c>
      <c r="AJ71" s="48"/>
      <c r="AK71" s="49"/>
      <c r="AL71" s="49"/>
      <c r="AM71" s="49"/>
      <c r="AN71" s="50"/>
      <c r="AO71" s="1">
        <f t="shared" si="6"/>
        <v>38916.449129999994</v>
      </c>
      <c r="AP71" s="38">
        <v>0.29579000000376254</v>
      </c>
    </row>
    <row r="72" spans="1:42" s="38" customFormat="1" ht="12.75" customHeight="1" x14ac:dyDescent="0.2">
      <c r="A72" s="50"/>
      <c r="B72" s="14" t="s">
        <v>87</v>
      </c>
      <c r="G72" s="59"/>
      <c r="H72" s="60">
        <f>H73</f>
        <v>6.03</v>
      </c>
      <c r="I72" s="60">
        <f>I73</f>
        <v>0</v>
      </c>
      <c r="J72" s="60">
        <f t="shared" ref="J72:T72" si="32">J73</f>
        <v>5.6426999999999996</v>
      </c>
      <c r="K72" s="70">
        <f t="shared" si="32"/>
        <v>-5.6426999999999996</v>
      </c>
      <c r="L72" s="70">
        <f t="shared" si="32"/>
        <v>6</v>
      </c>
      <c r="M72" s="70">
        <f t="shared" si="32"/>
        <v>0</v>
      </c>
      <c r="N72" s="70">
        <f t="shared" si="32"/>
        <v>0</v>
      </c>
      <c r="O72" s="70">
        <f t="shared" si="32"/>
        <v>0</v>
      </c>
      <c r="P72" s="70">
        <f t="shared" si="32"/>
        <v>0</v>
      </c>
      <c r="Q72" s="70">
        <f t="shared" si="32"/>
        <v>0</v>
      </c>
      <c r="R72" s="70">
        <f t="shared" si="32"/>
        <v>0</v>
      </c>
      <c r="S72" s="70">
        <f t="shared" si="32"/>
        <v>0</v>
      </c>
      <c r="T72" s="70">
        <f t="shared" si="32"/>
        <v>0</v>
      </c>
      <c r="U72" s="63">
        <f>U73</f>
        <v>6</v>
      </c>
      <c r="V72" s="64">
        <f t="shared" ref="V72:AH72" si="33">V73</f>
        <v>0</v>
      </c>
      <c r="W72" s="23">
        <f t="shared" si="33"/>
        <v>0</v>
      </c>
      <c r="X72" s="70">
        <f t="shared" si="33"/>
        <v>0</v>
      </c>
      <c r="Y72" s="70">
        <f>Y73</f>
        <v>0</v>
      </c>
      <c r="Z72" s="70">
        <f>Z73</f>
        <v>0</v>
      </c>
      <c r="AA72" s="70">
        <f t="shared" si="33"/>
        <v>0</v>
      </c>
      <c r="AB72" s="70">
        <f t="shared" si="33"/>
        <v>7.2370000000000001</v>
      </c>
      <c r="AC72" s="70">
        <f>AC73</f>
        <v>-7.2370000000000001</v>
      </c>
      <c r="AD72" s="70">
        <f t="shared" si="33"/>
        <v>1.4784000000000002</v>
      </c>
      <c r="AE72" s="70">
        <f t="shared" si="33"/>
        <v>0</v>
      </c>
      <c r="AF72" s="70">
        <f t="shared" si="33"/>
        <v>0</v>
      </c>
      <c r="AG72" s="70">
        <f t="shared" si="33"/>
        <v>75.879559999999998</v>
      </c>
      <c r="AH72" s="70">
        <f t="shared" si="33"/>
        <v>1348.7471200000002</v>
      </c>
      <c r="AI72" s="63">
        <f>SUM(W72:AD72)</f>
        <v>1.4784000000000002</v>
      </c>
      <c r="AJ72" s="67"/>
      <c r="AK72" s="61"/>
      <c r="AL72" s="61"/>
      <c r="AM72" s="61"/>
      <c r="AN72" s="50"/>
      <c r="AO72" s="1">
        <f t="shared" si="6"/>
        <v>-1.4784000000000002</v>
      </c>
      <c r="AP72" s="38">
        <v>0</v>
      </c>
    </row>
    <row r="73" spans="1:42" ht="12.75" customHeight="1" x14ac:dyDescent="0.2">
      <c r="A73" s="13"/>
      <c r="C73" s="1" t="s">
        <v>88</v>
      </c>
      <c r="G73" s="59"/>
      <c r="H73" s="45">
        <v>6.03</v>
      </c>
      <c r="I73" s="44">
        <v>0</v>
      </c>
      <c r="J73" s="44">
        <v>5.6426999999999996</v>
      </c>
      <c r="K73" s="45">
        <v>-5.6426999999999996</v>
      </c>
      <c r="L73" s="45">
        <v>6</v>
      </c>
      <c r="M73" s="45">
        <v>0</v>
      </c>
      <c r="N73" s="76">
        <v>0</v>
      </c>
      <c r="O73" s="45">
        <v>0</v>
      </c>
      <c r="P73" s="45">
        <v>0</v>
      </c>
      <c r="Q73" s="45">
        <v>0</v>
      </c>
      <c r="R73" s="45">
        <v>0</v>
      </c>
      <c r="S73" s="45">
        <v>0</v>
      </c>
      <c r="T73" s="45">
        <v>0</v>
      </c>
      <c r="U73" s="46">
        <f>SUM(I73:T73)</f>
        <v>6</v>
      </c>
      <c r="V73" s="44">
        <v>0</v>
      </c>
      <c r="W73" s="49">
        <v>0</v>
      </c>
      <c r="X73" s="45">
        <v>0</v>
      </c>
      <c r="Y73" s="91">
        <v>0</v>
      </c>
      <c r="Z73" s="45">
        <v>0</v>
      </c>
      <c r="AA73" s="45">
        <v>0</v>
      </c>
      <c r="AB73" s="45">
        <v>7.2370000000000001</v>
      </c>
      <c r="AC73" s="45">
        <v>-7.2370000000000001</v>
      </c>
      <c r="AD73" s="45">
        <v>1.4784000000000002</v>
      </c>
      <c r="AE73" s="45">
        <v>0</v>
      </c>
      <c r="AF73" s="45">
        <v>0</v>
      </c>
      <c r="AG73" s="45">
        <v>75.879559999999998</v>
      </c>
      <c r="AH73" s="45">
        <v>1348.7471200000002</v>
      </c>
      <c r="AI73" s="46">
        <f t="shared" ref="AI73:AI74" si="34">SUM(W73:AF73)</f>
        <v>1.4784000000000002</v>
      </c>
      <c r="AJ73" s="92"/>
      <c r="AK73" s="49"/>
      <c r="AL73" s="49"/>
      <c r="AM73" s="49"/>
      <c r="AN73" s="50"/>
      <c r="AO73" s="1">
        <f t="shared" ref="AO73:AO136" si="35">+V73-AI73</f>
        <v>-1.4784000000000002</v>
      </c>
      <c r="AP73" s="38">
        <v>0</v>
      </c>
    </row>
    <row r="74" spans="1:42" s="14" customFormat="1" ht="12.75" customHeight="1" x14ac:dyDescent="0.2">
      <c r="A74" s="93"/>
      <c r="B74" s="14" t="s">
        <v>89</v>
      </c>
      <c r="G74" s="59" t="s">
        <v>90</v>
      </c>
      <c r="H74" s="94">
        <v>1614.9369999999999</v>
      </c>
      <c r="I74" s="95">
        <v>1589.6722299999999</v>
      </c>
      <c r="J74" s="95">
        <v>1710.54529</v>
      </c>
      <c r="K74" s="94">
        <v>-1543.4717700000001</v>
      </c>
      <c r="L74" s="94">
        <f>433.43953-1757+1751</f>
        <v>427.4395300000001</v>
      </c>
      <c r="M74" s="94">
        <v>-404.95042000000001</v>
      </c>
      <c r="N74" s="94">
        <f>-164.26857+1779-1779</f>
        <v>-164.26856999999995</v>
      </c>
      <c r="O74" s="94">
        <v>-1557.87327</v>
      </c>
      <c r="P74" s="94">
        <v>1522.07395</v>
      </c>
      <c r="Q74" s="94">
        <v>-23.449120000000001</v>
      </c>
      <c r="R74" s="94">
        <v>28.224740000000001</v>
      </c>
      <c r="S74" s="94">
        <v>0</v>
      </c>
      <c r="T74" s="94">
        <v>0</v>
      </c>
      <c r="U74" s="96">
        <f>SUM(I74:T74)</f>
        <v>1583.9425900000001</v>
      </c>
      <c r="V74" s="95">
        <v>10037.257280000002</v>
      </c>
      <c r="W74" s="97">
        <v>52447.937920000004</v>
      </c>
      <c r="X74" s="94">
        <f>-55991.12932-52448+52448</f>
        <v>-55991.129320000007</v>
      </c>
      <c r="Y74" s="94">
        <f>8635.05654-3543+3543</f>
        <v>8635.0565399999996</v>
      </c>
      <c r="Z74" s="94">
        <f>-290663.89528-5092+5092</f>
        <v>-290663.89528</v>
      </c>
      <c r="AA74" s="94">
        <f>-2525.16884-285572+285572</f>
        <v>-2525.1688399999985</v>
      </c>
      <c r="AB74" s="94">
        <f>297599.58469-288097+288097</f>
        <v>297599.58468999999</v>
      </c>
      <c r="AC74" s="94">
        <v>-557.56914000000006</v>
      </c>
      <c r="AD74" s="94">
        <f>431.12406-8945+8945</f>
        <v>431.1240600000001</v>
      </c>
      <c r="AE74" s="94">
        <f>1090.1177-9376+9376</f>
        <v>1090.1177000000007</v>
      </c>
      <c r="AF74" s="94">
        <v>296.01643999999999</v>
      </c>
      <c r="AG74" s="94">
        <v>-608.60971999999992</v>
      </c>
      <c r="AH74" s="94">
        <v>-1542.31285</v>
      </c>
      <c r="AI74" s="96">
        <f t="shared" si="34"/>
        <v>10762.074770000003</v>
      </c>
      <c r="AJ74" s="98"/>
      <c r="AK74" s="61"/>
      <c r="AL74" s="61"/>
      <c r="AM74" s="61"/>
      <c r="AN74" s="50"/>
      <c r="AO74" s="1">
        <f t="shared" si="35"/>
        <v>-724.81749000000127</v>
      </c>
      <c r="AP74" s="38">
        <v>0.31281999999919208</v>
      </c>
    </row>
    <row r="75" spans="1:42" ht="12.75" customHeight="1" x14ac:dyDescent="0.2">
      <c r="A75" s="99"/>
      <c r="B75" s="100" t="s">
        <v>91</v>
      </c>
      <c r="C75" s="101"/>
      <c r="D75" s="101"/>
      <c r="E75" s="101"/>
      <c r="F75" s="101"/>
      <c r="G75" s="102"/>
      <c r="H75" s="70">
        <f>H6+H21+H23+H30+H64+H72+H74</f>
        <v>1112579186.6650002</v>
      </c>
      <c r="I75" s="60">
        <f>I6+I21+I23+I30+I64+I72+I74</f>
        <v>77111257.806960002</v>
      </c>
      <c r="J75" s="60">
        <f t="shared" ref="J75:AI75" si="36">J6+J21+J23+J30+J64+J72+J74</f>
        <v>64924271.966630012</v>
      </c>
      <c r="K75" s="70">
        <f t="shared" si="36"/>
        <v>100222433.75144002</v>
      </c>
      <c r="L75" s="70">
        <f t="shared" si="36"/>
        <v>75750002.477039993</v>
      </c>
      <c r="M75" s="70">
        <f t="shared" si="36"/>
        <v>97558042.679889992</v>
      </c>
      <c r="N75" s="70">
        <f t="shared" si="36"/>
        <v>102987034.87321997</v>
      </c>
      <c r="O75" s="70">
        <f t="shared" si="36"/>
        <v>96085038.531149998</v>
      </c>
      <c r="P75" s="70">
        <f>P6+P21+P23+P30+P64+P72+P74</f>
        <v>97377290.473269999</v>
      </c>
      <c r="Q75" s="70">
        <f t="shared" si="36"/>
        <v>163683329.94948</v>
      </c>
      <c r="R75" s="70">
        <f t="shared" si="36"/>
        <v>101388475.52069998</v>
      </c>
      <c r="S75" s="70">
        <f t="shared" si="36"/>
        <v>0</v>
      </c>
      <c r="T75" s="70">
        <f t="shared" si="36"/>
        <v>0</v>
      </c>
      <c r="U75" s="63">
        <f t="shared" si="36"/>
        <v>977087178.02977991</v>
      </c>
      <c r="V75" s="61">
        <f t="shared" si="36"/>
        <v>1355766257.9454703</v>
      </c>
      <c r="W75" s="103">
        <f t="shared" si="36"/>
        <v>84807014.439560026</v>
      </c>
      <c r="X75" s="103">
        <f t="shared" si="36"/>
        <v>90991578.400710016</v>
      </c>
      <c r="Y75" s="70">
        <f t="shared" si="36"/>
        <v>141340172.67634001</v>
      </c>
      <c r="Z75" s="70">
        <f t="shared" si="36"/>
        <v>85526330.539679989</v>
      </c>
      <c r="AA75" s="70">
        <f t="shared" si="36"/>
        <v>116443762.86853999</v>
      </c>
      <c r="AB75" s="70">
        <f t="shared" si="36"/>
        <v>116559787.40256001</v>
      </c>
      <c r="AC75" s="70">
        <f t="shared" si="36"/>
        <v>95682896.007359982</v>
      </c>
      <c r="AD75" s="70">
        <f t="shared" si="36"/>
        <v>94605024.641590014</v>
      </c>
      <c r="AE75" s="70">
        <f t="shared" si="36"/>
        <v>153493101.93650001</v>
      </c>
      <c r="AF75" s="70">
        <f t="shared" si="36"/>
        <v>103080766.49830002</v>
      </c>
      <c r="AG75" s="70">
        <f t="shared" si="36"/>
        <v>142867934.82762998</v>
      </c>
      <c r="AH75" s="70">
        <f t="shared" si="36"/>
        <v>130350585.37716998</v>
      </c>
      <c r="AI75" s="63">
        <f t="shared" si="36"/>
        <v>1082530434.41114</v>
      </c>
      <c r="AJ75" s="98"/>
      <c r="AK75" s="61"/>
      <c r="AL75" s="61"/>
      <c r="AM75" s="61"/>
      <c r="AN75" s="50"/>
      <c r="AO75" s="1">
        <f t="shared" si="35"/>
        <v>273235823.53433037</v>
      </c>
      <c r="AP75" s="38">
        <v>19.140980005264282</v>
      </c>
    </row>
    <row r="76" spans="1:42" ht="12.75" customHeight="1" x14ac:dyDescent="0.2">
      <c r="A76" s="13"/>
      <c r="B76" s="14" t="s">
        <v>92</v>
      </c>
      <c r="E76" s="68"/>
      <c r="F76" s="68"/>
      <c r="G76" s="59" t="s">
        <v>93</v>
      </c>
      <c r="H76" s="104">
        <v>-63395241</v>
      </c>
      <c r="I76" s="26">
        <v>-15848810</v>
      </c>
      <c r="J76" s="26">
        <v>0</v>
      </c>
      <c r="K76" s="104">
        <v>0</v>
      </c>
      <c r="L76" s="104">
        <v>-15848810</v>
      </c>
      <c r="M76" s="104">
        <v>0</v>
      </c>
      <c r="N76" s="104">
        <v>0</v>
      </c>
      <c r="O76" s="104">
        <v>-15848810</v>
      </c>
      <c r="P76" s="104">
        <v>0</v>
      </c>
      <c r="Q76" s="104">
        <v>0</v>
      </c>
      <c r="R76" s="104">
        <v>-15848810</v>
      </c>
      <c r="S76" s="104">
        <v>0</v>
      </c>
      <c r="T76" s="104">
        <v>0</v>
      </c>
      <c r="U76" s="35">
        <f>SUM(I76:T76)</f>
        <v>-63395240</v>
      </c>
      <c r="V76" s="105">
        <v>-50280312</v>
      </c>
      <c r="W76" s="104">
        <v>-12570078</v>
      </c>
      <c r="X76" s="104">
        <v>0</v>
      </c>
      <c r="Y76" s="104">
        <v>0</v>
      </c>
      <c r="Z76" s="104">
        <v>-12570078</v>
      </c>
      <c r="AA76" s="104">
        <v>0</v>
      </c>
      <c r="AB76" s="104">
        <v>0</v>
      </c>
      <c r="AC76" s="104">
        <v>-12570078</v>
      </c>
      <c r="AD76" s="104">
        <v>0</v>
      </c>
      <c r="AE76" s="104">
        <v>0</v>
      </c>
      <c r="AF76" s="104">
        <v>-12570078</v>
      </c>
      <c r="AG76" s="104">
        <v>0</v>
      </c>
      <c r="AH76" s="104">
        <v>0</v>
      </c>
      <c r="AI76" s="35">
        <f t="shared" ref="AI76" si="37">SUM(W76:AF76)</f>
        <v>-50280312</v>
      </c>
      <c r="AJ76" s="22"/>
      <c r="AK76" s="23"/>
      <c r="AL76" s="23"/>
      <c r="AM76" s="23"/>
      <c r="AN76" s="50"/>
      <c r="AO76" s="1">
        <f t="shared" si="35"/>
        <v>0</v>
      </c>
      <c r="AP76" s="38">
        <v>0</v>
      </c>
    </row>
    <row r="77" spans="1:42" ht="12.75" customHeight="1" x14ac:dyDescent="0.2">
      <c r="A77" s="106"/>
      <c r="B77" s="107" t="s">
        <v>94</v>
      </c>
      <c r="C77" s="108"/>
      <c r="D77" s="108"/>
      <c r="E77" s="109"/>
      <c r="F77" s="109"/>
      <c r="G77" s="110"/>
      <c r="H77" s="111">
        <f>H75+H76</f>
        <v>1049183945.6650002</v>
      </c>
      <c r="I77" s="112">
        <f>I75+I76</f>
        <v>61262447.806960002</v>
      </c>
      <c r="J77" s="112">
        <f t="shared" ref="J77:T77" si="38">J75+J76</f>
        <v>64924271.966630012</v>
      </c>
      <c r="K77" s="111">
        <f t="shared" si="38"/>
        <v>100222433.75144002</v>
      </c>
      <c r="L77" s="111">
        <f t="shared" si="38"/>
        <v>59901192.477039993</v>
      </c>
      <c r="M77" s="111">
        <f t="shared" si="38"/>
        <v>97558042.679889992</v>
      </c>
      <c r="N77" s="111">
        <f t="shared" si="38"/>
        <v>102987034.87321997</v>
      </c>
      <c r="O77" s="111">
        <f t="shared" si="38"/>
        <v>80236228.531149998</v>
      </c>
      <c r="P77" s="111">
        <f t="shared" si="38"/>
        <v>97377290.473269999</v>
      </c>
      <c r="Q77" s="111">
        <f t="shared" si="38"/>
        <v>163683329.94948</v>
      </c>
      <c r="R77" s="111">
        <f t="shared" si="38"/>
        <v>85539665.520699978</v>
      </c>
      <c r="S77" s="111">
        <f t="shared" si="38"/>
        <v>0</v>
      </c>
      <c r="T77" s="111">
        <f t="shared" si="38"/>
        <v>0</v>
      </c>
      <c r="U77" s="113">
        <f>U75+U76</f>
        <v>913691938.02977991</v>
      </c>
      <c r="V77" s="114">
        <f>V75+V76</f>
        <v>1305485945.9454703</v>
      </c>
      <c r="W77" s="115">
        <f>W75+W76</f>
        <v>72236936.439560026</v>
      </c>
      <c r="X77" s="111">
        <f t="shared" ref="X77:AH77" si="39">X75+X76</f>
        <v>90991578.400710016</v>
      </c>
      <c r="Y77" s="111">
        <f t="shared" si="39"/>
        <v>141340172.67634001</v>
      </c>
      <c r="Z77" s="111">
        <f>+Z75+Z76</f>
        <v>72956252.539679989</v>
      </c>
      <c r="AA77" s="111">
        <f t="shared" si="39"/>
        <v>116443762.86853999</v>
      </c>
      <c r="AB77" s="111">
        <f t="shared" si="39"/>
        <v>116559787.40256001</v>
      </c>
      <c r="AC77" s="111">
        <f t="shared" si="39"/>
        <v>83112818.007359982</v>
      </c>
      <c r="AD77" s="111">
        <f t="shared" si="39"/>
        <v>94605024.641590014</v>
      </c>
      <c r="AE77" s="111">
        <f t="shared" si="39"/>
        <v>153493101.93650001</v>
      </c>
      <c r="AF77" s="111">
        <f t="shared" si="39"/>
        <v>90510688.498300016</v>
      </c>
      <c r="AG77" s="111">
        <f t="shared" si="39"/>
        <v>142867934.82762998</v>
      </c>
      <c r="AH77" s="111">
        <f t="shared" si="39"/>
        <v>130350585.37716998</v>
      </c>
      <c r="AI77" s="113">
        <f>AI75+AI76</f>
        <v>1032250122.41114</v>
      </c>
      <c r="AJ77" s="67"/>
      <c r="AK77" s="61"/>
      <c r="AL77" s="61"/>
      <c r="AM77" s="61"/>
      <c r="AN77" s="50"/>
      <c r="AO77" s="1">
        <f t="shared" si="35"/>
        <v>273235823.53433037</v>
      </c>
      <c r="AP77" s="38">
        <v>19.140980005264282</v>
      </c>
    </row>
    <row r="78" spans="1:42" ht="12.75" hidden="1" customHeight="1" x14ac:dyDescent="0.2">
      <c r="A78" s="13"/>
      <c r="B78" s="14"/>
      <c r="E78" s="68"/>
      <c r="F78" s="68"/>
      <c r="G78" s="59"/>
      <c r="H78" s="70"/>
      <c r="I78" s="60"/>
      <c r="J78" s="60"/>
      <c r="K78" s="70"/>
      <c r="L78" s="70"/>
      <c r="M78" s="70"/>
      <c r="N78" s="70"/>
      <c r="O78" s="70"/>
      <c r="P78" s="70"/>
      <c r="Q78" s="70"/>
      <c r="R78" s="70"/>
      <c r="S78" s="70"/>
      <c r="T78" s="70"/>
      <c r="U78" s="63"/>
      <c r="V78" s="61"/>
      <c r="W78" s="62"/>
      <c r="X78" s="70"/>
      <c r="Y78" s="70"/>
      <c r="Z78" s="70"/>
      <c r="AA78" s="70"/>
      <c r="AB78" s="70"/>
      <c r="AC78" s="70"/>
      <c r="AD78" s="70"/>
      <c r="AE78" s="70"/>
      <c r="AF78" s="70"/>
      <c r="AG78" s="70"/>
      <c r="AH78" s="70"/>
      <c r="AI78" s="63"/>
      <c r="AJ78" s="67"/>
      <c r="AK78" s="61"/>
      <c r="AL78" s="61"/>
      <c r="AM78" s="61"/>
      <c r="AN78" s="50"/>
      <c r="AO78" s="1">
        <f t="shared" si="35"/>
        <v>0</v>
      </c>
      <c r="AP78" s="38">
        <v>0</v>
      </c>
    </row>
    <row r="79" spans="1:42" ht="12.75" hidden="1" customHeight="1" x14ac:dyDescent="0.2">
      <c r="A79" s="116"/>
      <c r="B79" s="3"/>
      <c r="C79" s="3"/>
      <c r="D79" s="3"/>
      <c r="E79" s="3"/>
      <c r="F79" s="3"/>
      <c r="G79" s="117"/>
      <c r="H79" s="77"/>
      <c r="I79" s="77"/>
      <c r="J79" s="78"/>
      <c r="K79" s="78"/>
      <c r="L79" s="78"/>
      <c r="M79" s="78"/>
      <c r="N79" s="78"/>
      <c r="O79" s="78"/>
      <c r="P79" s="78"/>
      <c r="Q79" s="78"/>
      <c r="R79" s="78"/>
      <c r="S79" s="78"/>
      <c r="T79" s="78"/>
      <c r="U79" s="118"/>
      <c r="V79" s="119"/>
      <c r="W79" s="79"/>
      <c r="X79" s="76"/>
      <c r="Y79" s="76"/>
      <c r="Z79" s="76"/>
      <c r="AA79" s="76"/>
      <c r="AB79" s="76"/>
      <c r="AC79" s="76"/>
      <c r="AD79" s="76"/>
      <c r="AE79" s="76"/>
      <c r="AF79" s="76"/>
      <c r="AG79" s="76"/>
      <c r="AH79" s="76"/>
      <c r="AI79" s="120"/>
      <c r="AJ79" s="121"/>
      <c r="AK79" s="78"/>
      <c r="AL79" s="78"/>
      <c r="AM79" s="78"/>
      <c r="AN79" s="50"/>
      <c r="AO79" s="1">
        <f t="shared" si="35"/>
        <v>0</v>
      </c>
      <c r="AP79" s="38">
        <v>0</v>
      </c>
    </row>
    <row r="80" spans="1:42" ht="12.75" customHeight="1" x14ac:dyDescent="0.2">
      <c r="A80" s="13"/>
      <c r="B80" s="14" t="s">
        <v>95</v>
      </c>
      <c r="C80" s="14"/>
      <c r="E80" s="68"/>
      <c r="F80" s="68"/>
      <c r="G80" s="59"/>
      <c r="H80" s="21">
        <f>SUM(H81:H96)-H94</f>
        <v>48747782.666538663</v>
      </c>
      <c r="I80" s="17">
        <f>SUM(I81:I96)-I94</f>
        <v>1833292.57381</v>
      </c>
      <c r="J80" s="17">
        <f t="shared" ref="J80:T80" si="40">SUM(J81:J96)-J94</f>
        <v>3182174.0558000002</v>
      </c>
      <c r="K80" s="21">
        <f t="shared" si="40"/>
        <v>8331667.6252000006</v>
      </c>
      <c r="L80" s="21">
        <f t="shared" si="40"/>
        <v>2945120.4831299996</v>
      </c>
      <c r="M80" s="21">
        <f>SUM(M81:M96)-M94</f>
        <v>4297105.98661</v>
      </c>
      <c r="N80" s="21">
        <f>SUM(N81:N96)-N94</f>
        <v>2692220.3989499998</v>
      </c>
      <c r="O80" s="21">
        <f>SUM(O81:O96)-O94</f>
        <v>2994488.5847100001</v>
      </c>
      <c r="P80" s="21">
        <f>SUM(P81:P96)-P94</f>
        <v>1840904.30532</v>
      </c>
      <c r="Q80" s="21">
        <f>SUM(Q81:Q96)-Q94</f>
        <v>12687363.820019998</v>
      </c>
      <c r="R80" s="21">
        <f t="shared" si="40"/>
        <v>1936875.9399900001</v>
      </c>
      <c r="S80" s="21">
        <f t="shared" si="40"/>
        <v>0</v>
      </c>
      <c r="T80" s="21">
        <f t="shared" si="40"/>
        <v>0</v>
      </c>
      <c r="U80" s="18">
        <f>SUM(U81:U96)-U94</f>
        <v>42741213.773539998</v>
      </c>
      <c r="V80" s="41">
        <f>SUM(V81:V96)-V94</f>
        <v>40394200.501609996</v>
      </c>
      <c r="W80" s="42">
        <f>SUM(W81:W96)-W94</f>
        <v>1587406.6461699998</v>
      </c>
      <c r="X80" s="21">
        <f t="shared" ref="X80:AE80" si="41">SUM(X81:X96)-X94</f>
        <v>5929314.6683099996</v>
      </c>
      <c r="Y80" s="21">
        <f t="shared" si="41"/>
        <v>5901305.32094</v>
      </c>
      <c r="Z80" s="21">
        <f>SUM(Z81:Z96)-Z94</f>
        <v>793556.98961999977</v>
      </c>
      <c r="AA80" s="21">
        <f t="shared" si="41"/>
        <v>1488702.7767099999</v>
      </c>
      <c r="AB80" s="42">
        <f t="shared" si="41"/>
        <v>1153941.87176</v>
      </c>
      <c r="AC80" s="42">
        <f t="shared" si="41"/>
        <v>674426.72756999999</v>
      </c>
      <c r="AD80" s="21">
        <f t="shared" si="41"/>
        <v>915686.39250999992</v>
      </c>
      <c r="AE80" s="21">
        <f t="shared" si="41"/>
        <v>6856521.4885600004</v>
      </c>
      <c r="AF80" s="21">
        <f>SUM(AF81:AF96)-AF94</f>
        <v>845840.16793999996</v>
      </c>
      <c r="AG80" s="21">
        <f>SUM(AG81:AG96)-AG94</f>
        <v>1611005.2640100003</v>
      </c>
      <c r="AH80" s="21">
        <f>SUM(AH81:AH96)-AH94</f>
        <v>10332830.81531</v>
      </c>
      <c r="AI80" s="122">
        <f>SUM(AI81:AI96)-AI94</f>
        <v>26146703.050090007</v>
      </c>
      <c r="AJ80" s="22"/>
      <c r="AK80" s="23"/>
      <c r="AL80" s="23"/>
      <c r="AM80" s="23"/>
      <c r="AN80" s="50"/>
      <c r="AO80" s="1">
        <f t="shared" si="35"/>
        <v>14247497.451519988</v>
      </c>
      <c r="AP80" s="38">
        <v>3038734.6602100059</v>
      </c>
    </row>
    <row r="81" spans="1:56" ht="12.75" customHeight="1" x14ac:dyDescent="0.2">
      <c r="A81" s="13"/>
      <c r="C81" s="123" t="s">
        <v>96</v>
      </c>
      <c r="D81" s="123"/>
      <c r="E81" s="123"/>
      <c r="F81" s="123"/>
      <c r="G81" s="59"/>
      <c r="H81" s="45"/>
      <c r="I81" s="44"/>
      <c r="J81" s="44"/>
      <c r="K81" s="45"/>
      <c r="L81" s="45"/>
      <c r="M81" s="45"/>
      <c r="N81" s="45"/>
      <c r="O81" s="45"/>
      <c r="P81" s="45"/>
      <c r="Q81" s="45"/>
      <c r="R81" s="45"/>
      <c r="S81" s="45"/>
      <c r="T81" s="45"/>
      <c r="U81" s="46"/>
      <c r="V81" s="49"/>
      <c r="W81" s="47"/>
      <c r="X81" s="124"/>
      <c r="Y81" s="124"/>
      <c r="Z81" s="45"/>
      <c r="AA81" s="124"/>
      <c r="AB81" s="124"/>
      <c r="AC81" s="124"/>
      <c r="AD81" s="124"/>
      <c r="AE81" s="124"/>
      <c r="AF81" s="124"/>
      <c r="AG81" s="124"/>
      <c r="AH81" s="124"/>
      <c r="AI81" s="46"/>
      <c r="AJ81" s="48"/>
      <c r="AK81" s="49"/>
      <c r="AL81" s="49"/>
      <c r="AM81" s="49"/>
      <c r="AN81" s="50"/>
      <c r="AO81" s="1">
        <f t="shared" si="35"/>
        <v>0</v>
      </c>
      <c r="AP81" s="38">
        <v>0</v>
      </c>
    </row>
    <row r="82" spans="1:56" ht="12.75" customHeight="1" x14ac:dyDescent="0.2">
      <c r="A82" s="13"/>
      <c r="E82" s="1" t="s">
        <v>97</v>
      </c>
      <c r="F82" s="68"/>
      <c r="G82" s="59"/>
      <c r="H82" s="45">
        <v>59302</v>
      </c>
      <c r="I82" s="73">
        <v>4157.72876</v>
      </c>
      <c r="J82" s="44">
        <f>4130.86299+21.1859999999997</f>
        <v>4152.0489899999993</v>
      </c>
      <c r="K82" s="44">
        <v>4395.3252899999989</v>
      </c>
      <c r="L82" s="44">
        <v>4188.9931699999997</v>
      </c>
      <c r="M82" s="44">
        <v>4202.1022400000002</v>
      </c>
      <c r="N82" s="44">
        <v>4417.0128500000001</v>
      </c>
      <c r="O82" s="125">
        <v>4270.09807</v>
      </c>
      <c r="P82" s="44">
        <v>4275.6802099999995</v>
      </c>
      <c r="Q82" s="44">
        <v>4336.9182999999994</v>
      </c>
      <c r="R82" s="44">
        <v>4580.9539000000004</v>
      </c>
      <c r="S82" s="44">
        <v>0</v>
      </c>
      <c r="T82" s="44">
        <v>0</v>
      </c>
      <c r="U82" s="126">
        <f t="shared" ref="U82:U88" si="42">SUM(I82:T82)</f>
        <v>42976.861779999992</v>
      </c>
      <c r="V82" s="44">
        <v>50134</v>
      </c>
      <c r="W82" s="49">
        <v>4039.0598999999997</v>
      </c>
      <c r="X82" s="45">
        <v>4205.4507000000003</v>
      </c>
      <c r="Y82" s="127">
        <v>4098.4674199999999</v>
      </c>
      <c r="Z82" s="44">
        <v>4155.7942599999997</v>
      </c>
      <c r="AA82" s="45">
        <v>4133.72408</v>
      </c>
      <c r="AB82" s="45">
        <v>4136.5518499999998</v>
      </c>
      <c r="AC82" s="45">
        <v>4172.12284</v>
      </c>
      <c r="AD82" s="45">
        <v>4225.33914</v>
      </c>
      <c r="AE82" s="45">
        <v>4112.3842999999997</v>
      </c>
      <c r="AF82" s="45">
        <v>4184.84184</v>
      </c>
      <c r="AG82" s="45">
        <v>4219.8515199999993</v>
      </c>
      <c r="AH82" s="45">
        <v>4351.3918400000002</v>
      </c>
      <c r="AI82" s="46">
        <f t="shared" ref="AI82:AI88" si="43">SUM(W82:AF82)</f>
        <v>41463.73633</v>
      </c>
      <c r="AJ82" s="48"/>
      <c r="AK82" s="49"/>
      <c r="AL82" s="49"/>
      <c r="AM82" s="49"/>
      <c r="AN82" s="50"/>
      <c r="AO82" s="1">
        <f t="shared" si="35"/>
        <v>8670.2636700000003</v>
      </c>
      <c r="AP82" s="38">
        <v>6495.505250000002</v>
      </c>
    </row>
    <row r="83" spans="1:56" ht="12.75" customHeight="1" x14ac:dyDescent="0.2">
      <c r="A83" s="13"/>
      <c r="B83" s="14"/>
      <c r="E83" s="128" t="s">
        <v>98</v>
      </c>
      <c r="F83" s="68"/>
      <c r="G83" s="59"/>
      <c r="H83" s="45">
        <v>4900</v>
      </c>
      <c r="I83" s="44">
        <v>0</v>
      </c>
      <c r="J83" s="44">
        <v>0</v>
      </c>
      <c r="K83" s="44">
        <v>415</v>
      </c>
      <c r="L83" s="45">
        <v>107</v>
      </c>
      <c r="M83" s="45">
        <v>574</v>
      </c>
      <c r="N83" s="45">
        <v>57</v>
      </c>
      <c r="O83" s="129">
        <v>-5</v>
      </c>
      <c r="P83" s="45">
        <v>171</v>
      </c>
      <c r="Q83" s="45">
        <v>187.5</v>
      </c>
      <c r="R83" s="45">
        <v>146.5</v>
      </c>
      <c r="S83" s="45">
        <v>0</v>
      </c>
      <c r="T83" s="45">
        <v>0</v>
      </c>
      <c r="U83" s="46">
        <f t="shared" si="42"/>
        <v>1653</v>
      </c>
      <c r="V83" s="44">
        <v>5453</v>
      </c>
      <c r="W83" s="49">
        <v>84.5</v>
      </c>
      <c r="X83" s="45">
        <v>250.25</v>
      </c>
      <c r="Y83" s="130">
        <v>333.5</v>
      </c>
      <c r="Z83" s="45">
        <v>734</v>
      </c>
      <c r="AA83" s="45">
        <v>299</v>
      </c>
      <c r="AB83" s="45">
        <v>400.5</v>
      </c>
      <c r="AC83" s="45">
        <v>319.5</v>
      </c>
      <c r="AD83" s="45">
        <v>794.5</v>
      </c>
      <c r="AE83" s="45">
        <v>51</v>
      </c>
      <c r="AF83" s="45">
        <v>707</v>
      </c>
      <c r="AG83" s="45">
        <v>1065</v>
      </c>
      <c r="AH83" s="45">
        <v>413.5</v>
      </c>
      <c r="AI83" s="46">
        <f t="shared" si="43"/>
        <v>3973.75</v>
      </c>
      <c r="AJ83" s="48"/>
      <c r="AK83" s="49"/>
      <c r="AL83" s="49"/>
      <c r="AM83" s="49"/>
      <c r="AN83" s="50"/>
      <c r="AO83" s="1">
        <f t="shared" si="35"/>
        <v>1479.25</v>
      </c>
      <c r="AP83" s="38">
        <v>-1.375</v>
      </c>
    </row>
    <row r="84" spans="1:56" ht="12.75" customHeight="1" x14ac:dyDescent="0.2">
      <c r="A84" s="13"/>
      <c r="E84" s="1" t="s">
        <v>99</v>
      </c>
      <c r="G84" s="15"/>
      <c r="H84" s="45">
        <v>853542.00000000012</v>
      </c>
      <c r="I84" s="73">
        <v>5135.0639899999996</v>
      </c>
      <c r="J84" s="44">
        <v>16394.861830000002</v>
      </c>
      <c r="K84" s="44">
        <v>18251.204130000002</v>
      </c>
      <c r="L84" s="44">
        <v>13622.154170000002</v>
      </c>
      <c r="M84" s="44">
        <v>31909.072619999999</v>
      </c>
      <c r="N84" s="44">
        <v>43736.20551</v>
      </c>
      <c r="O84" s="125">
        <v>29862.057910000003</v>
      </c>
      <c r="P84" s="44">
        <v>29039.146559999986</v>
      </c>
      <c r="Q84" s="44">
        <v>29489.716899999999</v>
      </c>
      <c r="R84" s="44">
        <v>10190.048159999997</v>
      </c>
      <c r="S84" s="44">
        <v>0</v>
      </c>
      <c r="T84" s="44">
        <v>0</v>
      </c>
      <c r="U84" s="126">
        <f t="shared" si="42"/>
        <v>227629.53177999999</v>
      </c>
      <c r="V84" s="44">
        <v>983247</v>
      </c>
      <c r="W84" s="49">
        <v>16199.328690000013</v>
      </c>
      <c r="X84" s="45">
        <v>22206.400459999986</v>
      </c>
      <c r="Y84" s="127">
        <v>17537.885790000008</v>
      </c>
      <c r="Z84" s="44">
        <v>24756.219070000006</v>
      </c>
      <c r="AA84" s="45">
        <v>20569.356969999983</v>
      </c>
      <c r="AB84" s="45">
        <v>23683.213469999999</v>
      </c>
      <c r="AC84" s="45">
        <v>20479.698150000022</v>
      </c>
      <c r="AD84" s="45">
        <v>21979.039249999976</v>
      </c>
      <c r="AE84" s="45">
        <v>18724.750139999993</v>
      </c>
      <c r="AF84" s="45">
        <v>19091.728890000002</v>
      </c>
      <c r="AG84" s="45">
        <v>19370.458120000003</v>
      </c>
      <c r="AH84" s="45">
        <v>20059.632680000006</v>
      </c>
      <c r="AI84" s="46">
        <f t="shared" si="43"/>
        <v>205227.62087999997</v>
      </c>
      <c r="AJ84" s="48"/>
      <c r="AK84" s="49"/>
      <c r="AL84" s="49"/>
      <c r="AM84" s="49"/>
      <c r="AN84" s="50"/>
      <c r="AO84" s="1">
        <f t="shared" si="35"/>
        <v>778019.37912000006</v>
      </c>
      <c r="AP84" s="38">
        <v>1105391.5692700001</v>
      </c>
    </row>
    <row r="85" spans="1:56" ht="12.75" customHeight="1" x14ac:dyDescent="0.2">
      <c r="A85" s="13"/>
      <c r="B85" s="14"/>
      <c r="E85" s="1" t="s">
        <v>100</v>
      </c>
      <c r="G85" s="15"/>
      <c r="H85" s="45">
        <v>904817.99999999977</v>
      </c>
      <c r="I85" s="73">
        <v>53854.645389999998</v>
      </c>
      <c r="J85" s="44">
        <f>60911.93396+50.1281600000148</f>
        <v>60962.062120000017</v>
      </c>
      <c r="K85" s="44">
        <v>73813.136580000049</v>
      </c>
      <c r="L85" s="44">
        <v>69584.14582000002</v>
      </c>
      <c r="M85" s="44">
        <v>97711.810700000002</v>
      </c>
      <c r="N85" s="44">
        <v>74635.367310000016</v>
      </c>
      <c r="O85" s="125">
        <v>76988.876439999993</v>
      </c>
      <c r="P85" s="44">
        <v>85562.79008999998</v>
      </c>
      <c r="Q85" s="44">
        <v>80740.062219999978</v>
      </c>
      <c r="R85" s="44">
        <v>46454.596799999999</v>
      </c>
      <c r="S85" s="44">
        <v>0</v>
      </c>
      <c r="T85" s="44">
        <v>0</v>
      </c>
      <c r="U85" s="126">
        <f t="shared" si="42"/>
        <v>720307.4934700001</v>
      </c>
      <c r="V85" s="44">
        <v>1357458</v>
      </c>
      <c r="W85" s="49">
        <v>63984.520299999996</v>
      </c>
      <c r="X85" s="45">
        <v>105068.4385</v>
      </c>
      <c r="Y85" s="127">
        <v>70767.325019999975</v>
      </c>
      <c r="Z85" s="44">
        <v>81030.3946</v>
      </c>
      <c r="AA85" s="45">
        <v>79107.466309999974</v>
      </c>
      <c r="AB85" s="45">
        <v>71105.663699999961</v>
      </c>
      <c r="AC85" s="45">
        <v>80850.049009999973</v>
      </c>
      <c r="AD85" s="45">
        <v>74981.931689999998</v>
      </c>
      <c r="AE85" s="45">
        <v>421312.51058000018</v>
      </c>
      <c r="AF85" s="45">
        <v>80657.74791999998</v>
      </c>
      <c r="AG85" s="45">
        <v>74893.401209999996</v>
      </c>
      <c r="AH85" s="45">
        <v>197398.86501999997</v>
      </c>
      <c r="AI85" s="46">
        <f t="shared" si="43"/>
        <v>1128866.0476300002</v>
      </c>
      <c r="AJ85" s="48"/>
      <c r="AK85" s="49"/>
      <c r="AL85" s="49"/>
      <c r="AM85" s="49"/>
      <c r="AN85" s="50"/>
      <c r="AO85" s="1">
        <f t="shared" si="35"/>
        <v>228591.95236999984</v>
      </c>
      <c r="AP85" s="38">
        <v>-38344.857600000105</v>
      </c>
    </row>
    <row r="86" spans="1:56" ht="12.75" customHeight="1" x14ac:dyDescent="0.2">
      <c r="A86" s="13"/>
      <c r="E86" s="56" t="s">
        <v>101</v>
      </c>
      <c r="F86" s="56"/>
      <c r="G86" s="57"/>
      <c r="H86" s="45">
        <v>8887.0000000000018</v>
      </c>
      <c r="I86" s="73">
        <v>158.95270000000002</v>
      </c>
      <c r="J86" s="44">
        <v>317.98962000000006</v>
      </c>
      <c r="K86" s="44">
        <v>376.63499999999999</v>
      </c>
      <c r="L86" s="45">
        <v>613.54687000000001</v>
      </c>
      <c r="M86" s="44">
        <v>490.34724999999997</v>
      </c>
      <c r="N86" s="44">
        <v>305.85806999999994</v>
      </c>
      <c r="O86" s="125">
        <v>398.16741000000007</v>
      </c>
      <c r="P86" s="44">
        <v>314.22257000000002</v>
      </c>
      <c r="Q86" s="44">
        <v>1183.7870400000002</v>
      </c>
      <c r="R86" s="44">
        <v>1586.6431100000002</v>
      </c>
      <c r="S86" s="44">
        <v>0</v>
      </c>
      <c r="T86" s="44">
        <v>0</v>
      </c>
      <c r="U86" s="126">
        <f t="shared" si="42"/>
        <v>5746.1496400000005</v>
      </c>
      <c r="V86" s="44">
        <v>8247</v>
      </c>
      <c r="W86" s="49">
        <v>670.41235999999992</v>
      </c>
      <c r="X86" s="45">
        <v>691.09739999999988</v>
      </c>
      <c r="Y86" s="127">
        <v>288.20190000000002</v>
      </c>
      <c r="Z86" s="44">
        <v>1034.31034</v>
      </c>
      <c r="AA86" s="45">
        <v>598.82432999999992</v>
      </c>
      <c r="AB86" s="45">
        <v>426.37001000000004</v>
      </c>
      <c r="AC86" s="45">
        <v>1306.4145100000001</v>
      </c>
      <c r="AD86" s="45">
        <v>823.61602000000016</v>
      </c>
      <c r="AE86" s="45">
        <v>527.51756</v>
      </c>
      <c r="AF86" s="45">
        <v>899.89923999999985</v>
      </c>
      <c r="AG86" s="45">
        <v>267.71794</v>
      </c>
      <c r="AH86" s="45">
        <v>642.74463000000003</v>
      </c>
      <c r="AI86" s="46">
        <f t="shared" si="43"/>
        <v>7266.6636699999999</v>
      </c>
      <c r="AJ86" s="48"/>
      <c r="AK86" s="49"/>
      <c r="AL86" s="49"/>
      <c r="AM86" s="49"/>
      <c r="AN86" s="50"/>
      <c r="AO86" s="1">
        <f t="shared" si="35"/>
        <v>980.33633000000009</v>
      </c>
      <c r="AP86" s="38">
        <v>199.14303000000291</v>
      </c>
    </row>
    <row r="87" spans="1:56" s="14" customFormat="1" ht="12.75" customHeight="1" x14ac:dyDescent="0.2">
      <c r="A87" s="93"/>
      <c r="C87" s="14" t="s">
        <v>102</v>
      </c>
      <c r="F87" s="72"/>
      <c r="G87" s="131"/>
      <c r="H87" s="70">
        <v>631301</v>
      </c>
      <c r="I87" s="132">
        <v>0</v>
      </c>
      <c r="J87" s="132">
        <v>43672.644369999995</v>
      </c>
      <c r="K87" s="132">
        <v>0</v>
      </c>
      <c r="L87" s="132">
        <v>73683.913189999992</v>
      </c>
      <c r="M87" s="132">
        <v>0</v>
      </c>
      <c r="N87" s="132">
        <v>0</v>
      </c>
      <c r="O87" s="133">
        <v>177084.45775999999</v>
      </c>
      <c r="P87" s="132">
        <v>0</v>
      </c>
      <c r="Q87" s="132">
        <v>0</v>
      </c>
      <c r="R87" s="132">
        <v>96854.026969999992</v>
      </c>
      <c r="S87" s="60">
        <v>0</v>
      </c>
      <c r="T87" s="60">
        <v>0</v>
      </c>
      <c r="U87" s="71">
        <f t="shared" si="42"/>
        <v>391295.04229000001</v>
      </c>
      <c r="V87" s="64">
        <v>388370</v>
      </c>
      <c r="W87" s="23">
        <v>457.86014999999998</v>
      </c>
      <c r="X87" s="66">
        <v>23005.272100000002</v>
      </c>
      <c r="Y87" s="60">
        <v>54417.97105</v>
      </c>
      <c r="Z87" s="60">
        <v>5269.59357</v>
      </c>
      <c r="AA87" s="66">
        <v>154.74808000000002</v>
      </c>
      <c r="AB87" s="66">
        <v>62255.075259999998</v>
      </c>
      <c r="AC87" s="66">
        <v>36439.328559999994</v>
      </c>
      <c r="AD87" s="66">
        <v>88764.374510000009</v>
      </c>
      <c r="AE87" s="66">
        <v>376.91915999999998</v>
      </c>
      <c r="AF87" s="66">
        <v>121.49248000000001</v>
      </c>
      <c r="AG87" s="66">
        <v>36067.773549999998</v>
      </c>
      <c r="AH87" s="66">
        <v>87446.048200000005</v>
      </c>
      <c r="AI87" s="134">
        <f t="shared" si="43"/>
        <v>271262.63491999998</v>
      </c>
      <c r="AJ87" s="22"/>
      <c r="AK87" s="23"/>
      <c r="AL87" s="23"/>
      <c r="AM87" s="23"/>
      <c r="AN87" s="43"/>
      <c r="AO87" s="1">
        <f t="shared" si="35"/>
        <v>117107.36508000002</v>
      </c>
      <c r="AP87" s="37">
        <v>89534.033969999989</v>
      </c>
    </row>
    <row r="88" spans="1:56" s="14" customFormat="1" ht="12.75" customHeight="1" x14ac:dyDescent="0.2">
      <c r="A88" s="93"/>
      <c r="C88" s="14" t="s">
        <v>103</v>
      </c>
      <c r="G88" s="135"/>
      <c r="H88" s="66">
        <v>553106.99999999988</v>
      </c>
      <c r="I88" s="64">
        <v>3631.05654</v>
      </c>
      <c r="J88" s="64">
        <v>15649.83107</v>
      </c>
      <c r="K88" s="64">
        <v>11308.06079</v>
      </c>
      <c r="L88" s="64">
        <v>19243.870549999996</v>
      </c>
      <c r="M88" s="64">
        <v>45164.593119999998</v>
      </c>
      <c r="N88" s="64">
        <v>22755.888919999998</v>
      </c>
      <c r="O88" s="136">
        <v>46387.177580000003</v>
      </c>
      <c r="P88" s="64">
        <v>17859.362980000002</v>
      </c>
      <c r="Q88" s="64">
        <v>15677.597390000001</v>
      </c>
      <c r="R88" s="64">
        <v>8375.3149599999997</v>
      </c>
      <c r="S88" s="64">
        <v>0</v>
      </c>
      <c r="T88" s="64">
        <v>0</v>
      </c>
      <c r="U88" s="71">
        <f t="shared" si="42"/>
        <v>206052.75389999998</v>
      </c>
      <c r="V88" s="64">
        <v>366722</v>
      </c>
      <c r="W88" s="23">
        <v>11083.14739</v>
      </c>
      <c r="X88" s="66">
        <v>19369.1571</v>
      </c>
      <c r="Y88" s="137">
        <v>23716.632320000001</v>
      </c>
      <c r="Z88" s="64">
        <v>86933.891780000005</v>
      </c>
      <c r="AA88" s="66">
        <v>21805.403830000003</v>
      </c>
      <c r="AB88" s="66">
        <v>23042.901619999997</v>
      </c>
      <c r="AC88" s="66">
        <v>38105.752390000009</v>
      </c>
      <c r="AD88" s="66">
        <v>18607.126390000001</v>
      </c>
      <c r="AE88" s="66">
        <v>18700.432900000003</v>
      </c>
      <c r="AF88" s="66">
        <v>40570.429290000007</v>
      </c>
      <c r="AG88" s="66">
        <v>27400.775330000004</v>
      </c>
      <c r="AH88" s="66">
        <v>240157.33004999999</v>
      </c>
      <c r="AI88" s="134">
        <f t="shared" si="43"/>
        <v>301934.87501000002</v>
      </c>
      <c r="AJ88" s="22"/>
      <c r="AK88" s="23"/>
      <c r="AL88" s="23"/>
      <c r="AM88" s="23"/>
      <c r="AN88" s="43"/>
      <c r="AO88" s="1">
        <f t="shared" si="35"/>
        <v>64787.124989999982</v>
      </c>
      <c r="AP88" s="37">
        <v>513621.87241999991</v>
      </c>
    </row>
    <row r="89" spans="1:56" s="14" customFormat="1" ht="12.75" customHeight="1" x14ac:dyDescent="0.2">
      <c r="A89" s="93"/>
      <c r="C89" s="14" t="s">
        <v>104</v>
      </c>
      <c r="E89" s="72"/>
      <c r="F89" s="72"/>
      <c r="G89" s="131"/>
      <c r="H89" s="70"/>
      <c r="I89" s="132"/>
      <c r="J89" s="60"/>
      <c r="K89" s="60"/>
      <c r="L89" s="60"/>
      <c r="M89" s="60"/>
      <c r="N89" s="60"/>
      <c r="O89" s="60"/>
      <c r="P89" s="60"/>
      <c r="Q89" s="60"/>
      <c r="R89" s="60"/>
      <c r="S89" s="60"/>
      <c r="T89" s="60"/>
      <c r="U89" s="126"/>
      <c r="V89" s="64"/>
      <c r="W89" s="49"/>
      <c r="X89" s="70"/>
      <c r="Y89" s="77"/>
      <c r="Z89" s="77"/>
      <c r="AA89" s="70"/>
      <c r="AB89" s="70"/>
      <c r="AC89" s="70"/>
      <c r="AD89" s="70"/>
      <c r="AE89" s="70"/>
      <c r="AF89" s="70"/>
      <c r="AG89" s="70"/>
      <c r="AH89" s="70"/>
      <c r="AI89" s="134"/>
      <c r="AJ89" s="22"/>
      <c r="AK89" s="23"/>
      <c r="AL89" s="23"/>
      <c r="AM89" s="23"/>
      <c r="AN89" s="43"/>
      <c r="AO89" s="1">
        <f t="shared" si="35"/>
        <v>0</v>
      </c>
      <c r="AP89" s="37">
        <v>0</v>
      </c>
    </row>
    <row r="90" spans="1:56" ht="12.75" customHeight="1" x14ac:dyDescent="0.2">
      <c r="A90" s="13"/>
      <c r="E90" s="68" t="s">
        <v>105</v>
      </c>
      <c r="F90" s="68"/>
      <c r="G90" s="59"/>
      <c r="H90" s="76">
        <v>4818494</v>
      </c>
      <c r="I90" s="73">
        <v>482155.24502999999</v>
      </c>
      <c r="J90" s="73">
        <f>202472.47722+12.445689999964</f>
        <v>202484.92290999996</v>
      </c>
      <c r="K90" s="73">
        <v>199409.31185</v>
      </c>
      <c r="L90" s="73">
        <v>129830.99192</v>
      </c>
      <c r="M90" s="73">
        <v>317057.09378999996</v>
      </c>
      <c r="N90" s="73">
        <v>234314.62327000001</v>
      </c>
      <c r="O90" s="138">
        <v>2118.2010599999994</v>
      </c>
      <c r="P90" s="73">
        <v>713323.11497</v>
      </c>
      <c r="Q90" s="73">
        <v>543830.14695999993</v>
      </c>
      <c r="R90" s="73">
        <v>362697.36484000005</v>
      </c>
      <c r="S90" s="77">
        <v>0</v>
      </c>
      <c r="T90" s="77">
        <v>0</v>
      </c>
      <c r="U90" s="118">
        <f>SUM(I90:T90)</f>
        <v>3187221.0166000002</v>
      </c>
      <c r="V90" s="44">
        <v>8447721</v>
      </c>
      <c r="W90" s="49">
        <v>255780.98400999996</v>
      </c>
      <c r="X90" s="45">
        <v>113001.25293000002</v>
      </c>
      <c r="Y90" s="77">
        <v>161237.88804000008</v>
      </c>
      <c r="Z90" s="77">
        <v>271416.64196999982</v>
      </c>
      <c r="AA90" s="45">
        <v>371299.54551000003</v>
      </c>
      <c r="AB90" s="45">
        <v>178286.11244000003</v>
      </c>
      <c r="AC90" s="45">
        <v>228969.74388999998</v>
      </c>
      <c r="AD90" s="45">
        <v>273606.31952999998</v>
      </c>
      <c r="AE90" s="45">
        <v>368984.86741999997</v>
      </c>
      <c r="AF90" s="45">
        <v>314904.80430999998</v>
      </c>
      <c r="AG90" s="45">
        <v>418372.13496000005</v>
      </c>
      <c r="AH90" s="45">
        <v>4653863.5540899988</v>
      </c>
      <c r="AI90" s="46">
        <f t="shared" ref="AI90:AI92" si="44">SUM(W90:AF90)</f>
        <v>2537488.1600500001</v>
      </c>
      <c r="AJ90" s="48"/>
      <c r="AK90" s="49"/>
      <c r="AL90" s="49"/>
      <c r="AM90" s="49"/>
      <c r="AN90" s="50"/>
      <c r="AO90" s="1">
        <f t="shared" si="35"/>
        <v>5910232.8399499999</v>
      </c>
      <c r="AP90" s="38">
        <v>1650.9752800008282</v>
      </c>
    </row>
    <row r="91" spans="1:56" ht="12.75" customHeight="1" x14ac:dyDescent="0.2">
      <c r="A91" s="13"/>
      <c r="B91" s="14"/>
      <c r="E91" s="68" t="s">
        <v>106</v>
      </c>
      <c r="F91" s="68"/>
      <c r="G91" s="59"/>
      <c r="H91" s="45">
        <v>948546.99999999988</v>
      </c>
      <c r="I91" s="73">
        <v>0</v>
      </c>
      <c r="J91" s="73">
        <v>0</v>
      </c>
      <c r="K91" s="73">
        <v>0</v>
      </c>
      <c r="L91" s="73">
        <v>216757.96463999999</v>
      </c>
      <c r="M91" s="73">
        <v>0</v>
      </c>
      <c r="N91" s="73">
        <v>0</v>
      </c>
      <c r="O91" s="138">
        <v>0</v>
      </c>
      <c r="P91" s="73">
        <v>0</v>
      </c>
      <c r="Q91" s="73">
        <v>102356.41051999999</v>
      </c>
      <c r="R91" s="73">
        <v>0</v>
      </c>
      <c r="S91" s="44">
        <v>0</v>
      </c>
      <c r="T91" s="44">
        <v>0</v>
      </c>
      <c r="U91" s="126">
        <f>SUM(I91:T91)</f>
        <v>319114.37516</v>
      </c>
      <c r="V91" s="44">
        <v>707447</v>
      </c>
      <c r="W91" s="49">
        <v>0</v>
      </c>
      <c r="X91" s="45">
        <v>0</v>
      </c>
      <c r="Y91" s="127">
        <v>516408.63178</v>
      </c>
      <c r="Z91" s="44">
        <v>0</v>
      </c>
      <c r="AA91" s="45">
        <v>0</v>
      </c>
      <c r="AB91" s="45">
        <v>0</v>
      </c>
      <c r="AC91" s="45">
        <v>0</v>
      </c>
      <c r="AD91" s="45">
        <v>0</v>
      </c>
      <c r="AE91" s="45">
        <v>190418.09088000003</v>
      </c>
      <c r="AF91" s="45">
        <v>0</v>
      </c>
      <c r="AG91" s="45">
        <v>0</v>
      </c>
      <c r="AH91" s="45">
        <v>0</v>
      </c>
      <c r="AI91" s="46">
        <f t="shared" si="44"/>
        <v>706826.72265999997</v>
      </c>
      <c r="AJ91" s="48"/>
      <c r="AK91" s="49"/>
      <c r="AL91" s="49"/>
      <c r="AM91" s="49"/>
      <c r="AN91" s="50"/>
      <c r="AO91" s="1">
        <f t="shared" si="35"/>
        <v>620.27734000002965</v>
      </c>
      <c r="AP91" s="38">
        <v>0.42619000002741814</v>
      </c>
    </row>
    <row r="92" spans="1:56" ht="12.6" customHeight="1" x14ac:dyDescent="0.2">
      <c r="A92" s="13"/>
      <c r="E92" s="68" t="s">
        <v>107</v>
      </c>
      <c r="F92" s="68"/>
      <c r="G92" s="59"/>
      <c r="H92" s="45">
        <v>9970361</v>
      </c>
      <c r="I92" s="73">
        <v>1215.8561399999999</v>
      </c>
      <c r="J92" s="73">
        <v>6536.7468999999501</v>
      </c>
      <c r="K92" s="73">
        <v>4667806.4456400005</v>
      </c>
      <c r="L92" s="73">
        <v>-1176720.2021300001</v>
      </c>
      <c r="M92" s="73">
        <v>349787.30255999998</v>
      </c>
      <c r="N92" s="73">
        <v>257470.79566999999</v>
      </c>
      <c r="O92" s="138">
        <v>80879.446850000008</v>
      </c>
      <c r="P92" s="73">
        <v>31856.73014</v>
      </c>
      <c r="Q92" s="73">
        <v>9145970.8990499992</v>
      </c>
      <c r="R92" s="73">
        <v>25594.85658</v>
      </c>
      <c r="S92" s="44">
        <v>0</v>
      </c>
      <c r="T92" s="44">
        <v>0</v>
      </c>
      <c r="U92" s="126">
        <f>SUM(I92:T92)</f>
        <v>13390398.8774</v>
      </c>
      <c r="V92" s="44">
        <v>11831222</v>
      </c>
      <c r="W92" s="49">
        <v>-5657.8327199999994</v>
      </c>
      <c r="X92" s="45">
        <v>41115.461739999999</v>
      </c>
      <c r="Y92" s="127">
        <v>4767655.2598700002</v>
      </c>
      <c r="Z92" s="44">
        <v>9506.9745599999987</v>
      </c>
      <c r="AA92" s="45">
        <v>380607.92888999998</v>
      </c>
      <c r="AB92" s="45">
        <v>232357.98866999999</v>
      </c>
      <c r="AC92" s="45">
        <v>26369.738539999998</v>
      </c>
      <c r="AD92" s="45">
        <v>-2628.7111500000001</v>
      </c>
      <c r="AE92" s="45">
        <v>5648692.5219100006</v>
      </c>
      <c r="AF92" s="45">
        <v>30086.185430000001</v>
      </c>
      <c r="AG92" s="45">
        <v>423557.45937</v>
      </c>
      <c r="AH92" s="45">
        <v>277479.02740000002</v>
      </c>
      <c r="AI92" s="46">
        <f t="shared" si="44"/>
        <v>11128105.515740002</v>
      </c>
      <c r="AJ92" s="48"/>
      <c r="AK92" s="49"/>
      <c r="AL92" s="49"/>
      <c r="AM92" s="49"/>
      <c r="AN92" s="50"/>
      <c r="AO92" s="1">
        <f t="shared" si="35"/>
        <v>703116.48425999843</v>
      </c>
      <c r="AP92" s="38">
        <v>1846.8231500033289</v>
      </c>
    </row>
    <row r="93" spans="1:56" s="38" customFormat="1" ht="12.75" customHeight="1" x14ac:dyDescent="0.2">
      <c r="A93" s="50"/>
      <c r="E93" s="74" t="s">
        <v>108</v>
      </c>
      <c r="F93" s="74"/>
      <c r="G93" s="59"/>
      <c r="H93" s="82"/>
      <c r="I93" s="73"/>
      <c r="J93" s="73"/>
      <c r="K93" s="73"/>
      <c r="L93" s="73"/>
      <c r="M93" s="73"/>
      <c r="N93" s="73"/>
      <c r="O93" s="138"/>
      <c r="P93" s="73"/>
      <c r="Q93" s="73"/>
      <c r="R93" s="73"/>
      <c r="S93" s="15"/>
      <c r="T93" s="15"/>
      <c r="U93" s="139"/>
      <c r="V93" s="15"/>
      <c r="W93" s="49"/>
      <c r="X93" s="82"/>
      <c r="Y93" s="140"/>
      <c r="Z93" s="15"/>
      <c r="AA93" s="82"/>
      <c r="AB93" s="82"/>
      <c r="AC93" s="82"/>
      <c r="AD93" s="82"/>
      <c r="AE93" s="82"/>
      <c r="AF93" s="82"/>
      <c r="AG93" s="82"/>
      <c r="AH93" s="82"/>
      <c r="AI93" s="46"/>
      <c r="AJ93" s="48"/>
      <c r="AK93" s="49"/>
      <c r="AL93" s="49"/>
      <c r="AM93" s="49"/>
      <c r="AN93" s="50"/>
      <c r="AO93" s="1">
        <f t="shared" si="35"/>
        <v>0</v>
      </c>
      <c r="AP93" s="38">
        <v>0</v>
      </c>
      <c r="AR93" s="141" t="s">
        <v>109</v>
      </c>
      <c r="AS93" s="141" t="s">
        <v>110</v>
      </c>
      <c r="AV93" s="1"/>
    </row>
    <row r="94" spans="1:56" s="38" customFormat="1" ht="12.75" customHeight="1" x14ac:dyDescent="0.2">
      <c r="A94" s="50"/>
      <c r="E94" s="142" t="s">
        <v>111</v>
      </c>
      <c r="F94" s="74"/>
      <c r="G94" s="59"/>
      <c r="H94" s="82">
        <v>9931915.0000000019</v>
      </c>
      <c r="I94" s="59">
        <v>380.17591999999996</v>
      </c>
      <c r="J94" s="59">
        <v>6086.8554899999872</v>
      </c>
      <c r="K94" s="59">
        <v>4667661.56489</v>
      </c>
      <c r="L94" s="59">
        <v>-1177127.9675199999</v>
      </c>
      <c r="M94" s="59">
        <v>349172.53522000002</v>
      </c>
      <c r="N94" s="59">
        <v>256221.06475999998</v>
      </c>
      <c r="O94" s="143">
        <v>78001.98659</v>
      </c>
      <c r="P94" s="59">
        <v>30483.555270000001</v>
      </c>
      <c r="Q94" s="59">
        <v>9144973.6955900006</v>
      </c>
      <c r="R94" s="59">
        <v>25125.251239999998</v>
      </c>
      <c r="S94" s="15">
        <v>0</v>
      </c>
      <c r="T94" s="15">
        <v>0</v>
      </c>
      <c r="U94" s="139">
        <f>SUM(I94:T94)</f>
        <v>13380978.71745</v>
      </c>
      <c r="V94" s="144">
        <v>11830241</v>
      </c>
      <c r="W94" s="85">
        <v>-7334.9199100000005</v>
      </c>
      <c r="X94" s="145">
        <v>36755.333070000008</v>
      </c>
      <c r="Y94" s="140">
        <v>4765511.9956200002</v>
      </c>
      <c r="Z94" s="15">
        <v>6054.1492800000005</v>
      </c>
      <c r="AA94" s="145">
        <v>379623.93800000002</v>
      </c>
      <c r="AB94" s="145">
        <v>229496.76089999999</v>
      </c>
      <c r="AC94" s="145">
        <v>24177.015530000001</v>
      </c>
      <c r="AD94" s="145">
        <v>-4490</v>
      </c>
      <c r="AE94" s="145">
        <v>5647202.7313400004</v>
      </c>
      <c r="AF94" s="145">
        <v>29194.527320000001</v>
      </c>
      <c r="AG94" s="145">
        <v>422131.29044999997</v>
      </c>
      <c r="AH94" s="145">
        <v>276730.21047000005</v>
      </c>
      <c r="AI94" s="84">
        <f t="shared" ref="AI94:AI96" si="45">SUM(W94:AF94)</f>
        <v>11106191.53115</v>
      </c>
      <c r="AJ94" s="86"/>
      <c r="AK94" s="85"/>
      <c r="AL94" s="85"/>
      <c r="AM94" s="85"/>
      <c r="AN94" s="50"/>
      <c r="AO94" s="1">
        <f t="shared" si="35"/>
        <v>724049.46884999983</v>
      </c>
      <c r="AP94" s="38">
        <v>-413476.23652999662</v>
      </c>
      <c r="AR94" s="38">
        <f>+V75</f>
        <v>1355766257.9454703</v>
      </c>
      <c r="AS94" s="38" t="e">
        <f>+#REF!</f>
        <v>#REF!</v>
      </c>
      <c r="AT94" s="38" t="str">
        <f>+B75</f>
        <v>Total tax revenue (gross)</v>
      </c>
      <c r="AV94" s="1"/>
    </row>
    <row r="95" spans="1:56" s="14" customFormat="1" ht="12.75" customHeight="1" x14ac:dyDescent="0.2">
      <c r="A95" s="93"/>
      <c r="C95" s="14" t="s">
        <v>112</v>
      </c>
      <c r="E95" s="72"/>
      <c r="F95" s="72"/>
      <c r="G95" s="131"/>
      <c r="H95" s="66">
        <v>98312.999999999985</v>
      </c>
      <c r="I95" s="132">
        <v>2077.8758600000001</v>
      </c>
      <c r="J95" s="132">
        <v>46.144419999999997</v>
      </c>
      <c r="K95" s="132">
        <v>916.66796999999997</v>
      </c>
      <c r="L95" s="132">
        <v>23713.248240000001</v>
      </c>
      <c r="M95" s="132">
        <v>6222.0098100000005</v>
      </c>
      <c r="N95" s="132">
        <v>20620.294889999997</v>
      </c>
      <c r="O95" s="133">
        <v>9263.0954299999994</v>
      </c>
      <c r="P95" s="132">
        <v>5920.0318499999994</v>
      </c>
      <c r="Q95" s="132">
        <v>27392.769390000001</v>
      </c>
      <c r="R95" s="132">
        <v>92.042209999999997</v>
      </c>
      <c r="S95" s="132">
        <v>0</v>
      </c>
      <c r="T95" s="132">
        <v>0</v>
      </c>
      <c r="U95" s="146">
        <f>SUM(I95:T95)</f>
        <v>96264.180070000002</v>
      </c>
      <c r="V95" s="64">
        <v>119090</v>
      </c>
      <c r="W95" s="23">
        <v>5438.2048099999993</v>
      </c>
      <c r="X95" s="66">
        <v>6565.1272600000011</v>
      </c>
      <c r="Y95" s="137">
        <v>656.6812000000001</v>
      </c>
      <c r="Z95" s="64">
        <v>12160.331600000001</v>
      </c>
      <c r="AA95" s="66">
        <v>7938.5100700000003</v>
      </c>
      <c r="AB95" s="66">
        <v>2807.8927999999996</v>
      </c>
      <c r="AC95" s="66">
        <v>23742.665419999998</v>
      </c>
      <c r="AD95" s="66">
        <v>12790.411450000001</v>
      </c>
      <c r="AE95" s="66">
        <v>6513.8173900000002</v>
      </c>
      <c r="AF95" s="66">
        <v>8706.8478699999996</v>
      </c>
      <c r="AG95" s="66">
        <v>5262.6681800000006</v>
      </c>
      <c r="AH95" s="66">
        <v>17789.888300000002</v>
      </c>
      <c r="AI95" s="134">
        <f t="shared" si="45"/>
        <v>87320.48986999999</v>
      </c>
      <c r="AJ95" s="22"/>
      <c r="AK95" s="23"/>
      <c r="AL95" s="23"/>
      <c r="AM95" s="23"/>
      <c r="AN95" s="43"/>
      <c r="AO95" s="1">
        <f>+V95-AI95</f>
        <v>31769.51013000001</v>
      </c>
      <c r="AP95" s="37">
        <v>8721.9927100000059</v>
      </c>
      <c r="AR95" s="14">
        <f>+V131</f>
        <v>42755354.662430003</v>
      </c>
      <c r="AS95" s="14" t="e">
        <f>+#REF!</f>
        <v>#REF!</v>
      </c>
      <c r="AT95" s="14" t="str">
        <f>+A131</f>
        <v>Revenue collected on behalf of the RAF</v>
      </c>
      <c r="BD95" s="73"/>
    </row>
    <row r="96" spans="1:56" s="14" customFormat="1" ht="12" customHeight="1" x14ac:dyDescent="0.2">
      <c r="A96" s="93"/>
      <c r="C96" s="14" t="s">
        <v>113</v>
      </c>
      <c r="G96" s="131"/>
      <c r="H96" s="64">
        <v>29896210.666538663</v>
      </c>
      <c r="I96" s="64">
        <f t="shared" ref="I96:N96" si="46">SUM(I97:I100)+I113</f>
        <v>1280906.1494</v>
      </c>
      <c r="J96" s="64">
        <f t="shared" si="46"/>
        <v>2831956.80357</v>
      </c>
      <c r="K96" s="66">
        <f t="shared" si="46"/>
        <v>3354975.8379500001</v>
      </c>
      <c r="L96" s="66">
        <f t="shared" si="46"/>
        <v>3570494.8566899998</v>
      </c>
      <c r="M96" s="66">
        <f t="shared" si="46"/>
        <v>3443987.6545199999</v>
      </c>
      <c r="N96" s="66">
        <f t="shared" si="46"/>
        <v>2033907.35246</v>
      </c>
      <c r="O96" s="147">
        <f>-14169.9938+O113</f>
        <v>2567242.0062000002</v>
      </c>
      <c r="P96" s="66">
        <f>52024.22595+P113</f>
        <v>952582.22594999999</v>
      </c>
      <c r="Q96" s="66">
        <f>37245.01225+Q113</f>
        <v>2736198.0122500001</v>
      </c>
      <c r="R96" s="66">
        <f>SUM(R97:R100)+R113</f>
        <v>1380303.59246</v>
      </c>
      <c r="S96" s="66">
        <f>SUM(S97:S100)+S113</f>
        <v>0</v>
      </c>
      <c r="T96" s="66">
        <f>SUM(T97:T100)+T113</f>
        <v>0</v>
      </c>
      <c r="U96" s="134">
        <f>SUM(I96:T96)</f>
        <v>24152554.491449997</v>
      </c>
      <c r="V96" s="64">
        <v>16129089.501609996</v>
      </c>
      <c r="W96" s="23">
        <f t="shared" ref="W96:AG96" si="47">SUM(W97:W100)+W113</f>
        <v>1235326.4612799999</v>
      </c>
      <c r="X96" s="66">
        <f t="shared" si="47"/>
        <v>5593836.7601199998</v>
      </c>
      <c r="Y96" s="148">
        <f t="shared" si="47"/>
        <v>284186.87654999999</v>
      </c>
      <c r="Z96" s="66">
        <f t="shared" si="47"/>
        <v>296558.83786999999</v>
      </c>
      <c r="AA96" s="66">
        <f t="shared" si="47"/>
        <v>602188.26864000002</v>
      </c>
      <c r="AB96" s="66">
        <f t="shared" si="47"/>
        <v>555439.60193999996</v>
      </c>
      <c r="AC96" s="66">
        <f t="shared" si="47"/>
        <v>213671.71426000001</v>
      </c>
      <c r="AD96" s="66">
        <f t="shared" si="47"/>
        <v>421742.44568</v>
      </c>
      <c r="AE96" s="66">
        <f t="shared" si="47"/>
        <v>178106.67632</v>
      </c>
      <c r="AF96" s="66">
        <f t="shared" si="47"/>
        <v>345909.19066999998</v>
      </c>
      <c r="AG96" s="66">
        <f t="shared" si="47"/>
        <v>600528.02382999996</v>
      </c>
      <c r="AH96" s="66">
        <f>SUM(AH97:AH100)+AH113+1479589</f>
        <v>4833228.8331000004</v>
      </c>
      <c r="AI96" s="134">
        <f t="shared" si="45"/>
        <v>9726966.8333300017</v>
      </c>
      <c r="AJ96" s="22"/>
      <c r="AK96" s="23"/>
      <c r="AL96" s="23"/>
      <c r="AM96" s="23"/>
      <c r="AN96" s="43"/>
      <c r="AO96" s="1">
        <f>+V96-AI96</f>
        <v>6402122.6682799943</v>
      </c>
      <c r="AP96" s="1">
        <v>1349618.5515399985</v>
      </c>
      <c r="AR96" s="14">
        <f>+V132</f>
        <v>20100560.826980002</v>
      </c>
      <c r="AS96" s="14" t="e">
        <f>+#REF!</f>
        <v>#REF!</v>
      </c>
      <c r="AT96" s="14" t="str">
        <f>+A132</f>
        <v>Revenue collected on behalf of the UIF</v>
      </c>
    </row>
    <row r="97" spans="1:42" ht="12" hidden="1" customHeight="1" x14ac:dyDescent="0.2">
      <c r="A97" s="13"/>
      <c r="E97" s="1" t="s">
        <v>114</v>
      </c>
      <c r="G97" s="149"/>
      <c r="H97" s="45">
        <v>0</v>
      </c>
      <c r="I97" s="45">
        <v>0</v>
      </c>
      <c r="J97" s="45">
        <v>0</v>
      </c>
      <c r="K97" s="45">
        <v>0</v>
      </c>
      <c r="L97" s="45">
        <v>0</v>
      </c>
      <c r="M97" s="45">
        <v>0</v>
      </c>
      <c r="N97" s="45">
        <v>0</v>
      </c>
      <c r="O97" s="129">
        <v>0</v>
      </c>
      <c r="P97" s="45">
        <v>0</v>
      </c>
      <c r="Q97" s="45">
        <v>0</v>
      </c>
      <c r="R97" s="45">
        <v>0</v>
      </c>
      <c r="S97" s="45">
        <v>0</v>
      </c>
      <c r="T97" s="45">
        <v>0</v>
      </c>
      <c r="U97" s="46">
        <v>0</v>
      </c>
      <c r="V97" s="44">
        <v>0</v>
      </c>
      <c r="W97" s="49">
        <v>0</v>
      </c>
      <c r="X97" s="45">
        <v>0</v>
      </c>
      <c r="Y97" s="150">
        <v>0</v>
      </c>
      <c r="Z97" s="45">
        <v>0</v>
      </c>
      <c r="AA97" s="45">
        <v>0</v>
      </c>
      <c r="AB97" s="45">
        <v>0</v>
      </c>
      <c r="AC97" s="45">
        <v>0</v>
      </c>
      <c r="AD97" s="45">
        <v>0</v>
      </c>
      <c r="AE97" s="45">
        <v>0</v>
      </c>
      <c r="AF97" s="45">
        <v>0</v>
      </c>
      <c r="AG97" s="45">
        <v>0</v>
      </c>
      <c r="AH97" s="45">
        <v>0</v>
      </c>
      <c r="AI97" s="46">
        <f t="shared" ref="AI97:AI111" si="48">SUM(W97:AD97)</f>
        <v>0</v>
      </c>
      <c r="AJ97" s="48"/>
      <c r="AK97" s="49"/>
      <c r="AL97" s="49"/>
      <c r="AM97" s="49"/>
      <c r="AN97" s="50"/>
      <c r="AO97" s="1">
        <f>+V97-AI97</f>
        <v>0</v>
      </c>
      <c r="AP97" s="38">
        <v>0</v>
      </c>
    </row>
    <row r="98" spans="1:42" ht="12.75" hidden="1" customHeight="1" x14ac:dyDescent="0.2">
      <c r="A98" s="13"/>
      <c r="E98" s="151" t="s">
        <v>115</v>
      </c>
      <c r="F98" s="152"/>
      <c r="G98" s="68"/>
      <c r="H98" s="153">
        <v>3841</v>
      </c>
      <c r="I98" s="45">
        <v>0</v>
      </c>
      <c r="J98" s="45">
        <v>0</v>
      </c>
      <c r="K98" s="45">
        <v>0</v>
      </c>
      <c r="L98" s="45">
        <v>0</v>
      </c>
      <c r="M98" s="45">
        <v>0</v>
      </c>
      <c r="N98" s="45">
        <v>0</v>
      </c>
      <c r="O98" s="129">
        <v>0</v>
      </c>
      <c r="P98" s="45">
        <v>1684.28188</v>
      </c>
      <c r="Q98" s="45">
        <v>0</v>
      </c>
      <c r="R98" s="45">
        <v>0</v>
      </c>
      <c r="S98" s="45">
        <v>0</v>
      </c>
      <c r="T98" s="45">
        <v>0</v>
      </c>
      <c r="U98" s="46">
        <v>0</v>
      </c>
      <c r="V98" s="44">
        <v>0</v>
      </c>
      <c r="W98" s="49">
        <v>0</v>
      </c>
      <c r="X98" s="45">
        <v>0</v>
      </c>
      <c r="Y98" s="150">
        <v>0</v>
      </c>
      <c r="Z98" s="45">
        <v>1504.76965</v>
      </c>
      <c r="AA98" s="45">
        <v>0</v>
      </c>
      <c r="AB98" s="45">
        <v>0</v>
      </c>
      <c r="AC98" s="45">
        <v>0.5438099999999999</v>
      </c>
      <c r="AD98" s="45">
        <v>0</v>
      </c>
      <c r="AE98" s="45">
        <v>1593.09617</v>
      </c>
      <c r="AF98" s="45">
        <v>0</v>
      </c>
      <c r="AG98" s="45">
        <v>-0.45380999999999999</v>
      </c>
      <c r="AH98" s="45">
        <v>-0.25</v>
      </c>
      <c r="AI98" s="46">
        <f t="shared" si="48"/>
        <v>1505.3134599999998</v>
      </c>
      <c r="AJ98" s="48"/>
      <c r="AK98" s="49"/>
      <c r="AL98" s="49"/>
      <c r="AM98" s="49"/>
      <c r="AN98" s="50"/>
      <c r="AO98" s="1">
        <f>+V98-AI98</f>
        <v>-1505.3134599999998</v>
      </c>
      <c r="AP98" s="38">
        <v>0</v>
      </c>
    </row>
    <row r="99" spans="1:42" ht="12.75" hidden="1" customHeight="1" x14ac:dyDescent="0.2">
      <c r="A99" s="13"/>
      <c r="E99" s="68" t="s">
        <v>116</v>
      </c>
      <c r="F99" s="152"/>
      <c r="G99" s="68"/>
      <c r="H99" s="153">
        <v>283978</v>
      </c>
      <c r="I99" s="45">
        <v>18853.483210000002</v>
      </c>
      <c r="J99" s="45">
        <f>19033.77909+8.19596999999339</f>
        <v>19041.975059999993</v>
      </c>
      <c r="K99" s="45">
        <v>21892.433510000003</v>
      </c>
      <c r="L99" s="45">
        <v>14593.450540000005</v>
      </c>
      <c r="M99" s="45">
        <v>15284.014260000007</v>
      </c>
      <c r="N99" s="45">
        <v>28338.520590000004</v>
      </c>
      <c r="O99" s="129">
        <v>15376.661620000003</v>
      </c>
      <c r="P99" s="45">
        <v>30534.247729999999</v>
      </c>
      <c r="Q99" s="45">
        <v>22950.118330000001</v>
      </c>
      <c r="R99" s="45">
        <v>5686.7550499999998</v>
      </c>
      <c r="S99" s="45">
        <v>0</v>
      </c>
      <c r="T99" s="45">
        <v>0</v>
      </c>
      <c r="U99" s="46">
        <v>0</v>
      </c>
      <c r="V99" s="44">
        <v>628717</v>
      </c>
      <c r="W99" s="49">
        <v>24408.137859999999</v>
      </c>
      <c r="X99" s="45">
        <v>40689.833230000011</v>
      </c>
      <c r="Y99" s="150">
        <v>18392.487480000003</v>
      </c>
      <c r="Z99" s="45">
        <v>35678.211889999991</v>
      </c>
      <c r="AA99" s="45">
        <v>26279.083500000001</v>
      </c>
      <c r="AB99" s="45">
        <v>33922.239409999995</v>
      </c>
      <c r="AC99" s="45">
        <v>25873.676879999995</v>
      </c>
      <c r="AD99" s="45">
        <v>27443.008200000007</v>
      </c>
      <c r="AE99" s="45">
        <v>17919.739340000004</v>
      </c>
      <c r="AF99" s="45">
        <v>22053.832720000002</v>
      </c>
      <c r="AG99" s="45">
        <v>31630.425299999995</v>
      </c>
      <c r="AH99" s="45">
        <v>39729.460880000006</v>
      </c>
      <c r="AI99" s="46">
        <f t="shared" si="48"/>
        <v>232686.67844999998</v>
      </c>
      <c r="AJ99" s="48"/>
      <c r="AK99" s="49"/>
      <c r="AL99" s="49"/>
      <c r="AM99" s="49"/>
      <c r="AN99" s="50"/>
      <c r="AO99" s="1">
        <f t="shared" ref="AO99:AO111" si="49">+V99-AI99</f>
        <v>396030.32154999999</v>
      </c>
      <c r="AP99" s="38">
        <v>0</v>
      </c>
    </row>
    <row r="100" spans="1:42" ht="12.75" hidden="1" customHeight="1" x14ac:dyDescent="0.2">
      <c r="A100" s="13"/>
      <c r="E100" s="68" t="s">
        <v>117</v>
      </c>
      <c r="F100" s="152"/>
      <c r="G100" s="68"/>
      <c r="H100" s="153">
        <v>741138.66653866321</v>
      </c>
      <c r="I100" s="45">
        <f>SUM(I101:I111)</f>
        <v>25563.66619</v>
      </c>
      <c r="J100" s="45">
        <f>SUM(J101:J111)</f>
        <v>5774.8285100000012</v>
      </c>
      <c r="K100" s="45">
        <f>SUM(K101:K111)</f>
        <v>13129.404440000004</v>
      </c>
      <c r="L100" s="45">
        <f>SUM(L101:L111)</f>
        <v>5578.4061500000007</v>
      </c>
      <c r="M100" s="45">
        <v>267196.64026000001</v>
      </c>
      <c r="N100" s="45">
        <f>SUM(N101:N111)</f>
        <v>63991.831869999995</v>
      </c>
      <c r="O100" s="129">
        <v>-29546.655419999999</v>
      </c>
      <c r="P100" s="45">
        <v>19805.696339999999</v>
      </c>
      <c r="Q100" s="45">
        <v>14294.893919999999</v>
      </c>
      <c r="R100" s="45">
        <f>SUM(R101:R111)</f>
        <v>13896.837409999998</v>
      </c>
      <c r="S100" s="45">
        <v>0</v>
      </c>
      <c r="T100" s="45">
        <v>0</v>
      </c>
      <c r="U100" s="46">
        <v>0</v>
      </c>
      <c r="V100" s="44">
        <v>1219450.501609996</v>
      </c>
      <c r="W100" s="49">
        <f t="shared" ref="W100:AH100" si="50">SUM(W101:W111)</f>
        <v>19400.323420000001</v>
      </c>
      <c r="X100" s="45">
        <f t="shared" si="50"/>
        <v>30768.926889999999</v>
      </c>
      <c r="Y100" s="150">
        <f t="shared" si="50"/>
        <v>72466.38906999999</v>
      </c>
      <c r="Z100" s="45">
        <f t="shared" si="50"/>
        <v>22547.856329999999</v>
      </c>
      <c r="AA100" s="45">
        <f t="shared" si="50"/>
        <v>39028.185140000001</v>
      </c>
      <c r="AB100" s="45">
        <f t="shared" si="50"/>
        <v>211872.36252999995</v>
      </c>
      <c r="AC100" s="45">
        <f t="shared" si="50"/>
        <v>38218.493570000006</v>
      </c>
      <c r="AD100" s="45">
        <f t="shared" si="50"/>
        <v>4322.4374799999996</v>
      </c>
      <c r="AE100" s="45">
        <f t="shared" si="50"/>
        <v>15308.84081</v>
      </c>
      <c r="AF100" s="45">
        <f t="shared" si="50"/>
        <v>16302.357950000001</v>
      </c>
      <c r="AG100" s="45">
        <f t="shared" si="50"/>
        <v>10483.05234</v>
      </c>
      <c r="AH100" s="45">
        <f t="shared" si="50"/>
        <v>51964.622219999983</v>
      </c>
      <c r="AI100" s="46">
        <f t="shared" si="48"/>
        <v>438624.97442999994</v>
      </c>
      <c r="AJ100" s="48"/>
      <c r="AK100" s="49"/>
      <c r="AL100" s="49"/>
      <c r="AM100" s="49"/>
      <c r="AN100" s="50"/>
      <c r="AO100" s="1">
        <f t="shared" si="49"/>
        <v>780825.52717999602</v>
      </c>
      <c r="AP100" s="38">
        <v>0</v>
      </c>
    </row>
    <row r="101" spans="1:42" ht="12.75" hidden="1" customHeight="1" x14ac:dyDescent="0.2">
      <c r="A101" s="13"/>
      <c r="E101" s="152" t="s">
        <v>118</v>
      </c>
      <c r="F101" s="152"/>
      <c r="G101" s="68"/>
      <c r="H101" s="154"/>
      <c r="I101" s="45">
        <v>0</v>
      </c>
      <c r="J101" s="45">
        <v>0</v>
      </c>
      <c r="K101" s="45">
        <v>0</v>
      </c>
      <c r="L101" s="45">
        <v>0</v>
      </c>
      <c r="M101" s="45">
        <v>0</v>
      </c>
      <c r="N101" s="45">
        <v>0</v>
      </c>
      <c r="O101" s="129">
        <v>0</v>
      </c>
      <c r="P101" s="45">
        <v>0</v>
      </c>
      <c r="Q101" s="45">
        <v>0</v>
      </c>
      <c r="R101" s="45">
        <v>0</v>
      </c>
      <c r="S101" s="45">
        <v>0</v>
      </c>
      <c r="T101" s="45">
        <v>0</v>
      </c>
      <c r="U101" s="46">
        <v>0</v>
      </c>
      <c r="V101" s="44">
        <v>146.27474000000001</v>
      </c>
      <c r="W101" s="49">
        <v>0</v>
      </c>
      <c r="X101" s="45">
        <v>0</v>
      </c>
      <c r="Y101" s="150">
        <v>0</v>
      </c>
      <c r="Z101" s="45">
        <v>146.15614000000002</v>
      </c>
      <c r="AA101" s="45">
        <v>0.1186</v>
      </c>
      <c r="AB101" s="45">
        <v>0</v>
      </c>
      <c r="AC101" s="45">
        <v>0</v>
      </c>
      <c r="AD101" s="45">
        <v>0</v>
      </c>
      <c r="AE101" s="45">
        <v>0</v>
      </c>
      <c r="AF101" s="45">
        <v>0</v>
      </c>
      <c r="AG101" s="45">
        <v>9.8306100000000001</v>
      </c>
      <c r="AH101" s="45">
        <v>0</v>
      </c>
      <c r="AI101" s="46">
        <f t="shared" si="48"/>
        <v>146.27474000000001</v>
      </c>
      <c r="AJ101" s="48"/>
      <c r="AK101" s="49"/>
      <c r="AL101" s="49"/>
      <c r="AM101" s="49"/>
      <c r="AN101" s="50"/>
      <c r="AO101" s="1">
        <f t="shared" si="49"/>
        <v>0</v>
      </c>
      <c r="AP101" s="38">
        <v>0</v>
      </c>
    </row>
    <row r="102" spans="1:42" ht="12.75" hidden="1" customHeight="1" x14ac:dyDescent="0.2">
      <c r="A102" s="13"/>
      <c r="E102" s="152" t="s">
        <v>119</v>
      </c>
      <c r="F102" s="152"/>
      <c r="G102" s="68"/>
      <c r="H102" s="154"/>
      <c r="I102" s="45">
        <v>0</v>
      </c>
      <c r="J102" s="45">
        <v>0</v>
      </c>
      <c r="K102" s="45">
        <v>0</v>
      </c>
      <c r="L102" s="45">
        <v>0</v>
      </c>
      <c r="M102" s="45">
        <v>0</v>
      </c>
      <c r="N102" s="45">
        <v>302.06428999999997</v>
      </c>
      <c r="O102" s="129">
        <v>0</v>
      </c>
      <c r="P102" s="45">
        <v>381.37377000000004</v>
      </c>
      <c r="Q102" s="45">
        <v>2.9999999999999997E-5</v>
      </c>
      <c r="R102" s="45">
        <v>0</v>
      </c>
      <c r="S102" s="45">
        <v>0</v>
      </c>
      <c r="T102" s="45">
        <v>0</v>
      </c>
      <c r="U102" s="46">
        <v>0</v>
      </c>
      <c r="V102" s="44">
        <v>312.76666</v>
      </c>
      <c r="W102" s="49">
        <v>0</v>
      </c>
      <c r="X102" s="45">
        <v>0</v>
      </c>
      <c r="Y102" s="150">
        <v>0</v>
      </c>
      <c r="Z102" s="45">
        <v>0</v>
      </c>
      <c r="AA102" s="45">
        <v>0</v>
      </c>
      <c r="AB102" s="45">
        <v>315.85041999999999</v>
      </c>
      <c r="AC102" s="45">
        <v>0</v>
      </c>
      <c r="AD102" s="45">
        <v>0</v>
      </c>
      <c r="AE102" s="45">
        <v>-3.0837600000000003</v>
      </c>
      <c r="AF102" s="45">
        <v>0</v>
      </c>
      <c r="AG102" s="45">
        <v>0</v>
      </c>
      <c r="AH102" s="45">
        <v>0</v>
      </c>
      <c r="AI102" s="46">
        <f t="shared" si="48"/>
        <v>315.85041999999999</v>
      </c>
      <c r="AJ102" s="48"/>
      <c r="AK102" s="49"/>
      <c r="AL102" s="49"/>
      <c r="AM102" s="49"/>
      <c r="AN102" s="50"/>
      <c r="AO102" s="1">
        <f t="shared" si="49"/>
        <v>-3.0837599999999838</v>
      </c>
      <c r="AP102" s="38">
        <v>0</v>
      </c>
    </row>
    <row r="103" spans="1:42" ht="12.75" hidden="1" customHeight="1" x14ac:dyDescent="0.2">
      <c r="A103" s="13"/>
      <c r="E103" s="152" t="s">
        <v>120</v>
      </c>
      <c r="F103" s="152"/>
      <c r="G103" s="68"/>
      <c r="H103" s="154"/>
      <c r="I103" s="45">
        <v>8.3993099999999998</v>
      </c>
      <c r="J103" s="45">
        <v>25.462820000000001</v>
      </c>
      <c r="K103" s="45">
        <v>12.84346</v>
      </c>
      <c r="L103" s="45">
        <v>21.300079999999998</v>
      </c>
      <c r="M103" s="45">
        <v>7.3093099999999991</v>
      </c>
      <c r="N103" s="45">
        <v>29.079369999999997</v>
      </c>
      <c r="O103" s="129">
        <v>66.143919999999994</v>
      </c>
      <c r="P103" s="45">
        <v>45.126700000000007</v>
      </c>
      <c r="Q103" s="45">
        <v>55.980720000000005</v>
      </c>
      <c r="R103" s="45">
        <v>28.646909999999998</v>
      </c>
      <c r="S103" s="45">
        <v>0</v>
      </c>
      <c r="T103" s="45">
        <v>0</v>
      </c>
      <c r="U103" s="46">
        <v>0</v>
      </c>
      <c r="V103" s="44">
        <v>1995.3980900000004</v>
      </c>
      <c r="W103" s="49">
        <v>202.31643999999997</v>
      </c>
      <c r="X103" s="45">
        <v>230.16913</v>
      </c>
      <c r="Y103" s="150">
        <v>314.65265000000005</v>
      </c>
      <c r="Z103" s="45">
        <v>233.35162999999997</v>
      </c>
      <c r="AA103" s="45">
        <v>122.42274999999999</v>
      </c>
      <c r="AB103" s="45">
        <v>211.89459000000002</v>
      </c>
      <c r="AC103" s="45">
        <v>209.71519000000001</v>
      </c>
      <c r="AD103" s="45">
        <v>261.80095999999998</v>
      </c>
      <c r="AE103" s="45">
        <v>108.26355</v>
      </c>
      <c r="AF103" s="45">
        <v>100.8112</v>
      </c>
      <c r="AG103" s="45">
        <v>241.22172999999998</v>
      </c>
      <c r="AH103" s="45">
        <v>192.36198000000002</v>
      </c>
      <c r="AI103" s="46">
        <f t="shared" si="48"/>
        <v>1786.3233400000004</v>
      </c>
      <c r="AJ103" s="48"/>
      <c r="AK103" s="49"/>
      <c r="AL103" s="49"/>
      <c r="AM103" s="49"/>
      <c r="AN103" s="50"/>
      <c r="AO103" s="1">
        <f t="shared" si="49"/>
        <v>209.07474999999999</v>
      </c>
      <c r="AP103" s="38">
        <v>0</v>
      </c>
    </row>
    <row r="104" spans="1:42" ht="12.75" hidden="1" customHeight="1" x14ac:dyDescent="0.2">
      <c r="A104" s="13"/>
      <c r="E104" s="152" t="s">
        <v>121</v>
      </c>
      <c r="F104" s="152"/>
      <c r="G104" s="68"/>
      <c r="H104" s="154"/>
      <c r="I104" s="45">
        <v>0</v>
      </c>
      <c r="J104" s="45">
        <v>1.4</v>
      </c>
      <c r="K104" s="45">
        <v>0.6</v>
      </c>
      <c r="L104" s="45">
        <v>0</v>
      </c>
      <c r="M104" s="45">
        <v>0</v>
      </c>
      <c r="N104" s="45">
        <v>6.69</v>
      </c>
      <c r="O104" s="129">
        <v>3.9540000000000002</v>
      </c>
      <c r="P104" s="45">
        <v>1.5788200000000001</v>
      </c>
      <c r="Q104" s="45">
        <v>7.8070000000000004</v>
      </c>
      <c r="R104" s="45">
        <v>4.5510000000000002</v>
      </c>
      <c r="S104" s="45">
        <v>0</v>
      </c>
      <c r="T104" s="45">
        <v>0</v>
      </c>
      <c r="U104" s="46">
        <v>0</v>
      </c>
      <c r="V104" s="44">
        <v>23.028639999999999</v>
      </c>
      <c r="W104" s="49">
        <v>5.7514599999999998</v>
      </c>
      <c r="X104" s="45">
        <v>9.6931799999999999</v>
      </c>
      <c r="Y104" s="150">
        <v>0.63600000000000001</v>
      </c>
      <c r="Z104" s="45">
        <v>1.59</v>
      </c>
      <c r="AA104" s="45">
        <v>0.47699999999999998</v>
      </c>
      <c r="AB104" s="45">
        <v>1.9079999999999999</v>
      </c>
      <c r="AC104" s="45">
        <v>0</v>
      </c>
      <c r="AD104" s="45">
        <v>0.69599999999999995</v>
      </c>
      <c r="AE104" s="45">
        <v>0.9</v>
      </c>
      <c r="AF104" s="45">
        <v>1.377</v>
      </c>
      <c r="AG104" s="45">
        <v>2.6335000000000002</v>
      </c>
      <c r="AH104" s="45">
        <v>18.036000000000001</v>
      </c>
      <c r="AI104" s="46">
        <f t="shared" si="48"/>
        <v>20.751640000000002</v>
      </c>
      <c r="AJ104" s="48"/>
      <c r="AK104" s="49"/>
      <c r="AL104" s="49"/>
      <c r="AM104" s="49"/>
      <c r="AN104" s="50"/>
      <c r="AO104" s="1">
        <f t="shared" si="49"/>
        <v>2.2769999999999975</v>
      </c>
      <c r="AP104" s="38">
        <v>0</v>
      </c>
    </row>
    <row r="105" spans="1:42" ht="12.75" hidden="1" customHeight="1" x14ac:dyDescent="0.2">
      <c r="A105" s="13"/>
      <c r="E105" s="152" t="s">
        <v>122</v>
      </c>
      <c r="F105" s="152"/>
      <c r="G105" s="68"/>
      <c r="H105" s="154"/>
      <c r="I105" s="45">
        <v>0</v>
      </c>
      <c r="J105" s="45">
        <v>0</v>
      </c>
      <c r="K105" s="45">
        <v>0</v>
      </c>
      <c r="L105" s="45">
        <v>0</v>
      </c>
      <c r="M105" s="45">
        <v>0</v>
      </c>
      <c r="N105" s="45">
        <v>0</v>
      </c>
      <c r="O105" s="129">
        <v>0</v>
      </c>
      <c r="P105" s="45">
        <v>0</v>
      </c>
      <c r="Q105" s="45">
        <v>0</v>
      </c>
      <c r="R105" s="45">
        <v>0</v>
      </c>
      <c r="S105" s="45">
        <v>0</v>
      </c>
      <c r="T105" s="45">
        <v>0</v>
      </c>
      <c r="U105" s="46">
        <v>0</v>
      </c>
      <c r="V105" s="44">
        <v>0</v>
      </c>
      <c r="W105" s="49">
        <v>0</v>
      </c>
      <c r="X105" s="45">
        <v>0</v>
      </c>
      <c r="Y105" s="150">
        <v>0</v>
      </c>
      <c r="Z105" s="45">
        <v>0</v>
      </c>
      <c r="AA105" s="45">
        <v>0</v>
      </c>
      <c r="AB105" s="45">
        <v>0</v>
      </c>
      <c r="AC105" s="45">
        <v>0</v>
      </c>
      <c r="AD105" s="45">
        <v>0</v>
      </c>
      <c r="AE105" s="45">
        <v>0</v>
      </c>
      <c r="AF105" s="45">
        <v>0</v>
      </c>
      <c r="AG105" s="45">
        <v>0</v>
      </c>
      <c r="AH105" s="45">
        <v>0</v>
      </c>
      <c r="AI105" s="46">
        <f t="shared" si="48"/>
        <v>0</v>
      </c>
      <c r="AJ105" s="48"/>
      <c r="AK105" s="49"/>
      <c r="AL105" s="49"/>
      <c r="AM105" s="49"/>
      <c r="AN105" s="50"/>
      <c r="AO105" s="1">
        <f t="shared" si="49"/>
        <v>0</v>
      </c>
      <c r="AP105" s="38">
        <v>0</v>
      </c>
    </row>
    <row r="106" spans="1:42" ht="12.75" hidden="1" customHeight="1" x14ac:dyDescent="0.2">
      <c r="A106" s="13"/>
      <c r="E106" s="152" t="s">
        <v>123</v>
      </c>
      <c r="F106" s="152"/>
      <c r="G106" s="68"/>
      <c r="H106" s="154"/>
      <c r="I106" s="45">
        <v>0</v>
      </c>
      <c r="J106" s="45">
        <v>4.8891</v>
      </c>
      <c r="K106" s="45">
        <v>63.836120000000001</v>
      </c>
      <c r="L106" s="45">
        <v>760.40255000000002</v>
      </c>
      <c r="M106" s="45">
        <v>688.91276000000005</v>
      </c>
      <c r="N106" s="45">
        <v>77.621660000000006</v>
      </c>
      <c r="O106" s="129">
        <v>1381.0489299999999</v>
      </c>
      <c r="P106" s="45">
        <v>-16.588349999999998</v>
      </c>
      <c r="Q106" s="45">
        <v>-6.0867899999999997</v>
      </c>
      <c r="R106" s="45">
        <v>-683.21487000000002</v>
      </c>
      <c r="S106" s="45">
        <v>0</v>
      </c>
      <c r="T106" s="45">
        <v>0</v>
      </c>
      <c r="U106" s="46">
        <v>0</v>
      </c>
      <c r="V106" s="44">
        <v>3034.8514799999994</v>
      </c>
      <c r="W106" s="49">
        <v>1.0000000000000001E-5</v>
      </c>
      <c r="X106" s="45">
        <v>216.50257999999999</v>
      </c>
      <c r="Y106" s="150">
        <v>999.02687000000003</v>
      </c>
      <c r="Z106" s="45">
        <v>0.58432000000000006</v>
      </c>
      <c r="AA106" s="45">
        <v>41.032969999999999</v>
      </c>
      <c r="AB106" s="45">
        <v>473.41998999999998</v>
      </c>
      <c r="AC106" s="45">
        <v>467.36171999999999</v>
      </c>
      <c r="AD106" s="45">
        <v>205.60878</v>
      </c>
      <c r="AE106" s="45">
        <v>328.97113000000002</v>
      </c>
      <c r="AF106" s="45">
        <v>302.34310999999997</v>
      </c>
      <c r="AG106" s="45">
        <v>0</v>
      </c>
      <c r="AH106" s="45">
        <v>298.34915999999998</v>
      </c>
      <c r="AI106" s="46">
        <f t="shared" si="48"/>
        <v>2403.5372399999997</v>
      </c>
      <c r="AJ106" s="48"/>
      <c r="AK106" s="49"/>
      <c r="AL106" s="49"/>
      <c r="AM106" s="49"/>
      <c r="AN106" s="50"/>
      <c r="AO106" s="1">
        <f t="shared" si="49"/>
        <v>631.3142399999997</v>
      </c>
      <c r="AP106" s="38">
        <v>0</v>
      </c>
    </row>
    <row r="107" spans="1:42" ht="12.75" hidden="1" customHeight="1" x14ac:dyDescent="0.2">
      <c r="A107" s="13"/>
      <c r="E107" s="152" t="s">
        <v>124</v>
      </c>
      <c r="F107" s="152"/>
      <c r="G107" s="68"/>
      <c r="H107" s="154"/>
      <c r="I107" s="45">
        <v>0</v>
      </c>
      <c r="J107" s="45">
        <v>0</v>
      </c>
      <c r="K107" s="45">
        <v>0</v>
      </c>
      <c r="L107" s="45">
        <v>0</v>
      </c>
      <c r="M107" s="45">
        <v>0</v>
      </c>
      <c r="N107" s="45">
        <v>0</v>
      </c>
      <c r="O107" s="129">
        <v>0</v>
      </c>
      <c r="P107" s="45">
        <v>0</v>
      </c>
      <c r="Q107" s="45">
        <v>0</v>
      </c>
      <c r="R107" s="45">
        <v>0</v>
      </c>
      <c r="S107" s="45">
        <v>0</v>
      </c>
      <c r="T107" s="45">
        <v>0</v>
      </c>
      <c r="U107" s="46">
        <v>0</v>
      </c>
      <c r="V107" s="44">
        <v>0</v>
      </c>
      <c r="W107" s="49">
        <v>0</v>
      </c>
      <c r="X107" s="45">
        <v>0</v>
      </c>
      <c r="Y107" s="150">
        <v>0</v>
      </c>
      <c r="Z107" s="45">
        <v>0</v>
      </c>
      <c r="AA107" s="45">
        <v>0</v>
      </c>
      <c r="AB107" s="45">
        <v>0</v>
      </c>
      <c r="AC107" s="45">
        <v>0</v>
      </c>
      <c r="AD107" s="45">
        <v>0</v>
      </c>
      <c r="AE107" s="45">
        <v>0</v>
      </c>
      <c r="AF107" s="45">
        <v>0</v>
      </c>
      <c r="AG107" s="45">
        <v>0</v>
      </c>
      <c r="AH107" s="45">
        <v>0</v>
      </c>
      <c r="AI107" s="46">
        <f t="shared" si="48"/>
        <v>0</v>
      </c>
      <c r="AJ107" s="48"/>
      <c r="AK107" s="49"/>
      <c r="AL107" s="49"/>
      <c r="AM107" s="49"/>
      <c r="AN107" s="50"/>
      <c r="AO107" s="1">
        <f t="shared" si="49"/>
        <v>0</v>
      </c>
      <c r="AP107" s="38">
        <v>0</v>
      </c>
    </row>
    <row r="108" spans="1:42" ht="12.75" hidden="1" customHeight="1" x14ac:dyDescent="0.2">
      <c r="A108" s="13"/>
      <c r="E108" s="152" t="s">
        <v>125</v>
      </c>
      <c r="F108" s="152"/>
      <c r="G108" s="68"/>
      <c r="H108" s="154"/>
      <c r="I108" s="45">
        <v>21418.386079999997</v>
      </c>
      <c r="J108" s="45">
        <f>5294.84706+15.4534200000016</f>
        <v>5310.3004800000017</v>
      </c>
      <c r="K108" s="45">
        <v>12173.734470000003</v>
      </c>
      <c r="L108" s="45">
        <v>3936.64057</v>
      </c>
      <c r="M108" s="45">
        <v>257341.98372000002</v>
      </c>
      <c r="N108" s="45">
        <v>8837.938009999998</v>
      </c>
      <c r="O108" s="129">
        <v>12444.158860000001</v>
      </c>
      <c r="P108" s="45">
        <v>20865.484629999999</v>
      </c>
      <c r="Q108" s="45">
        <v>6704.1685099999995</v>
      </c>
      <c r="R108" s="45">
        <v>11040.651859999998</v>
      </c>
      <c r="S108" s="45">
        <v>0</v>
      </c>
      <c r="T108" s="45">
        <v>0</v>
      </c>
      <c r="U108" s="46">
        <v>0</v>
      </c>
      <c r="V108" s="44">
        <v>465348.57473999989</v>
      </c>
      <c r="W108" s="49">
        <v>18180.68504</v>
      </c>
      <c r="X108" s="45">
        <v>28010.628109999998</v>
      </c>
      <c r="Y108" s="150">
        <v>76723.05640999999</v>
      </c>
      <c r="Z108" s="45">
        <v>20540.28268</v>
      </c>
      <c r="AA108" s="45">
        <v>42419.814149999998</v>
      </c>
      <c r="AB108" s="45">
        <v>211143.51804999996</v>
      </c>
      <c r="AC108" s="45">
        <v>35114.543100000003</v>
      </c>
      <c r="AD108" s="45">
        <v>3708.2744199999997</v>
      </c>
      <c r="AE108" s="45">
        <v>13736.141820000001</v>
      </c>
      <c r="AF108" s="45">
        <v>15771.63096</v>
      </c>
      <c r="AG108" s="45">
        <v>5340.9367400000001</v>
      </c>
      <c r="AH108" s="45">
        <v>42803.338889999985</v>
      </c>
      <c r="AI108" s="46">
        <f t="shared" si="48"/>
        <v>435840.8019599999</v>
      </c>
      <c r="AJ108" s="48"/>
      <c r="AK108" s="49"/>
      <c r="AL108" s="49"/>
      <c r="AM108" s="49"/>
      <c r="AN108" s="50"/>
      <c r="AO108" s="1">
        <f t="shared" si="49"/>
        <v>29507.772779999999</v>
      </c>
      <c r="AP108" s="38">
        <v>0</v>
      </c>
    </row>
    <row r="109" spans="1:42" ht="12.75" hidden="1" customHeight="1" x14ac:dyDescent="0.2">
      <c r="A109" s="13"/>
      <c r="E109" s="152" t="s">
        <v>126</v>
      </c>
      <c r="F109" s="152"/>
      <c r="G109" s="68"/>
      <c r="H109" s="154"/>
      <c r="I109" s="45">
        <v>7.5509300000000001</v>
      </c>
      <c r="J109" s="45">
        <v>45.905910000000006</v>
      </c>
      <c r="K109" s="45">
        <v>-31.74268</v>
      </c>
      <c r="L109" s="45">
        <v>50.914449999999995</v>
      </c>
      <c r="M109" s="45">
        <v>8001.6513800000002</v>
      </c>
      <c r="N109" s="45">
        <v>87.799630000000008</v>
      </c>
      <c r="O109" s="129">
        <v>7757.2055399999999</v>
      </c>
      <c r="P109" s="45">
        <v>66.167930000000027</v>
      </c>
      <c r="Q109" s="45">
        <v>-28.74682</v>
      </c>
      <c r="R109" s="45">
        <v>715.74270000000001</v>
      </c>
      <c r="S109" s="45">
        <v>0</v>
      </c>
      <c r="T109" s="45">
        <v>0</v>
      </c>
      <c r="U109" s="46">
        <v>0</v>
      </c>
      <c r="V109" s="44">
        <v>4552.8161600000003</v>
      </c>
      <c r="W109" s="49">
        <v>709.44918000000007</v>
      </c>
      <c r="X109" s="45">
        <v>1188.4887900000001</v>
      </c>
      <c r="Y109" s="77">
        <v>218.37371000000002</v>
      </c>
      <c r="Z109" s="45">
        <v>455.64657999999997</v>
      </c>
      <c r="AA109" s="45">
        <v>98.98720999999999</v>
      </c>
      <c r="AB109" s="45">
        <v>29.204239999999995</v>
      </c>
      <c r="AC109" s="45">
        <v>474.47503</v>
      </c>
      <c r="AD109" s="45">
        <v>1113.31531</v>
      </c>
      <c r="AE109" s="45">
        <v>373.56407000000002</v>
      </c>
      <c r="AF109" s="45">
        <v>-108.68795999999996</v>
      </c>
      <c r="AG109" s="45">
        <v>1361.7804799999999</v>
      </c>
      <c r="AH109" s="45">
        <v>2015.85131</v>
      </c>
      <c r="AI109" s="46">
        <f t="shared" si="48"/>
        <v>4287.9400500000002</v>
      </c>
      <c r="AJ109" s="48"/>
      <c r="AK109" s="49"/>
      <c r="AL109" s="49"/>
      <c r="AM109" s="49"/>
      <c r="AN109" s="50"/>
      <c r="AO109" s="1">
        <f t="shared" si="49"/>
        <v>264.87611000000015</v>
      </c>
      <c r="AP109" s="38">
        <v>0</v>
      </c>
    </row>
    <row r="110" spans="1:42" ht="12.75" hidden="1" customHeight="1" x14ac:dyDescent="0.2">
      <c r="A110" s="13"/>
      <c r="E110" s="152" t="s">
        <v>127</v>
      </c>
      <c r="F110" s="152"/>
      <c r="G110" s="68"/>
      <c r="H110" s="154"/>
      <c r="I110" s="45">
        <v>4129.2898700000005</v>
      </c>
      <c r="J110" s="45">
        <f>340.8452+46</f>
        <v>386.84519999999998</v>
      </c>
      <c r="K110" s="45">
        <v>910.13306999999986</v>
      </c>
      <c r="L110" s="45">
        <v>809.14850000000001</v>
      </c>
      <c r="M110" s="45">
        <v>1156.7830900000001</v>
      </c>
      <c r="N110" s="45">
        <v>54650.248909999995</v>
      </c>
      <c r="O110" s="129">
        <v>-51199.166669999999</v>
      </c>
      <c r="P110" s="45">
        <v>-1537.4471600000002</v>
      </c>
      <c r="Q110" s="45">
        <v>7561.7412699999986</v>
      </c>
      <c r="R110" s="45">
        <v>2790.4598099999998</v>
      </c>
      <c r="S110" s="45">
        <v>0</v>
      </c>
      <c r="T110" s="45">
        <v>0</v>
      </c>
      <c r="U110" s="46">
        <v>0</v>
      </c>
      <c r="V110" s="44">
        <v>-5179.9508200000009</v>
      </c>
      <c r="W110" s="49">
        <v>302.12129000000004</v>
      </c>
      <c r="X110" s="45">
        <v>1113.4221</v>
      </c>
      <c r="Y110" s="127">
        <v>-5789.4089699999995</v>
      </c>
      <c r="Z110" s="45">
        <v>1170.2449799999999</v>
      </c>
      <c r="AA110" s="45">
        <v>-3655.0775400000007</v>
      </c>
      <c r="AB110" s="45">
        <v>-303.55276000000003</v>
      </c>
      <c r="AC110" s="45">
        <v>1951.83493</v>
      </c>
      <c r="AD110" s="45">
        <v>-967.30799000000013</v>
      </c>
      <c r="AE110" s="45">
        <v>762.92499999999995</v>
      </c>
      <c r="AF110" s="45">
        <v>234.84814000000011</v>
      </c>
      <c r="AG110" s="45">
        <v>3526.6492800000001</v>
      </c>
      <c r="AH110" s="45">
        <v>6636.6501800000005</v>
      </c>
      <c r="AI110" s="46">
        <f t="shared" si="48"/>
        <v>-6177.7239600000012</v>
      </c>
      <c r="AJ110" s="48"/>
      <c r="AK110" s="49"/>
      <c r="AL110" s="49"/>
      <c r="AM110" s="49"/>
      <c r="AN110" s="50"/>
      <c r="AO110" s="1">
        <f t="shared" si="49"/>
        <v>997.77314000000024</v>
      </c>
      <c r="AP110" s="38">
        <v>0</v>
      </c>
    </row>
    <row r="111" spans="1:42" ht="12.75" hidden="1" customHeight="1" x14ac:dyDescent="0.2">
      <c r="A111" s="13"/>
      <c r="E111" s="152" t="s">
        <v>128</v>
      </c>
      <c r="F111" s="152"/>
      <c r="G111" s="68"/>
      <c r="H111" s="154"/>
      <c r="I111" s="44">
        <v>0.04</v>
      </c>
      <c r="J111" s="44">
        <v>2.5000000000000001E-2</v>
      </c>
      <c r="K111" s="45">
        <v>0</v>
      </c>
      <c r="L111" s="155">
        <v>0</v>
      </c>
      <c r="M111" s="45">
        <v>0</v>
      </c>
      <c r="N111" s="45">
        <v>0.39</v>
      </c>
      <c r="O111" s="129">
        <v>0</v>
      </c>
      <c r="P111" s="45">
        <v>0</v>
      </c>
      <c r="Q111" s="45">
        <v>0.03</v>
      </c>
      <c r="R111" s="45">
        <v>0</v>
      </c>
      <c r="S111" s="45">
        <v>0</v>
      </c>
      <c r="T111" s="45">
        <v>0</v>
      </c>
      <c r="U111" s="46">
        <v>0</v>
      </c>
      <c r="V111" s="44">
        <v>2.4135</v>
      </c>
      <c r="W111" s="49">
        <v>0</v>
      </c>
      <c r="X111" s="45">
        <v>2.3E-2</v>
      </c>
      <c r="Y111" s="127">
        <v>5.2399999999999995E-2</v>
      </c>
      <c r="Z111" s="45">
        <v>0</v>
      </c>
      <c r="AA111" s="45">
        <v>0.41</v>
      </c>
      <c r="AB111" s="45">
        <v>0.12</v>
      </c>
      <c r="AC111" s="45">
        <v>0.56359999999999999</v>
      </c>
      <c r="AD111" s="45">
        <v>0.05</v>
      </c>
      <c r="AE111" s="45">
        <v>1.159</v>
      </c>
      <c r="AF111" s="45">
        <v>3.5499999999999997E-2</v>
      </c>
      <c r="AG111" s="45"/>
      <c r="AH111" s="45">
        <v>3.4700000000000002E-2</v>
      </c>
      <c r="AI111" s="46">
        <f t="shared" si="48"/>
        <v>1.2190000000000001</v>
      </c>
      <c r="AJ111" s="48"/>
      <c r="AK111" s="49"/>
      <c r="AL111" s="49"/>
      <c r="AM111" s="49"/>
      <c r="AN111" s="50"/>
      <c r="AO111" s="1">
        <f t="shared" si="49"/>
        <v>1.1944999999999999</v>
      </c>
      <c r="AP111" s="38">
        <v>-0.2581</v>
      </c>
    </row>
    <row r="112" spans="1:42" ht="12.75" customHeight="1" x14ac:dyDescent="0.2">
      <c r="A112" s="13"/>
      <c r="D112" s="74"/>
      <c r="E112" s="81" t="s">
        <v>66</v>
      </c>
      <c r="F112" s="68"/>
      <c r="G112" s="68"/>
      <c r="H112" s="45"/>
      <c r="I112" s="44"/>
      <c r="J112" s="44"/>
      <c r="K112" s="45"/>
      <c r="L112" s="45"/>
      <c r="M112" s="45"/>
      <c r="N112" s="45"/>
      <c r="O112" s="45"/>
      <c r="P112" s="45"/>
      <c r="Q112" s="45"/>
      <c r="R112" s="45"/>
      <c r="S112" s="45"/>
      <c r="T112" s="45"/>
      <c r="U112" s="46"/>
      <c r="V112" s="44"/>
      <c r="W112" s="49"/>
      <c r="X112" s="45"/>
      <c r="Y112" s="140"/>
      <c r="Z112" s="15"/>
      <c r="AA112" s="45"/>
      <c r="AB112" s="45"/>
      <c r="AC112" s="45"/>
      <c r="AD112" s="45"/>
      <c r="AE112" s="45"/>
      <c r="AF112" s="45"/>
      <c r="AG112" s="45"/>
      <c r="AH112" s="45"/>
      <c r="AI112" s="46"/>
      <c r="AJ112" s="48"/>
      <c r="AK112" s="49"/>
      <c r="AL112" s="49"/>
      <c r="AM112" s="49"/>
      <c r="AN112" s="50"/>
      <c r="AP112" s="38">
        <v>0</v>
      </c>
    </row>
    <row r="113" spans="1:52" s="38" customFormat="1" ht="12.75" customHeight="1" x14ac:dyDescent="0.2">
      <c r="A113" s="50"/>
      <c r="C113" s="156"/>
      <c r="E113" s="142" t="s">
        <v>129</v>
      </c>
      <c r="F113" s="74"/>
      <c r="G113" s="149" t="s">
        <v>130</v>
      </c>
      <c r="H113" s="157">
        <v>23829037</v>
      </c>
      <c r="I113" s="158">
        <f>+[1]original!$G$6</f>
        <v>1236489</v>
      </c>
      <c r="J113" s="158">
        <f>+[2]original!$H$6</f>
        <v>2807140</v>
      </c>
      <c r="K113" s="158">
        <f>+[3]original!$I$6</f>
        <v>3319954</v>
      </c>
      <c r="L113" s="158">
        <f>+[4]original!$J$6</f>
        <v>3550323</v>
      </c>
      <c r="M113" s="158">
        <f>+[5]original!$K$6</f>
        <v>3161507</v>
      </c>
      <c r="N113" s="158">
        <f>+[6]original!$L$6</f>
        <v>1941577</v>
      </c>
      <c r="O113" s="158">
        <f>+[7]original!$M$6</f>
        <v>2581412</v>
      </c>
      <c r="P113" s="158">
        <f>+[8]original!$N$6</f>
        <v>900558</v>
      </c>
      <c r="Q113" s="158">
        <f>+[9]original!$O$6</f>
        <v>2698953</v>
      </c>
      <c r="R113" s="158">
        <f>+[10]original!$P$6</f>
        <v>1360720</v>
      </c>
      <c r="S113" s="158">
        <v>0</v>
      </c>
      <c r="T113" s="158">
        <v>0</v>
      </c>
      <c r="U113" s="159">
        <f>SUM(I113:T113)</f>
        <v>23558633</v>
      </c>
      <c r="V113" s="15">
        <v>12801333</v>
      </c>
      <c r="W113" s="85">
        <f>+[1]original!$U$6</f>
        <v>1191518</v>
      </c>
      <c r="X113" s="157">
        <f>+[11]original!$H$6</f>
        <v>5522378</v>
      </c>
      <c r="Y113" s="140">
        <f>+[12]original!$I$6</f>
        <v>193328</v>
      </c>
      <c r="Z113" s="157">
        <f>+[13]original!$J$6</f>
        <v>236828</v>
      </c>
      <c r="AA113" s="157">
        <f>+[14]original!$K$6</f>
        <v>536881</v>
      </c>
      <c r="AB113" s="157">
        <f>+[15]original!$L$6</f>
        <v>309645</v>
      </c>
      <c r="AC113" s="157">
        <f>+[16]original!$M$6</f>
        <v>149579</v>
      </c>
      <c r="AD113" s="157">
        <f>+[17]original!$N$6</f>
        <v>389977</v>
      </c>
      <c r="AE113" s="157">
        <f>+[18]original!$O$6</f>
        <v>143285</v>
      </c>
      <c r="AF113" s="157">
        <f>+[19]original!$P$6</f>
        <v>307553</v>
      </c>
      <c r="AG113" s="157">
        <f>+[20]original!$Q$6</f>
        <v>558415</v>
      </c>
      <c r="AH113" s="157">
        <f>+[21]original!$R$6</f>
        <v>3261946</v>
      </c>
      <c r="AI113" s="84">
        <f t="shared" ref="AI113" si="51">SUM(W113:AF113)</f>
        <v>8980972</v>
      </c>
      <c r="AJ113" s="86"/>
      <c r="AK113" s="85"/>
      <c r="AL113" s="85"/>
      <c r="AM113" s="85"/>
      <c r="AN113" s="50"/>
      <c r="AO113" s="1">
        <f>+AI113-V113</f>
        <v>-3820361</v>
      </c>
      <c r="AP113" s="38">
        <v>0</v>
      </c>
      <c r="AR113" s="38">
        <f>+V130</f>
        <v>58</v>
      </c>
      <c r="AS113" s="38" t="e">
        <f>+#REF!</f>
        <v>#REF!</v>
      </c>
      <c r="AT113" s="1" t="str">
        <f>+A130</f>
        <v>Revenue collected on behalf of the Provincial Authorities</v>
      </c>
      <c r="AV113" s="1"/>
    </row>
    <row r="114" spans="1:52" ht="12.75" customHeight="1" x14ac:dyDescent="0.2">
      <c r="A114" s="160" t="s">
        <v>131</v>
      </c>
      <c r="B114" s="107"/>
      <c r="C114" s="107"/>
      <c r="D114" s="107"/>
      <c r="E114" s="107"/>
      <c r="F114" s="107"/>
      <c r="G114" s="110"/>
      <c r="H114" s="161">
        <f>H80+H77</f>
        <v>1097931728.3315389</v>
      </c>
      <c r="I114" s="161">
        <f>I80+I77</f>
        <v>63095740.380769998</v>
      </c>
      <c r="J114" s="161">
        <f t="shared" ref="J114:T114" si="52">J80+J77</f>
        <v>68106446.022430018</v>
      </c>
      <c r="K114" s="161">
        <f t="shared" si="52"/>
        <v>108554101.37664002</v>
      </c>
      <c r="L114" s="161">
        <f t="shared" si="52"/>
        <v>62846312.960169993</v>
      </c>
      <c r="M114" s="161">
        <f t="shared" si="52"/>
        <v>101855148.66649999</v>
      </c>
      <c r="N114" s="161">
        <f t="shared" si="52"/>
        <v>105679255.27216996</v>
      </c>
      <c r="O114" s="161">
        <f t="shared" si="52"/>
        <v>83230717.11586</v>
      </c>
      <c r="P114" s="161">
        <f t="shared" si="52"/>
        <v>99218194.778589994</v>
      </c>
      <c r="Q114" s="161">
        <f t="shared" si="52"/>
        <v>176370693.76949999</v>
      </c>
      <c r="R114" s="161">
        <f t="shared" si="52"/>
        <v>87476541.460689977</v>
      </c>
      <c r="S114" s="161">
        <f t="shared" si="52"/>
        <v>0</v>
      </c>
      <c r="T114" s="161">
        <f t="shared" si="52"/>
        <v>0</v>
      </c>
      <c r="U114" s="162">
        <f>U80+U77-1</f>
        <v>956433150.80331993</v>
      </c>
      <c r="V114" s="107">
        <f>V80+V77+1</f>
        <v>1345880147.4470804</v>
      </c>
      <c r="W114" s="163">
        <f>W80+W77</f>
        <v>73824343.085730031</v>
      </c>
      <c r="X114" s="163">
        <f>X80+X77</f>
        <v>96920893.069020018</v>
      </c>
      <c r="Y114" s="163">
        <f t="shared" ref="Y114:AF114" si="53">Y80+Y77</f>
        <v>147241477.99728</v>
      </c>
      <c r="Z114" s="163">
        <f t="shared" si="53"/>
        <v>73749809.529299989</v>
      </c>
      <c r="AA114" s="163">
        <f t="shared" si="53"/>
        <v>117932465.64524999</v>
      </c>
      <c r="AB114" s="163">
        <f t="shared" si="53"/>
        <v>117713729.27432001</v>
      </c>
      <c r="AC114" s="163">
        <f t="shared" si="53"/>
        <v>83787244.734929979</v>
      </c>
      <c r="AD114" s="163">
        <f>AD80+AD77</f>
        <v>95520711.034100011</v>
      </c>
      <c r="AE114" s="163">
        <f>AE80+AE77</f>
        <v>160349623.42506</v>
      </c>
      <c r="AF114" s="163">
        <f t="shared" si="53"/>
        <v>91356528.666240022</v>
      </c>
      <c r="AG114" s="163">
        <f>+AG77+AG80</f>
        <v>144478940.09164</v>
      </c>
      <c r="AH114" s="163">
        <f>+AH77+AH80</f>
        <v>140683416.19247997</v>
      </c>
      <c r="AI114" s="164">
        <f>AI80+AI77</f>
        <v>1058396825.4612299</v>
      </c>
      <c r="AJ114" s="93"/>
      <c r="AK114" s="14"/>
      <c r="AL114" s="14"/>
      <c r="AM114" s="14"/>
      <c r="AN114" s="50"/>
      <c r="AO114" s="1">
        <f>+AI114-V114</f>
        <v>-287483321.98585045</v>
      </c>
      <c r="AP114" s="38">
        <v>3038753.8011901379</v>
      </c>
      <c r="AR114" s="1">
        <f>+V94</f>
        <v>11830241</v>
      </c>
      <c r="AS114" s="1" t="e">
        <f>+#REF!</f>
        <v>#REF!</v>
      </c>
      <c r="AT114" s="1" t="str">
        <f>+E94</f>
        <v xml:space="preserve"> Mineral and petroleum royalties</v>
      </c>
    </row>
    <row r="115" spans="1:52" ht="12.75" customHeight="1" x14ac:dyDescent="0.2">
      <c r="A115" s="165" t="s">
        <v>132</v>
      </c>
      <c r="B115" s="166"/>
      <c r="C115" s="166"/>
      <c r="D115" s="166"/>
      <c r="E115" s="166"/>
      <c r="F115" s="166"/>
      <c r="G115" s="166"/>
      <c r="H115" s="161"/>
      <c r="I115" s="161"/>
      <c r="J115" s="161"/>
      <c r="K115" s="161"/>
      <c r="L115" s="161"/>
      <c r="M115" s="161"/>
      <c r="N115" s="161"/>
      <c r="O115" s="161"/>
      <c r="P115" s="161"/>
      <c r="Q115" s="161"/>
      <c r="R115" s="161"/>
      <c r="S115" s="161"/>
      <c r="T115" s="161"/>
      <c r="U115" s="162"/>
      <c r="V115" s="161"/>
      <c r="W115" s="107"/>
      <c r="X115" s="163"/>
      <c r="Y115" s="163"/>
      <c r="Z115" s="163"/>
      <c r="AA115" s="163"/>
      <c r="AB115" s="163"/>
      <c r="AC115" s="163"/>
      <c r="AD115" s="163"/>
      <c r="AE115" s="163"/>
      <c r="AF115" s="163"/>
      <c r="AG115" s="163"/>
      <c r="AH115" s="163"/>
      <c r="AI115" s="164"/>
      <c r="AJ115" s="93"/>
      <c r="AK115" s="14"/>
      <c r="AL115" s="14"/>
      <c r="AM115" s="14"/>
      <c r="AN115" s="50"/>
      <c r="AO115" s="1">
        <f t="shared" si="35"/>
        <v>0</v>
      </c>
      <c r="AP115" s="38">
        <v>0</v>
      </c>
      <c r="AR115" s="37">
        <f>SUM(AR94:AR114)</f>
        <v>1430452472.4348805</v>
      </c>
      <c r="AS115" s="14" t="e">
        <f>SUM(AS94:AS114)</f>
        <v>#REF!</v>
      </c>
      <c r="AT115" s="1" t="s">
        <v>133</v>
      </c>
    </row>
    <row r="116" spans="1:52" ht="12" customHeight="1" x14ac:dyDescent="0.2">
      <c r="A116" s="167" t="s">
        <v>131</v>
      </c>
      <c r="B116" s="168"/>
      <c r="C116" s="169"/>
      <c r="D116" s="5"/>
      <c r="E116" s="5"/>
      <c r="F116" s="5"/>
      <c r="G116" s="5"/>
      <c r="H116" s="170">
        <f>+H114</f>
        <v>1097931728.3315389</v>
      </c>
      <c r="I116" s="171">
        <f>+I114</f>
        <v>63095740.380769998</v>
      </c>
      <c r="J116" s="171">
        <f t="shared" ref="J116:T116" si="54">+J114</f>
        <v>68106446.022430018</v>
      </c>
      <c r="K116" s="171">
        <f t="shared" si="54"/>
        <v>108554101.37664002</v>
      </c>
      <c r="L116" s="171">
        <f t="shared" si="54"/>
        <v>62846312.960169993</v>
      </c>
      <c r="M116" s="170">
        <f t="shared" si="54"/>
        <v>101855148.66649999</v>
      </c>
      <c r="N116" s="171">
        <f t="shared" si="54"/>
        <v>105679255.27216996</v>
      </c>
      <c r="O116" s="171">
        <f t="shared" si="54"/>
        <v>83230717.11586</v>
      </c>
      <c r="P116" s="171">
        <f t="shared" si="54"/>
        <v>99218194.778589994</v>
      </c>
      <c r="Q116" s="171">
        <f t="shared" si="54"/>
        <v>176370693.76949999</v>
      </c>
      <c r="R116" s="171">
        <f t="shared" si="54"/>
        <v>87476541.460689977</v>
      </c>
      <c r="S116" s="171">
        <f t="shared" si="54"/>
        <v>0</v>
      </c>
      <c r="T116" s="171">
        <f t="shared" si="54"/>
        <v>0</v>
      </c>
      <c r="U116" s="172">
        <f>+U114</f>
        <v>956433150.80331993</v>
      </c>
      <c r="V116" s="168">
        <f>+V114</f>
        <v>1345880147.4470804</v>
      </c>
      <c r="W116" s="173">
        <f>+W114</f>
        <v>73824343.085730031</v>
      </c>
      <c r="X116" s="170">
        <f t="shared" ref="X116:AH116" si="55">+X114</f>
        <v>96920893.069020018</v>
      </c>
      <c r="Y116" s="170">
        <f>+Y114</f>
        <v>147241477.99728</v>
      </c>
      <c r="Z116" s="170">
        <f t="shared" si="55"/>
        <v>73749809.529299989</v>
      </c>
      <c r="AA116" s="170">
        <f t="shared" si="55"/>
        <v>117932465.64524999</v>
      </c>
      <c r="AB116" s="170">
        <f t="shared" si="55"/>
        <v>117713729.27432001</v>
      </c>
      <c r="AC116" s="170">
        <f t="shared" si="55"/>
        <v>83787244.734929979</v>
      </c>
      <c r="AD116" s="170">
        <f t="shared" si="55"/>
        <v>95520711.034100011</v>
      </c>
      <c r="AE116" s="170">
        <f t="shared" si="55"/>
        <v>160349623.42506</v>
      </c>
      <c r="AF116" s="170">
        <f t="shared" si="55"/>
        <v>91356528.666240022</v>
      </c>
      <c r="AG116" s="170">
        <f t="shared" si="55"/>
        <v>144478940.09164</v>
      </c>
      <c r="AH116" s="170">
        <f t="shared" si="55"/>
        <v>140683416.19247997</v>
      </c>
      <c r="AI116" s="174">
        <f>+AI114</f>
        <v>1058396825.4612299</v>
      </c>
      <c r="AJ116" s="175"/>
      <c r="AK116" s="176"/>
      <c r="AL116" s="176"/>
      <c r="AM116" s="176"/>
      <c r="AN116" s="50"/>
      <c r="AO116" s="1">
        <f>+V116-AI116</f>
        <v>287483321.98585045</v>
      </c>
      <c r="AP116" s="38">
        <v>3038753.8011901379</v>
      </c>
      <c r="AS116" s="141">
        <v>1430441906</v>
      </c>
      <c r="AT116" s="1" t="s">
        <v>134</v>
      </c>
      <c r="AZ116" s="1" t="s">
        <v>135</v>
      </c>
    </row>
    <row r="117" spans="1:52" s="14" customFormat="1" ht="12.75" customHeight="1" x14ac:dyDescent="0.2">
      <c r="A117" s="177" t="s">
        <v>136</v>
      </c>
      <c r="B117" s="178"/>
      <c r="C117" s="178"/>
      <c r="D117" s="178"/>
      <c r="E117" s="178"/>
      <c r="F117" s="178"/>
      <c r="G117" s="179"/>
      <c r="I117" s="180">
        <f>SUM(I118:I119)</f>
        <v>484218.60211000009</v>
      </c>
      <c r="J117" s="180">
        <f t="shared" ref="J117:AG117" si="56">SUM(J118:J119)</f>
        <v>576902.79968999978</v>
      </c>
      <c r="K117" s="180">
        <f t="shared" si="56"/>
        <v>3175.9396899994463</v>
      </c>
      <c r="L117" s="180">
        <f t="shared" si="56"/>
        <v>-251746.45064999955</v>
      </c>
      <c r="M117" s="180">
        <f t="shared" si="56"/>
        <v>-340255.45139000006</v>
      </c>
      <c r="N117" s="180">
        <f t="shared" si="56"/>
        <v>144233.66581000015</v>
      </c>
      <c r="O117" s="180">
        <f t="shared" si="56"/>
        <v>692026.40187999979</v>
      </c>
      <c r="P117" s="180">
        <f t="shared" si="56"/>
        <v>-114855.75005000015</v>
      </c>
      <c r="Q117" s="180">
        <f t="shared" si="56"/>
        <v>-9229.1244299970567</v>
      </c>
      <c r="R117" s="180">
        <f t="shared" si="56"/>
        <v>202417.3112499998</v>
      </c>
      <c r="S117" s="180">
        <f t="shared" si="56"/>
        <v>0</v>
      </c>
      <c r="T117" s="180">
        <f t="shared" si="56"/>
        <v>0</v>
      </c>
      <c r="U117" s="181">
        <f t="shared" si="56"/>
        <v>1386887.9439100027</v>
      </c>
      <c r="V117" s="66">
        <f t="shared" si="56"/>
        <v>-2681843.501609996</v>
      </c>
      <c r="W117" s="66">
        <f>SUM(W118:W119)</f>
        <v>47866.433920000214</v>
      </c>
      <c r="X117" s="182">
        <f t="shared" si="56"/>
        <v>69649.664760000072</v>
      </c>
      <c r="Y117" s="182">
        <f>SUM(Y118:Y119)</f>
        <v>-177559.32531999983</v>
      </c>
      <c r="Z117" s="182">
        <f t="shared" si="56"/>
        <v>611962.15966000024</v>
      </c>
      <c r="AA117" s="182">
        <f t="shared" si="56"/>
        <v>226537.16129000019</v>
      </c>
      <c r="AB117" s="182">
        <f t="shared" si="56"/>
        <v>207845.88913999998</v>
      </c>
      <c r="AC117" s="182">
        <f t="shared" si="56"/>
        <v>100883.28795999999</v>
      </c>
      <c r="AD117" s="182">
        <f t="shared" si="56"/>
        <v>247820.60749000008</v>
      </c>
      <c r="AE117" s="182">
        <f t="shared" si="56"/>
        <v>-119207.75722000003</v>
      </c>
      <c r="AF117" s="182">
        <f t="shared" si="56"/>
        <v>96584.359380000038</v>
      </c>
      <c r="AG117" s="182">
        <f t="shared" si="56"/>
        <v>215897.0264399997</v>
      </c>
      <c r="AH117" s="182">
        <f>SUM(AH118:AH119)</f>
        <v>-1582438.6048399992</v>
      </c>
      <c r="AI117" s="183">
        <f>SUM(AI118:AI119)</f>
        <v>1312382.4810600011</v>
      </c>
      <c r="AJ117" s="175"/>
      <c r="AK117" s="176"/>
      <c r="AL117" s="176"/>
      <c r="AM117" s="176"/>
      <c r="AN117" s="43"/>
      <c r="AO117" s="1">
        <f>+V117-AI117</f>
        <v>-3994225.982669997</v>
      </c>
      <c r="AP117" s="37">
        <v>-4215849.896739997</v>
      </c>
      <c r="AR117" s="14" t="e">
        <f>+AR115-AS115</f>
        <v>#REF!</v>
      </c>
      <c r="AS117" s="1" t="e">
        <f>+AS115-AS116</f>
        <v>#REF!</v>
      </c>
      <c r="AT117" s="1" t="s">
        <v>137</v>
      </c>
    </row>
    <row r="118" spans="1:52" ht="12.75" customHeight="1" x14ac:dyDescent="0.2">
      <c r="A118" s="184" t="s">
        <v>138</v>
      </c>
      <c r="B118" s="185"/>
      <c r="C118" s="185"/>
      <c r="D118" s="185"/>
      <c r="E118" s="185"/>
      <c r="F118" s="185"/>
      <c r="G118" s="186"/>
      <c r="H118" s="82"/>
      <c r="I118" s="44">
        <f>-I80+I94+I113</f>
        <v>-596423.39788999991</v>
      </c>
      <c r="J118" s="44">
        <f t="shared" ref="J118:T118" si="57">-J80+J94+J113</f>
        <v>-368947.20031000022</v>
      </c>
      <c r="K118" s="44">
        <f t="shared" si="57"/>
        <v>-344052.06031000055</v>
      </c>
      <c r="L118" s="44">
        <f t="shared" si="57"/>
        <v>-571925.45064999955</v>
      </c>
      <c r="M118" s="44">
        <f t="shared" si="57"/>
        <v>-786426.45139000006</v>
      </c>
      <c r="N118" s="44">
        <f t="shared" si="57"/>
        <v>-494422.33418999985</v>
      </c>
      <c r="O118" s="44">
        <f>-O80+O94+O113</f>
        <v>-335074.59812000021</v>
      </c>
      <c r="P118" s="44">
        <f t="shared" si="57"/>
        <v>-909862.75005000015</v>
      </c>
      <c r="Q118" s="44">
        <f>-Q80+Q94+Q113</f>
        <v>-843437.12442999706</v>
      </c>
      <c r="R118" s="44">
        <f t="shared" si="57"/>
        <v>-551030.6887500002</v>
      </c>
      <c r="S118" s="44">
        <f t="shared" si="57"/>
        <v>0</v>
      </c>
      <c r="T118" s="44">
        <f t="shared" si="57"/>
        <v>0</v>
      </c>
      <c r="U118" s="126">
        <f>-U80+U94+U113</f>
        <v>-5801602.0560899973</v>
      </c>
      <c r="V118" s="44">
        <f t="shared" ref="V118:AF118" si="58">-V80+V94+V113</f>
        <v>-15762626.501609996</v>
      </c>
      <c r="W118" s="49">
        <f t="shared" si="58"/>
        <v>-403223.56607999979</v>
      </c>
      <c r="X118" s="45">
        <f>-X80+X94+X113</f>
        <v>-370181.33523999993</v>
      </c>
      <c r="Y118" s="45">
        <f t="shared" si="58"/>
        <v>-942465.32531999983</v>
      </c>
      <c r="Z118" s="45">
        <f t="shared" si="58"/>
        <v>-550674.84033999976</v>
      </c>
      <c r="AA118" s="45">
        <f t="shared" si="58"/>
        <v>-572197.83870999981</v>
      </c>
      <c r="AB118" s="45">
        <f t="shared" si="58"/>
        <v>-614800.11086000002</v>
      </c>
      <c r="AC118" s="45">
        <f>-AC80+AC94+AC113</f>
        <v>-500670.71204000001</v>
      </c>
      <c r="AD118" s="45">
        <f t="shared" si="58"/>
        <v>-530199.39250999992</v>
      </c>
      <c r="AE118" s="45">
        <f t="shared" si="58"/>
        <v>-1066033.75722</v>
      </c>
      <c r="AF118" s="45">
        <f t="shared" si="58"/>
        <v>-509092.64061999996</v>
      </c>
      <c r="AG118" s="45">
        <f>-AG80+AG94+AG113</f>
        <v>-630458.9735600003</v>
      </c>
      <c r="AH118" s="45">
        <f>-AH80+AH94+AH113</f>
        <v>-6794154.6048399992</v>
      </c>
      <c r="AI118" s="46">
        <f t="shared" ref="AI118:AI119" si="59">SUM(W118:AF118)</f>
        <v>-6059539.5189399989</v>
      </c>
      <c r="AJ118" s="48"/>
      <c r="AK118" s="49"/>
      <c r="AL118" s="49"/>
      <c r="AM118" s="49"/>
      <c r="AN118" s="50"/>
      <c r="AO118" s="1">
        <f t="shared" si="35"/>
        <v>-9703086.982669998</v>
      </c>
      <c r="AP118" s="38">
        <v>-3452210.896739997</v>
      </c>
      <c r="AS118" s="14">
        <v>-51547</v>
      </c>
      <c r="AT118" s="1" t="s">
        <v>139</v>
      </c>
    </row>
    <row r="119" spans="1:52" ht="12.75" customHeight="1" x14ac:dyDescent="0.2">
      <c r="A119" s="187" t="s">
        <v>140</v>
      </c>
      <c r="B119" s="188"/>
      <c r="C119" s="188"/>
      <c r="D119" s="188"/>
      <c r="E119" s="188"/>
      <c r="F119" s="188"/>
      <c r="G119" s="188"/>
      <c r="H119" s="82"/>
      <c r="I119" s="44">
        <v>1080642</v>
      </c>
      <c r="J119" s="44">
        <f>946604-351-265-138</f>
        <v>945850</v>
      </c>
      <c r="K119" s="44">
        <f>352203-4975</f>
        <v>347228</v>
      </c>
      <c r="L119" s="44">
        <f>320743-204-360</f>
        <v>320179</v>
      </c>
      <c r="M119" s="44">
        <f>658418-97-342-655-335-1193-209625</f>
        <v>446171</v>
      </c>
      <c r="N119" s="44">
        <f>640054-1398</f>
        <v>638656</v>
      </c>
      <c r="O119" s="44">
        <f>1029173-2070-2</f>
        <v>1027101</v>
      </c>
      <c r="P119" s="44">
        <f>797466-2412-47</f>
        <v>795007</v>
      </c>
      <c r="Q119" s="44">
        <f>834366-1-157</f>
        <v>834208</v>
      </c>
      <c r="R119" s="44">
        <f>755778-2330</f>
        <v>753448</v>
      </c>
      <c r="S119" s="189">
        <v>0</v>
      </c>
      <c r="T119" s="189">
        <v>0</v>
      </c>
      <c r="U119" s="190">
        <f t="shared" ref="U119:U129" si="60">SUM(I119:T119)</f>
        <v>7188490</v>
      </c>
      <c r="V119" s="189">
        <f>13429994-10996-6118-59-58688-273350</f>
        <v>13080783</v>
      </c>
      <c r="W119" s="49">
        <v>451090</v>
      </c>
      <c r="X119" s="124">
        <v>439831</v>
      </c>
      <c r="Y119" s="191">
        <v>764906</v>
      </c>
      <c r="Z119" s="189">
        <v>1162637</v>
      </c>
      <c r="AA119" s="44">
        <v>798735</v>
      </c>
      <c r="AB119" s="124">
        <v>822646</v>
      </c>
      <c r="AC119" s="124">
        <v>601554</v>
      </c>
      <c r="AD119" s="124">
        <v>778020</v>
      </c>
      <c r="AE119" s="124">
        <v>946826</v>
      </c>
      <c r="AF119" s="124">
        <v>605677</v>
      </c>
      <c r="AG119" s="124">
        <v>846356</v>
      </c>
      <c r="AH119" s="124">
        <v>5211716</v>
      </c>
      <c r="AI119" s="46">
        <f t="shared" si="59"/>
        <v>7371922</v>
      </c>
      <c r="AJ119" s="48"/>
      <c r="AK119" s="49"/>
      <c r="AL119" s="49"/>
      <c r="AM119" s="49"/>
      <c r="AN119" s="50"/>
      <c r="AO119" s="1">
        <f t="shared" si="35"/>
        <v>5708861</v>
      </c>
      <c r="AP119" s="38">
        <v>-763639</v>
      </c>
      <c r="AS119" s="1" t="e">
        <f>-AS117-AS118</f>
        <v>#REF!</v>
      </c>
      <c r="AT119" s="1" t="s">
        <v>141</v>
      </c>
    </row>
    <row r="120" spans="1:52" s="14" customFormat="1" ht="12.75" customHeight="1" x14ac:dyDescent="0.2">
      <c r="A120" s="93" t="s">
        <v>142</v>
      </c>
      <c r="C120" s="178"/>
      <c r="G120" s="149" t="s">
        <v>143</v>
      </c>
      <c r="H120" s="192"/>
      <c r="I120" s="64">
        <f t="shared" ref="I120:T120" si="61">SUM(I121:I129)</f>
        <v>1280</v>
      </c>
      <c r="J120" s="64">
        <f t="shared" si="61"/>
        <v>326479</v>
      </c>
      <c r="K120" s="64">
        <f t="shared" si="61"/>
        <v>9200</v>
      </c>
      <c r="L120" s="64">
        <f t="shared" si="61"/>
        <v>136714</v>
      </c>
      <c r="M120" s="64">
        <f t="shared" si="61"/>
        <v>209925</v>
      </c>
      <c r="N120" s="64">
        <f t="shared" si="61"/>
        <v>308531</v>
      </c>
      <c r="O120" s="64">
        <f t="shared" si="61"/>
        <v>713</v>
      </c>
      <c r="P120" s="193">
        <f t="shared" si="61"/>
        <v>558807</v>
      </c>
      <c r="Q120" s="193">
        <f t="shared" si="61"/>
        <v>33192</v>
      </c>
      <c r="R120" s="193">
        <f t="shared" si="61"/>
        <v>51269</v>
      </c>
      <c r="S120" s="193">
        <f t="shared" si="61"/>
        <v>0</v>
      </c>
      <c r="T120" s="193">
        <f t="shared" si="61"/>
        <v>0</v>
      </c>
      <c r="U120" s="194">
        <f t="shared" si="60"/>
        <v>1636110</v>
      </c>
      <c r="V120" s="64">
        <f t="shared" ref="V120:AI120" si="62">SUM(V121:V129)</f>
        <v>1640006</v>
      </c>
      <c r="W120" s="23">
        <f t="shared" si="62"/>
        <v>41504</v>
      </c>
      <c r="X120" s="182">
        <f t="shared" si="62"/>
        <v>661270</v>
      </c>
      <c r="Y120" s="182">
        <f t="shared" si="62"/>
        <v>22943</v>
      </c>
      <c r="Z120" s="182">
        <f t="shared" si="62"/>
        <v>12072</v>
      </c>
      <c r="AA120" s="182">
        <f t="shared" si="62"/>
        <v>198344</v>
      </c>
      <c r="AB120" s="182">
        <f t="shared" si="62"/>
        <v>22868</v>
      </c>
      <c r="AC120" s="182">
        <f t="shared" si="62"/>
        <v>63341</v>
      </c>
      <c r="AD120" s="182">
        <f t="shared" si="62"/>
        <v>442899</v>
      </c>
      <c r="AE120" s="182">
        <f t="shared" si="62"/>
        <v>-274</v>
      </c>
      <c r="AF120" s="182">
        <f t="shared" si="62"/>
        <v>37078</v>
      </c>
      <c r="AG120" s="182">
        <f t="shared" si="62"/>
        <v>5309</v>
      </c>
      <c r="AH120" s="182">
        <f t="shared" si="62"/>
        <v>51539</v>
      </c>
      <c r="AI120" s="182">
        <f t="shared" si="62"/>
        <v>1502045</v>
      </c>
      <c r="AJ120" s="22"/>
      <c r="AK120" s="23"/>
      <c r="AL120" s="23"/>
      <c r="AM120" s="23"/>
      <c r="AN120" s="43"/>
      <c r="AO120" s="1">
        <f t="shared" si="35"/>
        <v>137961</v>
      </c>
      <c r="AP120" s="37">
        <v>532273</v>
      </c>
    </row>
    <row r="121" spans="1:52" ht="12.75" customHeight="1" x14ac:dyDescent="0.2">
      <c r="A121" s="13"/>
      <c r="E121" s="1" t="s">
        <v>144</v>
      </c>
      <c r="H121" s="82"/>
      <c r="I121" s="44">
        <v>0</v>
      </c>
      <c r="J121" s="44">
        <v>326092</v>
      </c>
      <c r="K121" s="44">
        <v>2563</v>
      </c>
      <c r="L121" s="44">
        <v>135891</v>
      </c>
      <c r="M121" s="44">
        <v>0</v>
      </c>
      <c r="N121" s="44">
        <v>308320</v>
      </c>
      <c r="O121" s="44">
        <v>0</v>
      </c>
      <c r="P121" s="44">
        <v>558257</v>
      </c>
      <c r="Q121" s="44">
        <v>0</v>
      </c>
      <c r="R121" s="44">
        <v>50163</v>
      </c>
      <c r="S121" s="44">
        <v>0</v>
      </c>
      <c r="T121" s="44">
        <v>0</v>
      </c>
      <c r="U121" s="190">
        <f t="shared" si="60"/>
        <v>1381286</v>
      </c>
      <c r="V121" s="189">
        <v>1490587</v>
      </c>
      <c r="W121" s="49">
        <v>41304</v>
      </c>
      <c r="X121" s="124">
        <v>660295</v>
      </c>
      <c r="Y121" s="195">
        <v>19227</v>
      </c>
      <c r="Z121" s="189">
        <v>11482</v>
      </c>
      <c r="AA121" s="44">
        <v>198450</v>
      </c>
      <c r="AB121" s="124">
        <v>23008</v>
      </c>
      <c r="AC121" s="124">
        <v>40718</v>
      </c>
      <c r="AD121" s="124">
        <v>442858</v>
      </c>
      <c r="AE121" s="124">
        <v>0</v>
      </c>
      <c r="AF121" s="124">
        <v>36715</v>
      </c>
      <c r="AG121" s="124">
        <v>5532</v>
      </c>
      <c r="AH121" s="124">
        <v>0</v>
      </c>
      <c r="AI121" s="46">
        <f t="shared" ref="AI121:AI132" si="63">SUM(W121:AF121)</f>
        <v>1474057</v>
      </c>
      <c r="AJ121" s="48"/>
      <c r="AK121" s="49"/>
      <c r="AL121" s="49"/>
      <c r="AM121" s="49"/>
      <c r="AN121" s="50"/>
      <c r="AO121" s="1">
        <f t="shared" si="35"/>
        <v>16530</v>
      </c>
      <c r="AP121" s="38">
        <v>1</v>
      </c>
      <c r="AS121" s="14" t="s">
        <v>145</v>
      </c>
    </row>
    <row r="122" spans="1:52" ht="12.75" customHeight="1" x14ac:dyDescent="0.2">
      <c r="A122" s="13"/>
      <c r="E122" s="1" t="s">
        <v>146</v>
      </c>
      <c r="H122" s="82"/>
      <c r="I122" s="44">
        <v>1484</v>
      </c>
      <c r="J122" s="44">
        <v>387</v>
      </c>
      <c r="K122" s="44">
        <v>6637</v>
      </c>
      <c r="L122" s="44">
        <v>619</v>
      </c>
      <c r="M122" s="44">
        <v>300</v>
      </c>
      <c r="N122" s="44">
        <v>211</v>
      </c>
      <c r="O122" s="44">
        <v>713</v>
      </c>
      <c r="P122" s="44">
        <v>550</v>
      </c>
      <c r="Q122" s="44">
        <v>30575</v>
      </c>
      <c r="R122" s="44">
        <v>1106</v>
      </c>
      <c r="S122" s="44">
        <v>0</v>
      </c>
      <c r="T122" s="44">
        <v>0</v>
      </c>
      <c r="U122" s="190">
        <f t="shared" si="60"/>
        <v>42582</v>
      </c>
      <c r="V122" s="189">
        <v>78984</v>
      </c>
      <c r="W122" s="49">
        <v>200</v>
      </c>
      <c r="X122" s="124">
        <v>0</v>
      </c>
      <c r="Y122" s="196">
        <v>550</v>
      </c>
      <c r="Z122" s="189">
        <v>590</v>
      </c>
      <c r="AA122" s="124">
        <v>10</v>
      </c>
      <c r="AB122" s="124">
        <v>541</v>
      </c>
      <c r="AC122" s="124">
        <v>23731</v>
      </c>
      <c r="AD122" s="124">
        <v>41</v>
      </c>
      <c r="AE122" s="124">
        <v>81</v>
      </c>
      <c r="AF122" s="124">
        <v>363</v>
      </c>
      <c r="AG122" s="124">
        <v>837</v>
      </c>
      <c r="AH122" s="124">
        <v>51830</v>
      </c>
      <c r="AI122" s="46">
        <f t="shared" si="63"/>
        <v>26107</v>
      </c>
      <c r="AJ122" s="48"/>
      <c r="AK122" s="49"/>
      <c r="AL122" s="49"/>
      <c r="AM122" s="49"/>
      <c r="AN122" s="50"/>
      <c r="AO122" s="1">
        <f t="shared" si="35"/>
        <v>52877</v>
      </c>
      <c r="AP122" s="38">
        <v>0</v>
      </c>
      <c r="AS122" s="1" t="e">
        <f>+#REF!</f>
        <v>#REF!</v>
      </c>
      <c r="AT122" s="38" t="str">
        <f>+'[22]Current year TB'!$L$17</f>
        <v>Inland revenue</v>
      </c>
    </row>
    <row r="123" spans="1:52" ht="12.75" customHeight="1" x14ac:dyDescent="0.2">
      <c r="A123" s="13"/>
      <c r="E123" s="1" t="s">
        <v>147</v>
      </c>
      <c r="H123" s="82"/>
      <c r="I123" s="44">
        <v>0</v>
      </c>
      <c r="J123" s="44">
        <v>0</v>
      </c>
      <c r="K123" s="44">
        <v>0</v>
      </c>
      <c r="L123" s="44">
        <v>0</v>
      </c>
      <c r="M123" s="44">
        <v>0</v>
      </c>
      <c r="N123" s="44">
        <v>0</v>
      </c>
      <c r="O123" s="44">
        <v>0</v>
      </c>
      <c r="P123" s="44">
        <v>0</v>
      </c>
      <c r="Q123" s="44">
        <v>0</v>
      </c>
      <c r="R123" s="44">
        <v>0</v>
      </c>
      <c r="S123" s="44">
        <v>0</v>
      </c>
      <c r="T123" s="44">
        <v>0</v>
      </c>
      <c r="U123" s="190">
        <f t="shared" si="60"/>
        <v>0</v>
      </c>
      <c r="V123" s="189">
        <v>1000</v>
      </c>
      <c r="W123" s="45">
        <v>0</v>
      </c>
      <c r="X123" s="196">
        <v>210</v>
      </c>
      <c r="Y123" s="196"/>
      <c r="Z123" s="189"/>
      <c r="AA123" s="124">
        <v>0</v>
      </c>
      <c r="AB123" s="124"/>
      <c r="AC123" s="124">
        <v>0</v>
      </c>
      <c r="AD123" s="124">
        <v>0</v>
      </c>
      <c r="AE123" s="124">
        <v>0</v>
      </c>
      <c r="AF123" s="124"/>
      <c r="AG123" s="44">
        <v>0</v>
      </c>
      <c r="AH123" s="124">
        <v>1000</v>
      </c>
      <c r="AI123" s="46">
        <f t="shared" si="63"/>
        <v>210</v>
      </c>
      <c r="AJ123" s="48"/>
      <c r="AK123" s="49"/>
      <c r="AL123" s="49"/>
      <c r="AM123" s="49"/>
      <c r="AN123" s="50"/>
      <c r="AP123" s="38"/>
      <c r="AT123" s="38"/>
    </row>
    <row r="124" spans="1:52" ht="13.9" customHeight="1" x14ac:dyDescent="0.2">
      <c r="A124" s="13"/>
      <c r="E124" s="1" t="s">
        <v>148</v>
      </c>
      <c r="H124" s="82"/>
      <c r="I124" s="44">
        <v>0</v>
      </c>
      <c r="J124" s="44">
        <v>0</v>
      </c>
      <c r="K124" s="44">
        <v>0</v>
      </c>
      <c r="L124" s="44">
        <v>0</v>
      </c>
      <c r="M124" s="44">
        <v>0</v>
      </c>
      <c r="N124" s="44">
        <v>0</v>
      </c>
      <c r="O124" s="44">
        <v>0</v>
      </c>
      <c r="P124" s="44">
        <v>0</v>
      </c>
      <c r="Q124" s="44">
        <v>2617</v>
      </c>
      <c r="R124" s="44">
        <v>0</v>
      </c>
      <c r="S124" s="44">
        <v>0</v>
      </c>
      <c r="T124" s="44">
        <v>0</v>
      </c>
      <c r="U124" s="190">
        <f t="shared" si="60"/>
        <v>2617</v>
      </c>
      <c r="V124" s="189">
        <v>3166</v>
      </c>
      <c r="W124" s="45">
        <v>0</v>
      </c>
      <c r="X124" s="196">
        <v>0</v>
      </c>
      <c r="Y124" s="124">
        <v>3166</v>
      </c>
      <c r="Z124" s="124">
        <v>0</v>
      </c>
      <c r="AA124" s="124">
        <v>0</v>
      </c>
      <c r="AB124" s="124">
        <v>0</v>
      </c>
      <c r="AC124" s="124">
        <v>0</v>
      </c>
      <c r="AD124" s="124">
        <v>0</v>
      </c>
      <c r="AE124" s="124">
        <v>0</v>
      </c>
      <c r="AF124" s="124">
        <v>0</v>
      </c>
      <c r="AG124" s="124">
        <v>0</v>
      </c>
      <c r="AH124" s="124">
        <v>0</v>
      </c>
      <c r="AI124" s="46">
        <f t="shared" si="63"/>
        <v>3166</v>
      </c>
      <c r="AJ124" s="48"/>
      <c r="AK124" s="49"/>
      <c r="AL124" s="49"/>
      <c r="AM124" s="49"/>
      <c r="AN124" s="50"/>
      <c r="AO124" s="1">
        <f t="shared" si="35"/>
        <v>0</v>
      </c>
      <c r="AP124" s="38">
        <v>-2069</v>
      </c>
      <c r="AS124" s="1" t="e">
        <f>+#REF!</f>
        <v>#REF!</v>
      </c>
      <c r="AT124" s="1" t="s">
        <v>149</v>
      </c>
    </row>
    <row r="125" spans="1:52" ht="12.75" customHeight="1" x14ac:dyDescent="0.2">
      <c r="A125" s="13"/>
      <c r="B125" s="128"/>
      <c r="E125" s="1" t="s">
        <v>150</v>
      </c>
      <c r="H125" s="82"/>
      <c r="I125" s="44">
        <v>0</v>
      </c>
      <c r="J125" s="44">
        <v>0</v>
      </c>
      <c r="K125" s="44">
        <v>0</v>
      </c>
      <c r="L125" s="44">
        <v>0</v>
      </c>
      <c r="M125" s="44">
        <v>0</v>
      </c>
      <c r="N125" s="44">
        <v>0</v>
      </c>
      <c r="O125" s="44">
        <v>0</v>
      </c>
      <c r="P125" s="44">
        <v>0</v>
      </c>
      <c r="Q125" s="44">
        <v>0</v>
      </c>
      <c r="R125" s="44">
        <v>0</v>
      </c>
      <c r="S125" s="44">
        <v>0</v>
      </c>
      <c r="T125" s="44">
        <v>0</v>
      </c>
      <c r="U125" s="190">
        <f t="shared" si="60"/>
        <v>0</v>
      </c>
      <c r="V125" s="189">
        <v>2331</v>
      </c>
      <c r="W125" s="45">
        <v>0</v>
      </c>
      <c r="X125" s="189">
        <v>765</v>
      </c>
      <c r="Y125" s="124">
        <v>0</v>
      </c>
      <c r="Z125" s="124">
        <v>0</v>
      </c>
      <c r="AA125" s="124">
        <v>0</v>
      </c>
      <c r="AB125" s="124">
        <v>0</v>
      </c>
      <c r="AC125" s="124">
        <v>1566</v>
      </c>
      <c r="AD125" s="124">
        <v>0</v>
      </c>
      <c r="AE125" s="124">
        <v>0</v>
      </c>
      <c r="AF125" s="124">
        <v>0</v>
      </c>
      <c r="AG125" s="124">
        <v>0</v>
      </c>
      <c r="AH125" s="1">
        <v>0</v>
      </c>
      <c r="AI125" s="46">
        <f t="shared" si="63"/>
        <v>2331</v>
      </c>
      <c r="AJ125" s="48"/>
      <c r="AK125" s="49"/>
      <c r="AL125" s="49"/>
      <c r="AM125" s="49"/>
      <c r="AN125" s="50"/>
      <c r="AO125" s="1">
        <f t="shared" si="35"/>
        <v>0</v>
      </c>
      <c r="AP125" s="38">
        <v>0</v>
      </c>
      <c r="AS125" s="14" t="e">
        <f>SUM(AS122:AS124)</f>
        <v>#REF!</v>
      </c>
    </row>
    <row r="126" spans="1:52" ht="12.75" customHeight="1" x14ac:dyDescent="0.2">
      <c r="A126" s="13"/>
      <c r="E126" s="1" t="s">
        <v>151</v>
      </c>
      <c r="H126" s="82"/>
      <c r="I126" s="44">
        <v>0</v>
      </c>
      <c r="J126" s="44">
        <v>0</v>
      </c>
      <c r="K126" s="44">
        <v>0</v>
      </c>
      <c r="L126" s="44">
        <v>0</v>
      </c>
      <c r="M126" s="44">
        <v>0</v>
      </c>
      <c r="N126" s="44">
        <v>0</v>
      </c>
      <c r="O126" s="44">
        <v>0</v>
      </c>
      <c r="P126" s="44">
        <v>0</v>
      </c>
      <c r="Q126" s="44">
        <v>0</v>
      </c>
      <c r="R126" s="44">
        <v>0</v>
      </c>
      <c r="S126" s="44">
        <v>0</v>
      </c>
      <c r="T126" s="44">
        <v>0</v>
      </c>
      <c r="U126" s="190">
        <f>SUM(I126:T126)</f>
        <v>0</v>
      </c>
      <c r="V126" s="189">
        <v>5250</v>
      </c>
      <c r="W126" s="45">
        <v>0</v>
      </c>
      <c r="X126" s="189">
        <v>0</v>
      </c>
      <c r="Y126" s="124">
        <v>0</v>
      </c>
      <c r="Z126" s="124">
        <v>0</v>
      </c>
      <c r="AA126" s="124">
        <v>0</v>
      </c>
      <c r="AB126" s="124">
        <v>0</v>
      </c>
      <c r="AC126" s="124">
        <v>0</v>
      </c>
      <c r="AD126" s="124">
        <v>0</v>
      </c>
      <c r="AE126" s="124">
        <v>0</v>
      </c>
      <c r="AF126" s="124">
        <v>0</v>
      </c>
      <c r="AG126" s="124">
        <v>0</v>
      </c>
      <c r="AH126" s="124">
        <v>0</v>
      </c>
      <c r="AI126" s="46">
        <f t="shared" si="63"/>
        <v>0</v>
      </c>
      <c r="AJ126" s="48"/>
      <c r="AK126" s="49"/>
      <c r="AL126" s="49"/>
      <c r="AM126" s="49"/>
      <c r="AN126" s="50"/>
      <c r="AO126" s="1">
        <f>+V126-AI126</f>
        <v>5250</v>
      </c>
      <c r="AP126" s="38">
        <v>-132</v>
      </c>
      <c r="AS126" s="14" t="e">
        <f>SUM(AS125:AS129)</f>
        <v>#REF!</v>
      </c>
      <c r="AT126" s="1" t="s">
        <v>152</v>
      </c>
    </row>
    <row r="127" spans="1:52" ht="12.75" customHeight="1" thickBot="1" x14ac:dyDescent="0.25">
      <c r="A127" s="13"/>
      <c r="E127" s="128" t="s">
        <v>153</v>
      </c>
      <c r="H127" s="82"/>
      <c r="I127" s="44">
        <v>0</v>
      </c>
      <c r="J127" s="44">
        <v>0</v>
      </c>
      <c r="K127" s="44">
        <v>0</v>
      </c>
      <c r="L127" s="44">
        <v>0</v>
      </c>
      <c r="M127" s="44">
        <v>209625</v>
      </c>
      <c r="N127" s="44">
        <v>0</v>
      </c>
      <c r="O127" s="44">
        <v>0</v>
      </c>
      <c r="P127" s="44">
        <v>0</v>
      </c>
      <c r="Q127" s="44">
        <v>0</v>
      </c>
      <c r="R127" s="44">
        <v>0</v>
      </c>
      <c r="S127" s="44">
        <v>0</v>
      </c>
      <c r="T127" s="44">
        <v>0</v>
      </c>
      <c r="U127" s="190">
        <f>SUM(I127:T127)</f>
        <v>209625</v>
      </c>
      <c r="V127" s="189">
        <v>58688</v>
      </c>
      <c r="W127" s="45">
        <v>0</v>
      </c>
      <c r="X127" s="189">
        <v>0</v>
      </c>
      <c r="Y127" s="124">
        <v>0</v>
      </c>
      <c r="Z127" s="124">
        <v>0</v>
      </c>
      <c r="AA127" s="124">
        <v>0</v>
      </c>
      <c r="AB127" s="124">
        <v>0</v>
      </c>
      <c r="AC127" s="124">
        <v>0</v>
      </c>
      <c r="AD127" s="124">
        <v>0</v>
      </c>
      <c r="AE127" s="124">
        <v>0</v>
      </c>
      <c r="AF127" s="124">
        <v>0</v>
      </c>
      <c r="AG127" s="124">
        <v>0</v>
      </c>
      <c r="AH127" s="124">
        <v>0</v>
      </c>
      <c r="AI127" s="46">
        <f t="shared" si="63"/>
        <v>0</v>
      </c>
      <c r="AJ127" s="48"/>
      <c r="AK127" s="49"/>
      <c r="AL127" s="49"/>
      <c r="AM127" s="49"/>
      <c r="AN127" s="50"/>
      <c r="AO127" s="1">
        <f>+V127-AI127</f>
        <v>58688</v>
      </c>
      <c r="AP127" s="38">
        <v>532404</v>
      </c>
      <c r="AS127" s="197" t="e">
        <f>SUM(AS126:AS129)</f>
        <v>#REF!</v>
      </c>
    </row>
    <row r="128" spans="1:52" ht="12.75" customHeight="1" thickTop="1" x14ac:dyDescent="0.2">
      <c r="A128" s="13"/>
      <c r="B128" s="128"/>
      <c r="E128" s="1" t="s">
        <v>154</v>
      </c>
      <c r="H128" s="82"/>
      <c r="I128" s="44">
        <v>-204</v>
      </c>
      <c r="J128" s="44">
        <v>0</v>
      </c>
      <c r="K128" s="44">
        <v>0</v>
      </c>
      <c r="L128" s="44">
        <v>204</v>
      </c>
      <c r="M128" s="44">
        <v>0</v>
      </c>
      <c r="N128" s="44">
        <v>0</v>
      </c>
      <c r="O128" s="49">
        <v>0</v>
      </c>
      <c r="P128" s="45">
        <v>0</v>
      </c>
      <c r="Q128" s="44">
        <v>0</v>
      </c>
      <c r="R128" s="44">
        <v>0</v>
      </c>
      <c r="S128" s="44">
        <v>0</v>
      </c>
      <c r="T128" s="44">
        <v>0</v>
      </c>
      <c r="U128" s="190">
        <f t="shared" si="60"/>
        <v>0</v>
      </c>
      <c r="V128" s="189">
        <v>0</v>
      </c>
      <c r="W128" s="45">
        <v>0</v>
      </c>
      <c r="X128" s="189">
        <v>0</v>
      </c>
      <c r="Y128" s="189">
        <v>0</v>
      </c>
      <c r="Z128" s="189">
        <v>0</v>
      </c>
      <c r="AA128" s="189">
        <v>-57</v>
      </c>
      <c r="AB128" s="124">
        <v>-681</v>
      </c>
      <c r="AC128" s="44">
        <f>-424-2250</f>
        <v>-2674</v>
      </c>
      <c r="AD128" s="124">
        <v>0</v>
      </c>
      <c r="AE128" s="124">
        <v>-355</v>
      </c>
      <c r="AF128" s="124">
        <v>0</v>
      </c>
      <c r="AG128" s="44">
        <v>-1060</v>
      </c>
      <c r="AH128" s="124">
        <v>-1291</v>
      </c>
      <c r="AI128" s="46">
        <f t="shared" si="63"/>
        <v>-3767</v>
      </c>
      <c r="AJ128" s="49"/>
      <c r="AK128" s="49"/>
      <c r="AL128" s="49"/>
      <c r="AM128" s="49"/>
      <c r="AN128" s="50"/>
      <c r="AO128" s="1">
        <f t="shared" si="35"/>
        <v>3767</v>
      </c>
      <c r="AP128" s="38">
        <v>0</v>
      </c>
      <c r="AS128" s="1" t="e">
        <f>+#REF!</f>
        <v>#REF!</v>
      </c>
      <c r="AT128" s="1" t="s">
        <v>155</v>
      </c>
    </row>
    <row r="129" spans="1:46" ht="12.75" customHeight="1" x14ac:dyDescent="0.2">
      <c r="A129" s="13"/>
      <c r="B129" s="128"/>
      <c r="E129" s="1" t="s">
        <v>156</v>
      </c>
      <c r="H129" s="82"/>
      <c r="I129" s="44">
        <v>0</v>
      </c>
      <c r="J129" s="44">
        <v>0</v>
      </c>
      <c r="K129" s="44">
        <v>0</v>
      </c>
      <c r="L129" s="44">
        <v>0</v>
      </c>
      <c r="M129" s="44">
        <v>0</v>
      </c>
      <c r="N129" s="44">
        <v>0</v>
      </c>
      <c r="O129" s="49">
        <v>0</v>
      </c>
      <c r="P129" s="45">
        <v>0</v>
      </c>
      <c r="Q129" s="44">
        <v>0</v>
      </c>
      <c r="R129" s="44">
        <v>0</v>
      </c>
      <c r="S129" s="44">
        <v>0</v>
      </c>
      <c r="T129" s="44">
        <v>0</v>
      </c>
      <c r="U129" s="190">
        <f t="shared" si="60"/>
        <v>0</v>
      </c>
      <c r="V129" s="189">
        <v>0</v>
      </c>
      <c r="W129" s="45">
        <v>0</v>
      </c>
      <c r="X129" s="189">
        <v>0</v>
      </c>
      <c r="Y129" s="189">
        <v>0</v>
      </c>
      <c r="Z129" s="189">
        <v>0</v>
      </c>
      <c r="AA129" s="189">
        <v>-59</v>
      </c>
      <c r="AB129" s="124">
        <v>0</v>
      </c>
      <c r="AC129" s="198">
        <v>0</v>
      </c>
      <c r="AD129" s="124">
        <v>0</v>
      </c>
      <c r="AE129" s="189">
        <v>0</v>
      </c>
      <c r="AF129" s="124">
        <v>0</v>
      </c>
      <c r="AG129" s="124">
        <v>0</v>
      </c>
      <c r="AH129" s="124">
        <v>0</v>
      </c>
      <c r="AI129" s="46">
        <f t="shared" si="63"/>
        <v>-59</v>
      </c>
      <c r="AJ129" s="49"/>
      <c r="AK129" s="49"/>
      <c r="AL129" s="49"/>
      <c r="AM129" s="49"/>
      <c r="AN129" s="50"/>
      <c r="AO129" s="1">
        <f t="shared" si="35"/>
        <v>59</v>
      </c>
      <c r="AP129" s="38">
        <v>0</v>
      </c>
      <c r="AS129" s="1" t="e">
        <f>+#REF!</f>
        <v>#REF!</v>
      </c>
      <c r="AT129" s="1" t="s">
        <v>157</v>
      </c>
    </row>
    <row r="130" spans="1:46" x14ac:dyDescent="0.2">
      <c r="A130" s="199" t="s">
        <v>158</v>
      </c>
      <c r="B130" s="51"/>
      <c r="C130" s="51"/>
      <c r="D130" s="51"/>
      <c r="E130" s="51"/>
      <c r="F130" s="51"/>
      <c r="G130" s="52"/>
      <c r="H130" s="82"/>
      <c r="I130" s="44">
        <v>0</v>
      </c>
      <c r="J130" s="44">
        <v>0</v>
      </c>
      <c r="K130" s="44">
        <v>0</v>
      </c>
      <c r="L130" s="44">
        <v>0</v>
      </c>
      <c r="M130" s="44">
        <v>0</v>
      </c>
      <c r="N130" s="44">
        <v>0</v>
      </c>
      <c r="O130" s="44">
        <v>0</v>
      </c>
      <c r="P130" s="44">
        <v>0</v>
      </c>
      <c r="Q130" s="44">
        <v>0</v>
      </c>
      <c r="R130" s="44">
        <v>0</v>
      </c>
      <c r="S130" s="44">
        <v>0</v>
      </c>
      <c r="T130" s="44">
        <v>0</v>
      </c>
      <c r="U130" s="190">
        <f t="shared" ref="U130" si="64">SUM(I130:T130)</f>
        <v>0</v>
      </c>
      <c r="V130" s="189">
        <v>58</v>
      </c>
      <c r="W130" s="45">
        <v>0</v>
      </c>
      <c r="X130" s="189">
        <v>0.66666999999999998</v>
      </c>
      <c r="Y130" s="189">
        <v>0.2</v>
      </c>
      <c r="Z130" s="189">
        <v>0</v>
      </c>
      <c r="AA130" s="189">
        <v>0.05</v>
      </c>
      <c r="AB130" s="124">
        <v>0</v>
      </c>
      <c r="AC130" s="124">
        <v>0</v>
      </c>
      <c r="AD130" s="124">
        <v>54.883330000000001</v>
      </c>
      <c r="AE130" s="124">
        <v>0</v>
      </c>
      <c r="AF130" s="124">
        <v>1.5</v>
      </c>
      <c r="AG130" s="124">
        <v>0</v>
      </c>
      <c r="AH130" s="124">
        <v>0</v>
      </c>
      <c r="AI130" s="46">
        <f t="shared" si="63"/>
        <v>57.300000000000004</v>
      </c>
      <c r="AJ130" s="48"/>
      <c r="AK130" s="49"/>
      <c r="AL130" s="49"/>
      <c r="AM130" s="49"/>
      <c r="AN130" s="50"/>
      <c r="AO130" s="1">
        <f t="shared" si="35"/>
        <v>0.69999999999999574</v>
      </c>
      <c r="AP130" s="38">
        <v>-0.20000000000000284</v>
      </c>
    </row>
    <row r="131" spans="1:46" ht="12.75" customHeight="1" x14ac:dyDescent="0.2">
      <c r="A131" s="13" t="s">
        <v>159</v>
      </c>
      <c r="G131" s="85"/>
      <c r="H131" s="45">
        <v>40607888.053000003</v>
      </c>
      <c r="I131" s="44">
        <v>2558272.5997100002</v>
      </c>
      <c r="J131" s="44">
        <v>1599970.9169700001</v>
      </c>
      <c r="K131" s="44">
        <v>1260801.7249700001</v>
      </c>
      <c r="L131" s="44">
        <v>2357605.6139199999</v>
      </c>
      <c r="M131" s="44">
        <v>3646053.3910400001</v>
      </c>
      <c r="N131" s="44">
        <v>5159495.2959899995</v>
      </c>
      <c r="O131" s="44">
        <v>5216230.9491499998</v>
      </c>
      <c r="P131" s="44">
        <v>3621546.1784200002</v>
      </c>
      <c r="Q131" s="44">
        <v>3541896.2725</v>
      </c>
      <c r="R131" s="44">
        <v>3837502.53632</v>
      </c>
      <c r="S131" s="189">
        <v>0</v>
      </c>
      <c r="T131" s="189">
        <v>0</v>
      </c>
      <c r="U131" s="190">
        <f>SUM(I131:T131)</f>
        <v>32799375.478990003</v>
      </c>
      <c r="V131" s="189">
        <v>42755354.662430003</v>
      </c>
      <c r="W131" s="45">
        <v>3727892.12622</v>
      </c>
      <c r="X131" s="189">
        <v>3461514.7302600001</v>
      </c>
      <c r="Y131" s="189">
        <v>3530607.19343</v>
      </c>
      <c r="Z131" s="189">
        <v>3410770.7181799999</v>
      </c>
      <c r="AA131" s="124">
        <v>3201069.94331</v>
      </c>
      <c r="AB131" s="124">
        <v>3566543.301</v>
      </c>
      <c r="AC131" s="124">
        <v>3796988.06317</v>
      </c>
      <c r="AD131" s="124">
        <v>3458010.4393600002</v>
      </c>
      <c r="AE131" s="124">
        <v>3807332.1439099996</v>
      </c>
      <c r="AF131" s="124">
        <v>3528323.70701</v>
      </c>
      <c r="AG131" s="124">
        <v>3495556.9734800002</v>
      </c>
      <c r="AH131" s="124">
        <v>3770745.3230999997</v>
      </c>
      <c r="AI131" s="46">
        <f t="shared" si="63"/>
        <v>35489052.365850002</v>
      </c>
      <c r="AJ131" s="48"/>
      <c r="AK131" s="49"/>
      <c r="AL131" s="49"/>
      <c r="AM131" s="49"/>
      <c r="AN131" s="50"/>
      <c r="AO131" s="1">
        <f t="shared" si="35"/>
        <v>7266302.2965800017</v>
      </c>
      <c r="AP131" s="38">
        <v>-2.6400089263916016E-3</v>
      </c>
      <c r="AR131" s="14"/>
    </row>
    <row r="132" spans="1:46" ht="12.75" customHeight="1" x14ac:dyDescent="0.2">
      <c r="A132" s="200" t="s">
        <v>160</v>
      </c>
      <c r="B132" s="201"/>
      <c r="C132" s="201"/>
      <c r="D132" s="201"/>
      <c r="E132" s="201"/>
      <c r="F132" s="201"/>
      <c r="G132" s="201"/>
      <c r="H132" s="202">
        <v>18723708.276999999</v>
      </c>
      <c r="I132" s="203">
        <v>1443405.03764</v>
      </c>
      <c r="J132" s="203">
        <v>1326166.2971099999</v>
      </c>
      <c r="K132" s="203">
        <v>1291739.155</v>
      </c>
      <c r="L132" s="203">
        <v>1457469.74217</v>
      </c>
      <c r="M132" s="203">
        <v>1549732.60968</v>
      </c>
      <c r="N132" s="203">
        <v>1578687.52061</v>
      </c>
      <c r="O132" s="203">
        <v>1531309.00902</v>
      </c>
      <c r="P132" s="203">
        <v>1589698.23523</v>
      </c>
      <c r="Q132" s="203">
        <v>1721507.47046</v>
      </c>
      <c r="R132" s="203">
        <v>1629108.45141</v>
      </c>
      <c r="S132" s="202">
        <v>0</v>
      </c>
      <c r="T132" s="202">
        <v>0</v>
      </c>
      <c r="U132" s="204">
        <f>SUM(I132:T132)</f>
        <v>15118823.52833</v>
      </c>
      <c r="V132" s="203">
        <v>20100560.826980002</v>
      </c>
      <c r="W132" s="202">
        <v>1510983.9494400001</v>
      </c>
      <c r="X132" s="189">
        <v>1595692.48232</v>
      </c>
      <c r="Y132" s="202">
        <v>1622086.74618</v>
      </c>
      <c r="Z132" s="202">
        <v>1624245.86387</v>
      </c>
      <c r="AA132" s="202">
        <v>1658067.0172999999</v>
      </c>
      <c r="AB132" s="202">
        <v>1642823.66334</v>
      </c>
      <c r="AC132" s="202">
        <v>1663487.2553599998</v>
      </c>
      <c r="AD132" s="202">
        <v>1664709.8666300001</v>
      </c>
      <c r="AE132" s="202">
        <v>1788519.15705</v>
      </c>
      <c r="AF132" s="202">
        <v>1670315.0718399999</v>
      </c>
      <c r="AG132" s="202">
        <v>1763840.9556199999</v>
      </c>
      <c r="AH132" s="202">
        <v>1895788.7980299999</v>
      </c>
      <c r="AI132" s="46">
        <f t="shared" si="63"/>
        <v>16440931.073330002</v>
      </c>
      <c r="AJ132" s="48"/>
      <c r="AK132" s="49"/>
      <c r="AL132" s="49"/>
      <c r="AM132" s="49"/>
      <c r="AN132" s="50"/>
      <c r="AO132" s="1">
        <f t="shared" si="35"/>
        <v>3659629.7536500003</v>
      </c>
      <c r="AP132" s="38">
        <v>-0.37992999702692032</v>
      </c>
    </row>
    <row r="133" spans="1:46" ht="12.75" customHeight="1" x14ac:dyDescent="0.2">
      <c r="A133" s="93" t="s">
        <v>161</v>
      </c>
      <c r="H133" s="66"/>
      <c r="I133" s="64">
        <f t="shared" ref="I133:AI133" si="65">+I116+I117+I120+I130+I131+I132</f>
        <v>67582916.620230004</v>
      </c>
      <c r="J133" s="64">
        <f t="shared" si="65"/>
        <v>71935965.036200017</v>
      </c>
      <c r="K133" s="64">
        <f t="shared" si="65"/>
        <v>111119018.19630001</v>
      </c>
      <c r="L133" s="64">
        <f t="shared" si="65"/>
        <v>66546355.865609996</v>
      </c>
      <c r="M133" s="64">
        <f t="shared" si="65"/>
        <v>106920604.21582998</v>
      </c>
      <c r="N133" s="64">
        <f t="shared" si="65"/>
        <v>112870202.75457998</v>
      </c>
      <c r="O133" s="64">
        <f t="shared" si="65"/>
        <v>90670996.475909993</v>
      </c>
      <c r="P133" s="64">
        <f t="shared" si="65"/>
        <v>104873390.44219001</v>
      </c>
      <c r="Q133" s="64">
        <f t="shared" si="65"/>
        <v>181658060.38802999</v>
      </c>
      <c r="R133" s="64">
        <f t="shared" si="65"/>
        <v>93196838.759669974</v>
      </c>
      <c r="S133" s="64">
        <f t="shared" si="65"/>
        <v>0</v>
      </c>
      <c r="T133" s="64">
        <f t="shared" si="65"/>
        <v>0</v>
      </c>
      <c r="U133" s="146">
        <f t="shared" si="65"/>
        <v>1007374347.7545499</v>
      </c>
      <c r="V133" s="23">
        <f t="shared" si="65"/>
        <v>1407694283.4348805</v>
      </c>
      <c r="W133" s="205">
        <f t="shared" si="65"/>
        <v>79152589.595310032</v>
      </c>
      <c r="X133" s="206">
        <f t="shared" si="65"/>
        <v>102709020.61303</v>
      </c>
      <c r="Y133" s="206">
        <f t="shared" si="65"/>
        <v>152239555.81156999</v>
      </c>
      <c r="Z133" s="21">
        <f t="shared" si="65"/>
        <v>79408860.271009982</v>
      </c>
      <c r="AA133" s="206">
        <f t="shared" si="65"/>
        <v>123216483.81714998</v>
      </c>
      <c r="AB133" s="206">
        <f t="shared" si="65"/>
        <v>123153810.1278</v>
      </c>
      <c r="AC133" s="206">
        <f t="shared" si="65"/>
        <v>89411944.341419965</v>
      </c>
      <c r="AD133" s="206">
        <f t="shared" si="65"/>
        <v>101334205.83091001</v>
      </c>
      <c r="AE133" s="206">
        <f t="shared" si="65"/>
        <v>165825992.96880001</v>
      </c>
      <c r="AF133" s="206">
        <f t="shared" si="65"/>
        <v>96688831.304470032</v>
      </c>
      <c r="AG133" s="206">
        <f t="shared" si="65"/>
        <v>149959544.04717997</v>
      </c>
      <c r="AH133" s="206">
        <f t="shared" si="65"/>
        <v>144819050.70876995</v>
      </c>
      <c r="AI133" s="207">
        <f t="shared" si="65"/>
        <v>1113141293.6814699</v>
      </c>
      <c r="AJ133" s="175"/>
      <c r="AK133" s="176"/>
      <c r="AL133" s="176"/>
      <c r="AM133" s="176"/>
      <c r="AN133" s="50"/>
      <c r="AO133" s="1">
        <f t="shared" si="35"/>
        <v>294552989.75341058</v>
      </c>
      <c r="AP133" s="38">
        <v>-644823.67811989784</v>
      </c>
    </row>
    <row r="134" spans="1:46" ht="12.75" customHeight="1" x14ac:dyDescent="0.2">
      <c r="A134" s="13" t="s">
        <v>162</v>
      </c>
      <c r="G134" s="149"/>
      <c r="H134" s="82"/>
      <c r="I134" s="44">
        <v>16415</v>
      </c>
      <c r="J134" s="44">
        <v>3123</v>
      </c>
      <c r="K134" s="44">
        <v>-12025</v>
      </c>
      <c r="L134" s="44">
        <v>13620</v>
      </c>
      <c r="M134" s="44">
        <v>-26756</v>
      </c>
      <c r="N134" s="44">
        <v>15209</v>
      </c>
      <c r="O134" s="44">
        <v>32487</v>
      </c>
      <c r="P134" s="44">
        <v>1142</v>
      </c>
      <c r="Q134" s="44">
        <v>13195</v>
      </c>
      <c r="R134" s="44">
        <v>-29488</v>
      </c>
      <c r="S134" s="189">
        <v>0</v>
      </c>
      <c r="T134" s="189">
        <v>0</v>
      </c>
      <c r="U134" s="190">
        <f>SUM(I134:T134)</f>
        <v>26922</v>
      </c>
      <c r="V134" s="189">
        <v>31925</v>
      </c>
      <c r="W134" s="49">
        <v>-244488</v>
      </c>
      <c r="X134" s="124">
        <v>7619</v>
      </c>
      <c r="Y134" s="208">
        <v>-10474</v>
      </c>
      <c r="Z134" s="189">
        <v>234915</v>
      </c>
      <c r="AA134" s="189">
        <v>98725</v>
      </c>
      <c r="AB134" s="124">
        <v>19911</v>
      </c>
      <c r="AC134" s="124">
        <v>-55150</v>
      </c>
      <c r="AD134" s="124">
        <v>54061</v>
      </c>
      <c r="AE134" s="124">
        <v>388</v>
      </c>
      <c r="AF134" s="124">
        <v>-58683</v>
      </c>
      <c r="AG134" s="124">
        <v>12145</v>
      </c>
      <c r="AH134" s="124">
        <v>-27044</v>
      </c>
      <c r="AI134" s="46">
        <f t="shared" ref="AI134:AI138" si="66">SUM(W134:AF134)</f>
        <v>46824</v>
      </c>
      <c r="AJ134" s="48"/>
      <c r="AK134" s="49"/>
      <c r="AL134" s="49"/>
      <c r="AM134" s="49"/>
      <c r="AN134" s="50"/>
      <c r="AO134" s="1">
        <f t="shared" si="35"/>
        <v>-14899</v>
      </c>
      <c r="AP134" s="38">
        <v>-21</v>
      </c>
      <c r="AS134" s="14"/>
    </row>
    <row r="135" spans="1:46" ht="12.75" customHeight="1" x14ac:dyDescent="0.2">
      <c r="A135" s="199" t="s">
        <v>163</v>
      </c>
      <c r="B135" s="51"/>
      <c r="C135" s="51"/>
      <c r="D135" s="51"/>
      <c r="E135" s="51"/>
      <c r="F135" s="51"/>
      <c r="G135" s="52"/>
      <c r="H135" s="82"/>
      <c r="I135" s="44">
        <v>0</v>
      </c>
      <c r="J135" s="44">
        <v>0</v>
      </c>
      <c r="K135" s="44">
        <v>0</v>
      </c>
      <c r="L135" s="44">
        <v>0</v>
      </c>
      <c r="M135" s="44">
        <v>0</v>
      </c>
      <c r="N135" s="44">
        <v>0</v>
      </c>
      <c r="O135" s="44">
        <v>0</v>
      </c>
      <c r="P135" s="44">
        <v>0</v>
      </c>
      <c r="Q135" s="44">
        <v>0</v>
      </c>
      <c r="R135" s="44">
        <v>0</v>
      </c>
      <c r="S135" s="189">
        <v>0</v>
      </c>
      <c r="T135" s="189">
        <v>0</v>
      </c>
      <c r="U135" s="190">
        <f>SUM(I135:T135)</f>
        <v>0</v>
      </c>
      <c r="V135" s="189">
        <v>-57.5</v>
      </c>
      <c r="W135" s="49">
        <v>0</v>
      </c>
      <c r="X135" s="124">
        <v>0</v>
      </c>
      <c r="Y135" s="208">
        <v>-1</v>
      </c>
      <c r="Z135" s="189">
        <v>0</v>
      </c>
      <c r="AA135" s="189">
        <v>0</v>
      </c>
      <c r="AB135" s="124">
        <v>0</v>
      </c>
      <c r="AC135" s="124">
        <v>0</v>
      </c>
      <c r="AD135" s="124">
        <v>0</v>
      </c>
      <c r="AE135" s="124">
        <v>-55</v>
      </c>
      <c r="AF135" s="124">
        <v>0</v>
      </c>
      <c r="AG135" s="124">
        <v>-1.5</v>
      </c>
      <c r="AH135" s="124">
        <v>0</v>
      </c>
      <c r="AI135" s="46">
        <f t="shared" si="66"/>
        <v>-56</v>
      </c>
      <c r="AJ135" s="48"/>
      <c r="AK135" s="49"/>
      <c r="AL135" s="49"/>
      <c r="AM135" s="49"/>
      <c r="AN135" s="50"/>
      <c r="AO135" s="1">
        <f t="shared" si="35"/>
        <v>-1.5</v>
      </c>
      <c r="AP135" s="38">
        <v>0</v>
      </c>
    </row>
    <row r="136" spans="1:46" ht="12.75" customHeight="1" x14ac:dyDescent="0.2">
      <c r="A136" s="13" t="s">
        <v>164</v>
      </c>
      <c r="H136" s="82"/>
      <c r="I136" s="44">
        <v>-3770745</v>
      </c>
      <c r="J136" s="44">
        <v>-2558273</v>
      </c>
      <c r="K136" s="44">
        <v>-1599971</v>
      </c>
      <c r="L136" s="44">
        <v>-1260802</v>
      </c>
      <c r="M136" s="44">
        <v>-2357606</v>
      </c>
      <c r="N136" s="44">
        <v>-3646053</v>
      </c>
      <c r="O136" s="124">
        <v>-5159495</v>
      </c>
      <c r="P136" s="44">
        <v>-5216231</v>
      </c>
      <c r="Q136" s="44">
        <v>0</v>
      </c>
      <c r="R136" s="44">
        <v>-7163442</v>
      </c>
      <c r="S136" s="189">
        <v>0</v>
      </c>
      <c r="T136" s="189">
        <v>0</v>
      </c>
      <c r="U136" s="190">
        <f>SUM(I136:T136)</f>
        <v>-32732618</v>
      </c>
      <c r="V136" s="189">
        <v>-42632836</v>
      </c>
      <c r="W136" s="49">
        <v>-3648226</v>
      </c>
      <c r="X136" s="124">
        <v>-3727892</v>
      </c>
      <c r="Y136" s="208">
        <v>-3461515</v>
      </c>
      <c r="Z136" s="189">
        <v>-3530607</v>
      </c>
      <c r="AA136" s="189">
        <v>-3410771</v>
      </c>
      <c r="AB136" s="124">
        <v>-3201070</v>
      </c>
      <c r="AC136" s="124">
        <v>-3566544</v>
      </c>
      <c r="AD136" s="124">
        <v>-3796988</v>
      </c>
      <c r="AE136" s="124">
        <v>-3458010</v>
      </c>
      <c r="AF136" s="124">
        <v>-3807332</v>
      </c>
      <c r="AG136" s="124">
        <v>-3528324</v>
      </c>
      <c r="AH136" s="124">
        <v>-3495557</v>
      </c>
      <c r="AI136" s="46">
        <f t="shared" si="66"/>
        <v>-35608955</v>
      </c>
      <c r="AJ136" s="48"/>
      <c r="AK136" s="49"/>
      <c r="AL136" s="49"/>
      <c r="AM136" s="49"/>
      <c r="AN136" s="50"/>
      <c r="AO136" s="1">
        <f t="shared" si="35"/>
        <v>-7023881</v>
      </c>
      <c r="AP136" s="38">
        <v>0</v>
      </c>
      <c r="AS136" s="14"/>
    </row>
    <row r="137" spans="1:46" ht="12.75" customHeight="1" x14ac:dyDescent="0.2">
      <c r="A137" s="13" t="s">
        <v>165</v>
      </c>
      <c r="H137" s="82"/>
      <c r="I137" s="44">
        <v>-1895789</v>
      </c>
      <c r="J137" s="44">
        <v>-1443405</v>
      </c>
      <c r="K137" s="44">
        <v>-1326166</v>
      </c>
      <c r="L137" s="44">
        <v>-1291739</v>
      </c>
      <c r="M137" s="44">
        <v>-1457470</v>
      </c>
      <c r="N137" s="44">
        <v>-1549733</v>
      </c>
      <c r="O137" s="124">
        <v>-1578687</v>
      </c>
      <c r="P137" s="44">
        <v>-1531309</v>
      </c>
      <c r="Q137" s="44">
        <f>-1589698</f>
        <v>-1589698</v>
      </c>
      <c r="R137" s="44">
        <v>-1721508</v>
      </c>
      <c r="S137" s="189">
        <v>0</v>
      </c>
      <c r="T137" s="189">
        <v>0</v>
      </c>
      <c r="U137" s="190">
        <f>SUM(I137:T137)</f>
        <v>-15385504</v>
      </c>
      <c r="V137" s="189">
        <v>-19901483</v>
      </c>
      <c r="W137" s="49">
        <v>-1696711</v>
      </c>
      <c r="X137" s="124">
        <v>-1510984</v>
      </c>
      <c r="Y137" s="208">
        <v>-1595692</v>
      </c>
      <c r="Z137" s="189">
        <v>-1622087</v>
      </c>
      <c r="AA137" s="189">
        <v>-1624246</v>
      </c>
      <c r="AB137" s="124">
        <v>-1658067</v>
      </c>
      <c r="AC137" s="124">
        <v>-1642824</v>
      </c>
      <c r="AD137" s="124">
        <v>-1663487</v>
      </c>
      <c r="AE137" s="124">
        <v>-1664710</v>
      </c>
      <c r="AF137" s="124">
        <v>-1788519</v>
      </c>
      <c r="AG137" s="124">
        <v>-1670315</v>
      </c>
      <c r="AH137" s="124">
        <v>-1763841</v>
      </c>
      <c r="AI137" s="46">
        <f t="shared" si="66"/>
        <v>-16467327</v>
      </c>
      <c r="AJ137" s="48"/>
      <c r="AK137" s="49"/>
      <c r="AL137" s="49"/>
      <c r="AM137" s="49"/>
      <c r="AN137" s="50"/>
      <c r="AO137" s="1">
        <f t="shared" ref="AO137:AO145" si="67">+V137-AI137</f>
        <v>-3434156</v>
      </c>
      <c r="AP137" s="38">
        <v>0</v>
      </c>
    </row>
    <row r="138" spans="1:46" ht="12.75" customHeight="1" x14ac:dyDescent="0.2">
      <c r="A138" s="209" t="s">
        <v>166</v>
      </c>
      <c r="B138" s="210"/>
      <c r="C138" s="210"/>
      <c r="D138" s="210"/>
      <c r="E138" s="210"/>
      <c r="F138" s="210"/>
      <c r="G138" s="211"/>
      <c r="H138" s="202"/>
      <c r="I138" s="44">
        <f>350-50000</f>
        <v>-49650</v>
      </c>
      <c r="J138" s="44">
        <v>32382</v>
      </c>
      <c r="K138" s="44">
        <f>1320-1380-2300</f>
        <v>-2360</v>
      </c>
      <c r="L138" s="44">
        <v>18537</v>
      </c>
      <c r="M138" s="44">
        <v>1744</v>
      </c>
      <c r="N138" s="44">
        <f>1048-1802</f>
        <v>-754</v>
      </c>
      <c r="O138" s="44">
        <f>714-30000-3647-20000</f>
        <v>-52933</v>
      </c>
      <c r="P138" s="44">
        <v>2704</v>
      </c>
      <c r="Q138" s="44">
        <v>2519</v>
      </c>
      <c r="R138" s="44">
        <v>2262</v>
      </c>
      <c r="S138" s="189">
        <v>0</v>
      </c>
      <c r="T138" s="189">
        <v>0</v>
      </c>
      <c r="U138" s="190">
        <f>SUM(I138:T138)</f>
        <v>-45549</v>
      </c>
      <c r="V138" s="212">
        <v>12169</v>
      </c>
      <c r="W138" s="49">
        <v>-1870</v>
      </c>
      <c r="X138" s="213">
        <v>3506</v>
      </c>
      <c r="Y138" s="208">
        <v>4746</v>
      </c>
      <c r="Z138" s="189">
        <f>106384-2000</f>
        <v>104384</v>
      </c>
      <c r="AA138" s="189">
        <v>3409</v>
      </c>
      <c r="AB138" s="213">
        <f>2093-10600</f>
        <v>-8507</v>
      </c>
      <c r="AC138" s="213">
        <f>2713-3400-2000-50-50-30000</f>
        <v>-32787</v>
      </c>
      <c r="AD138" s="213">
        <v>1715</v>
      </c>
      <c r="AE138" s="213">
        <v>26449</v>
      </c>
      <c r="AF138" s="213">
        <f>743-27250</f>
        <v>-26507</v>
      </c>
      <c r="AG138" s="213">
        <v>4991</v>
      </c>
      <c r="AH138" s="213">
        <f>712-67993-79</f>
        <v>-67360</v>
      </c>
      <c r="AI138" s="46">
        <f t="shared" si="66"/>
        <v>74538</v>
      </c>
      <c r="AJ138" s="48"/>
      <c r="AK138" s="49"/>
      <c r="AL138" s="49"/>
      <c r="AM138" s="49"/>
      <c r="AN138" s="50"/>
      <c r="AO138" s="1">
        <f t="shared" si="67"/>
        <v>-62369</v>
      </c>
      <c r="AP138" s="38">
        <v>0</v>
      </c>
    </row>
    <row r="139" spans="1:46" ht="12.75" customHeight="1" x14ac:dyDescent="0.2">
      <c r="A139" s="160" t="s">
        <v>167</v>
      </c>
      <c r="B139" s="108"/>
      <c r="C139" s="108"/>
      <c r="D139" s="108"/>
      <c r="E139" s="108"/>
      <c r="F139" s="108"/>
      <c r="G139" s="110"/>
      <c r="H139" s="161"/>
      <c r="I139" s="161">
        <f>SUM(I133:I138)</f>
        <v>61883147.620230004</v>
      </c>
      <c r="J139" s="161">
        <f t="shared" ref="J139:T139" si="68">SUM(J133:J138)</f>
        <v>67969792.036200017</v>
      </c>
      <c r="K139" s="161">
        <f t="shared" si="68"/>
        <v>108178496.19630001</v>
      </c>
      <c r="L139" s="161">
        <f t="shared" si="68"/>
        <v>64025971.865609996</v>
      </c>
      <c r="M139" s="161">
        <f t="shared" si="68"/>
        <v>103080516.21582998</v>
      </c>
      <c r="N139" s="161">
        <f t="shared" si="68"/>
        <v>107688871.75457998</v>
      </c>
      <c r="O139" s="161">
        <f>SUM(O133:O138)+1</f>
        <v>83912369.475909993</v>
      </c>
      <c r="P139" s="161">
        <f t="shared" si="68"/>
        <v>98129696.442190006</v>
      </c>
      <c r="Q139" s="161">
        <f>SUM(Q133:Q138)</f>
        <v>180084076.38802999</v>
      </c>
      <c r="R139" s="161">
        <f t="shared" si="68"/>
        <v>84284662.759669974</v>
      </c>
      <c r="S139" s="161">
        <f t="shared" si="68"/>
        <v>0</v>
      </c>
      <c r="T139" s="161">
        <f t="shared" si="68"/>
        <v>0</v>
      </c>
      <c r="U139" s="162">
        <f>SUM(U133:U138)+1</f>
        <v>959237599.75454986</v>
      </c>
      <c r="V139" s="107">
        <f>SUM(V133:V138)</f>
        <v>1345204000.9348805</v>
      </c>
      <c r="W139" s="214">
        <f>SUM(W133:W138)</f>
        <v>73561294.595310032</v>
      </c>
      <c r="X139" s="214">
        <f>SUM(X133:X138)</f>
        <v>97481269.613030002</v>
      </c>
      <c r="Y139" s="214">
        <f>SUM(Y133:Y138)</f>
        <v>147176619.81156999</v>
      </c>
      <c r="Z139" s="214">
        <f t="shared" ref="Z139:AE139" si="69">SUM(Z133:Z138)</f>
        <v>74595465.271009982</v>
      </c>
      <c r="AA139" s="214">
        <f t="shared" si="69"/>
        <v>118283600.81714998</v>
      </c>
      <c r="AB139" s="214">
        <f t="shared" si="69"/>
        <v>118306077.1278</v>
      </c>
      <c r="AC139" s="214">
        <f t="shared" si="69"/>
        <v>84114639.341419965</v>
      </c>
      <c r="AD139" s="214">
        <f t="shared" si="69"/>
        <v>95929506.830910012</v>
      </c>
      <c r="AE139" s="214">
        <f t="shared" si="69"/>
        <v>160730054.96880001</v>
      </c>
      <c r="AF139" s="214">
        <f>SUM(AF133:AF138)</f>
        <v>91007790.304470032</v>
      </c>
      <c r="AG139" s="214">
        <f>SUM(AG133:AG138)</f>
        <v>144778039.54717997</v>
      </c>
      <c r="AH139" s="214">
        <f>SUM(AH133:AH138)</f>
        <v>139465248.70876995</v>
      </c>
      <c r="AI139" s="164">
        <f>SUM(AI133:AI138)</f>
        <v>1061186317.6814699</v>
      </c>
      <c r="AJ139" s="93"/>
      <c r="AK139" s="14"/>
      <c r="AL139" s="14"/>
      <c r="AM139" s="14"/>
      <c r="AN139" s="50"/>
      <c r="AO139" s="1">
        <f t="shared" si="67"/>
        <v>284017683.25341058</v>
      </c>
      <c r="AP139" s="38">
        <v>-644843.67811989784</v>
      </c>
    </row>
    <row r="140" spans="1:46" s="217" customFormat="1" ht="12.75" customHeight="1" x14ac:dyDescent="0.2">
      <c r="A140" s="215" t="s">
        <v>168</v>
      </c>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v>3510</v>
      </c>
      <c r="X140" s="216"/>
      <c r="Y140" s="215"/>
      <c r="Z140" s="215"/>
      <c r="AA140" s="215"/>
      <c r="AB140" s="215"/>
      <c r="AC140" s="215"/>
      <c r="AD140" s="215"/>
      <c r="AE140" s="215"/>
      <c r="AF140" s="215"/>
      <c r="AG140" s="215"/>
      <c r="AH140" s="215"/>
      <c r="AI140" s="215"/>
      <c r="AR140" s="1"/>
      <c r="AS140" s="1"/>
      <c r="AT140" s="1"/>
    </row>
    <row r="141" spans="1:46" ht="12.75" customHeight="1" x14ac:dyDescent="0.2">
      <c r="A141" s="216" t="s">
        <v>169</v>
      </c>
      <c r="B141" s="216"/>
      <c r="C141" s="216"/>
      <c r="D141" s="216"/>
      <c r="E141" s="216"/>
      <c r="F141" s="216"/>
      <c r="G141" s="216"/>
      <c r="H141" s="216"/>
      <c r="I141" s="216"/>
      <c r="J141" s="216"/>
      <c r="K141" s="216"/>
      <c r="L141" s="216"/>
      <c r="M141" s="216"/>
      <c r="N141" s="216"/>
      <c r="O141" s="216"/>
      <c r="P141" s="216"/>
      <c r="Q141" s="216"/>
      <c r="R141" s="216"/>
      <c r="S141" s="216"/>
      <c r="T141" s="216"/>
      <c r="U141" s="216"/>
      <c r="V141" s="216"/>
      <c r="W141" s="216">
        <f>SUM(W135:W140)</f>
        <v>68217997.595310032</v>
      </c>
      <c r="X141" s="216"/>
      <c r="Y141" s="216"/>
      <c r="Z141" s="216"/>
      <c r="AA141" s="216"/>
      <c r="AB141" s="216"/>
      <c r="AC141" s="216"/>
      <c r="AD141" s="216"/>
      <c r="AE141" s="216"/>
      <c r="AF141" s="216"/>
      <c r="AG141" s="216"/>
      <c r="AH141" s="216"/>
      <c r="AI141" s="216"/>
      <c r="AJ141" s="217"/>
      <c r="AK141" s="217"/>
      <c r="AL141" s="217"/>
      <c r="AM141" s="217"/>
      <c r="AN141" s="217"/>
      <c r="AS141" s="217"/>
      <c r="AT141" s="38"/>
    </row>
    <row r="142" spans="1:46" ht="12.75" customHeight="1" x14ac:dyDescent="0.2">
      <c r="A142" s="216" t="s">
        <v>170</v>
      </c>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c r="Z142" s="216"/>
      <c r="AA142" s="216"/>
      <c r="AB142" s="216"/>
      <c r="AC142" s="216"/>
      <c r="AD142" s="216"/>
      <c r="AE142" s="216"/>
      <c r="AF142" s="216"/>
      <c r="AG142" s="216"/>
      <c r="AH142" s="216"/>
      <c r="AI142" s="216"/>
      <c r="AJ142" s="217"/>
      <c r="AK142" s="217"/>
      <c r="AL142" s="217"/>
      <c r="AM142" s="217"/>
      <c r="AN142" s="38"/>
      <c r="AO142" s="38"/>
      <c r="AP142" s="38"/>
      <c r="AQ142" s="38"/>
      <c r="AS142" s="217"/>
    </row>
    <row r="143" spans="1:46" ht="12.75" customHeight="1" x14ac:dyDescent="0.2">
      <c r="A143" s="216" t="s">
        <v>171</v>
      </c>
      <c r="B143" s="216"/>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c r="Z143" s="216"/>
      <c r="AA143" s="216"/>
      <c r="AB143" s="216"/>
      <c r="AC143" s="216"/>
      <c r="AD143" s="216"/>
      <c r="AE143" s="216"/>
      <c r="AF143" s="216"/>
      <c r="AG143" s="216"/>
      <c r="AH143" s="216"/>
      <c r="AI143" s="216"/>
      <c r="AJ143" s="217"/>
      <c r="AK143" s="217"/>
      <c r="AL143" s="217"/>
      <c r="AM143" s="217"/>
      <c r="AN143" s="37"/>
      <c r="AO143" s="37"/>
      <c r="AP143" s="37"/>
      <c r="AQ143" s="37"/>
    </row>
    <row r="144" spans="1:46" ht="12.75" customHeight="1" x14ac:dyDescent="0.2">
      <c r="A144" s="216" t="s">
        <v>172</v>
      </c>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c r="Z144" s="216"/>
      <c r="AA144" s="216"/>
      <c r="AB144" s="216"/>
      <c r="AC144" s="216"/>
      <c r="AD144" s="216"/>
      <c r="AE144" s="216"/>
      <c r="AF144" s="216"/>
      <c r="AG144" s="216"/>
      <c r="AH144" s="216"/>
      <c r="AI144" s="216"/>
      <c r="AJ144" s="217"/>
      <c r="AK144" s="217"/>
      <c r="AL144" s="217"/>
      <c r="AM144" s="217"/>
    </row>
    <row r="145" spans="1:54" ht="12.75" customHeight="1" x14ac:dyDescent="0.2">
      <c r="A145" s="217" t="s">
        <v>173</v>
      </c>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row>
    <row r="146" spans="1:54" ht="12.75" customHeight="1" x14ac:dyDescent="0.2">
      <c r="A146" s="216" t="s">
        <v>174</v>
      </c>
      <c r="B146" s="216"/>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c r="Z146" s="216"/>
      <c r="AA146" s="216"/>
      <c r="AB146" s="216"/>
      <c r="AC146" s="216"/>
      <c r="AD146" s="216"/>
      <c r="AE146" s="216"/>
      <c r="AF146" s="216"/>
      <c r="AG146" s="216"/>
      <c r="AH146" s="216"/>
      <c r="AI146" s="216"/>
      <c r="AJ146" s="217"/>
      <c r="AK146" s="217"/>
      <c r="AL146" s="217"/>
      <c r="AM146" s="217"/>
    </row>
    <row r="147" spans="1:54" ht="12.75" customHeight="1" x14ac:dyDescent="0.2">
      <c r="A147" s="217"/>
      <c r="B147" s="217"/>
      <c r="C147" s="217"/>
      <c r="D147" s="217"/>
      <c r="E147" s="218"/>
      <c r="F147" s="217"/>
      <c r="G147" s="217"/>
      <c r="I147" s="217"/>
      <c r="J147" s="217"/>
      <c r="K147" s="217"/>
      <c r="L147" s="217"/>
      <c r="M147" s="217"/>
      <c r="N147" s="217"/>
      <c r="O147" s="217"/>
      <c r="P147" s="217"/>
      <c r="Q147" s="217"/>
      <c r="R147" s="217"/>
      <c r="S147" s="217"/>
      <c r="T147" s="217"/>
      <c r="U147" s="217"/>
      <c r="V147" s="217"/>
      <c r="W147" s="38"/>
      <c r="X147" s="38"/>
      <c r="Y147" s="38"/>
      <c r="Z147" s="38"/>
      <c r="AA147" s="38"/>
      <c r="AB147" s="38"/>
      <c r="AC147" s="38"/>
      <c r="AD147" s="38"/>
      <c r="AE147" s="38"/>
      <c r="AF147" s="38"/>
      <c r="AG147" s="38"/>
      <c r="AH147" s="38"/>
      <c r="AI147" s="38"/>
      <c r="AJ147" s="38"/>
      <c r="AK147" s="38"/>
      <c r="AL147" s="38"/>
      <c r="AM147" s="38"/>
    </row>
    <row r="148" spans="1:54" s="220" customFormat="1" ht="15" customHeight="1" x14ac:dyDescent="0.2">
      <c r="A148" s="219"/>
      <c r="B148" s="219"/>
      <c r="C148" s="219"/>
      <c r="E148" s="219"/>
      <c r="AN148" s="219"/>
    </row>
    <row r="149" spans="1:54" s="221" customFormat="1" ht="15" customHeight="1" x14ac:dyDescent="0.2"/>
    <row r="150" spans="1:54" s="220" customFormat="1" ht="15" customHeight="1" x14ac:dyDescent="0.2">
      <c r="AR150" s="221"/>
      <c r="AS150" s="221"/>
    </row>
    <row r="151" spans="1:54" s="220" customFormat="1" ht="15" customHeight="1" x14ac:dyDescent="0.2">
      <c r="H151" s="222"/>
      <c r="I151" s="222"/>
      <c r="J151" s="222"/>
      <c r="K151" s="222"/>
      <c r="L151" s="222"/>
      <c r="M151" s="222"/>
      <c r="N151" s="222"/>
      <c r="O151" s="222"/>
      <c r="P151" s="222"/>
      <c r="Q151" s="222"/>
      <c r="R151" s="222"/>
      <c r="S151" s="222"/>
      <c r="T151" s="222"/>
      <c r="U151" s="222"/>
      <c r="V151" s="222"/>
      <c r="W151" s="222"/>
      <c r="X151" s="222"/>
      <c r="Y151" s="222"/>
      <c r="Z151" s="222"/>
      <c r="AA151" s="222"/>
      <c r="AB151" s="222"/>
      <c r="AC151" s="222"/>
      <c r="AD151" s="222"/>
      <c r="AE151" s="222"/>
      <c r="AF151" s="222"/>
      <c r="AG151" s="222"/>
      <c r="AH151" s="222"/>
      <c r="AI151" s="222"/>
      <c r="AJ151" s="222"/>
      <c r="AK151" s="222"/>
      <c r="AL151" s="222"/>
      <c r="AM151" s="222"/>
      <c r="AR151" s="221"/>
      <c r="AS151" s="221"/>
    </row>
    <row r="152" spans="1:54" s="220" customFormat="1" ht="15" customHeight="1" x14ac:dyDescent="0.2">
      <c r="H152" s="29"/>
      <c r="I152" s="29"/>
      <c r="J152" s="29"/>
      <c r="K152" s="29"/>
      <c r="L152" s="29"/>
      <c r="M152" s="29"/>
      <c r="N152" s="29"/>
      <c r="O152" s="222"/>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row>
    <row r="153" spans="1:54" s="220" customFormat="1" ht="15" customHeight="1" x14ac:dyDescent="0.2">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row>
    <row r="154" spans="1:54" s="220" customFormat="1" ht="15" customHeight="1" x14ac:dyDescent="0.2">
      <c r="H154" s="222"/>
      <c r="I154" s="222"/>
      <c r="J154" s="222"/>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row>
    <row r="155" spans="1:54" s="220" customFormat="1" ht="15" customHeight="1" x14ac:dyDescent="0.2"/>
    <row r="156" spans="1:54" s="220" customFormat="1" ht="15" customHeight="1" x14ac:dyDescent="0.2"/>
    <row r="157" spans="1:54" s="220" customFormat="1" ht="15" customHeight="1" x14ac:dyDescent="0.2"/>
    <row r="158" spans="1:54" ht="12.75" customHeight="1" x14ac:dyDescent="0.2">
      <c r="V158" s="1"/>
    </row>
    <row r="159" spans="1:54" ht="12.75" customHeight="1" x14ac:dyDescent="0.2">
      <c r="V159" s="1"/>
    </row>
    <row r="160" spans="1:54" ht="12.75" customHeight="1" x14ac:dyDescent="0.2">
      <c r="V160" s="1"/>
    </row>
    <row r="161" spans="22:22" ht="12.75" customHeight="1" x14ac:dyDescent="0.2">
      <c r="V161" s="1"/>
    </row>
    <row r="162" spans="22:22" ht="12.75" customHeight="1" x14ac:dyDescent="0.2">
      <c r="V162" s="1"/>
    </row>
    <row r="163" spans="22:22" ht="12.75" customHeight="1" x14ac:dyDescent="0.2">
      <c r="V163" s="1"/>
    </row>
    <row r="164" spans="22:22" ht="12.75" customHeight="1" x14ac:dyDescent="0.2">
      <c r="V164" s="1"/>
    </row>
    <row r="165" spans="22:22" ht="12.75" customHeight="1" x14ac:dyDescent="0.2">
      <c r="V165" s="1"/>
    </row>
    <row r="166" spans="22:22" ht="12.75" customHeight="1" x14ac:dyDescent="0.2">
      <c r="V166" s="1"/>
    </row>
    <row r="167" spans="22:22" ht="12.75" customHeight="1" x14ac:dyDescent="0.2">
      <c r="V167" s="1"/>
    </row>
    <row r="168" spans="22:22" ht="12.75" customHeight="1" x14ac:dyDescent="0.2">
      <c r="V168" s="1"/>
    </row>
    <row r="169" spans="22:22" ht="12.75" customHeight="1" x14ac:dyDescent="0.2">
      <c r="V169" s="1"/>
    </row>
    <row r="170" spans="22:22" ht="12.75" customHeight="1" x14ac:dyDescent="0.2">
      <c r="V170" s="1"/>
    </row>
    <row r="171" spans="22:22" ht="12.75" customHeight="1" x14ac:dyDescent="0.2">
      <c r="V171" s="1"/>
    </row>
    <row r="172" spans="22:22" ht="12.75" customHeight="1" x14ac:dyDescent="0.2">
      <c r="V172" s="1"/>
    </row>
    <row r="173" spans="22:22" ht="12.75" customHeight="1" x14ac:dyDescent="0.2">
      <c r="V173" s="1"/>
    </row>
    <row r="174" spans="22:22" ht="12.75" customHeight="1" x14ac:dyDescent="0.2">
      <c r="V174" s="1"/>
    </row>
    <row r="175" spans="22:22" ht="12.75" customHeight="1" x14ac:dyDescent="0.2">
      <c r="V175" s="1"/>
    </row>
    <row r="176" spans="22:22" ht="12.75" customHeight="1" x14ac:dyDescent="0.2">
      <c r="V176" s="1"/>
    </row>
    <row r="177" spans="22:22" ht="12.75" customHeight="1" x14ac:dyDescent="0.2">
      <c r="V177" s="1"/>
    </row>
    <row r="178" spans="22:22" ht="12.75" customHeight="1" x14ac:dyDescent="0.2">
      <c r="V178" s="1"/>
    </row>
    <row r="179" spans="22:22" ht="12.75" customHeight="1" x14ac:dyDescent="0.2">
      <c r="V179" s="1"/>
    </row>
    <row r="180" spans="22:22" ht="12.75" customHeight="1" x14ac:dyDescent="0.2">
      <c r="V180" s="1"/>
    </row>
    <row r="181" spans="22:22" ht="12.75" customHeight="1" x14ac:dyDescent="0.2">
      <c r="V181" s="1"/>
    </row>
    <row r="182" spans="22:22" ht="12.75" customHeight="1" x14ac:dyDescent="0.2">
      <c r="V182" s="1"/>
    </row>
    <row r="183" spans="22:22" ht="12.75" customHeight="1" x14ac:dyDescent="0.2">
      <c r="V183" s="1"/>
    </row>
    <row r="184" spans="22:22" ht="12.75" customHeight="1" x14ac:dyDescent="0.2">
      <c r="V184" s="1"/>
    </row>
    <row r="185" spans="22:22" ht="12.75" customHeight="1" x14ac:dyDescent="0.2">
      <c r="V185" s="1"/>
    </row>
    <row r="186" spans="22:22" ht="12.75" customHeight="1" x14ac:dyDescent="0.2">
      <c r="V186" s="1"/>
    </row>
    <row r="187" spans="22:22" ht="12.75" customHeight="1" x14ac:dyDescent="0.2">
      <c r="V187" s="1"/>
    </row>
    <row r="188" spans="22:22" ht="12.75" customHeight="1" x14ac:dyDescent="0.2">
      <c r="V188" s="1"/>
    </row>
    <row r="189" spans="22:22" ht="12.75" customHeight="1" x14ac:dyDescent="0.2">
      <c r="V189" s="1"/>
    </row>
    <row r="190" spans="22:22" ht="12.75" customHeight="1" x14ac:dyDescent="0.2">
      <c r="V190" s="1"/>
    </row>
    <row r="191" spans="22:22" ht="12.75" customHeight="1" x14ac:dyDescent="0.2">
      <c r="V191" s="1"/>
    </row>
    <row r="192" spans="22:22" ht="12.75" customHeight="1" x14ac:dyDescent="0.2">
      <c r="V192" s="1"/>
    </row>
    <row r="193" spans="22:22" ht="12.75" customHeight="1" x14ac:dyDescent="0.2">
      <c r="V193" s="1"/>
    </row>
    <row r="194" spans="22:22" ht="12.75" customHeight="1" x14ac:dyDescent="0.2">
      <c r="V194" s="1"/>
    </row>
    <row r="195" spans="22:22" ht="12.75" customHeight="1" x14ac:dyDescent="0.2">
      <c r="V195" s="1"/>
    </row>
    <row r="196" spans="22:22" ht="12.75" customHeight="1" x14ac:dyDescent="0.2">
      <c r="V196" s="1"/>
    </row>
    <row r="197" spans="22:22" ht="12.75" customHeight="1" x14ac:dyDescent="0.2">
      <c r="V197" s="1"/>
    </row>
    <row r="198" spans="22:22" ht="12.75" customHeight="1" x14ac:dyDescent="0.2">
      <c r="V198" s="1"/>
    </row>
    <row r="199" spans="22:22" ht="12.75" customHeight="1" x14ac:dyDescent="0.2">
      <c r="V199" s="1"/>
    </row>
    <row r="200" spans="22:22" ht="12.75" customHeight="1" x14ac:dyDescent="0.2">
      <c r="V200" s="1"/>
    </row>
    <row r="201" spans="22:22" ht="12.75" customHeight="1" x14ac:dyDescent="0.2">
      <c r="V201" s="1"/>
    </row>
    <row r="202" spans="22:22" ht="12.75" customHeight="1" x14ac:dyDescent="0.2">
      <c r="V202" s="1"/>
    </row>
    <row r="203" spans="22:22" ht="12.75" customHeight="1" x14ac:dyDescent="0.2">
      <c r="V203" s="1"/>
    </row>
    <row r="204" spans="22:22" ht="12.75" customHeight="1" x14ac:dyDescent="0.2">
      <c r="V204" s="1"/>
    </row>
    <row r="205" spans="22:22" ht="12.75" customHeight="1" x14ac:dyDescent="0.2">
      <c r="V205" s="1"/>
    </row>
    <row r="206" spans="22:22" ht="12.75" customHeight="1" x14ac:dyDescent="0.2">
      <c r="V206" s="1"/>
    </row>
    <row r="207" spans="22:22" ht="12.75" customHeight="1" x14ac:dyDescent="0.2">
      <c r="V207" s="1"/>
    </row>
    <row r="208" spans="22:22" ht="12.75" customHeight="1" x14ac:dyDescent="0.2">
      <c r="V208" s="1"/>
    </row>
    <row r="209" spans="22:22" ht="12.75" customHeight="1" x14ac:dyDescent="0.2">
      <c r="V209" s="1"/>
    </row>
    <row r="210" spans="22:22" ht="12.75" customHeight="1" x14ac:dyDescent="0.2">
      <c r="V210" s="1"/>
    </row>
    <row r="211" spans="22:22" ht="12.75" customHeight="1" x14ac:dyDescent="0.2">
      <c r="V211" s="1"/>
    </row>
    <row r="212" spans="22:22" ht="12.75" customHeight="1" x14ac:dyDescent="0.2">
      <c r="V212" s="1"/>
    </row>
    <row r="213" spans="22:22" ht="12.75" customHeight="1" x14ac:dyDescent="0.2">
      <c r="V213" s="1"/>
    </row>
    <row r="214" spans="22:22" ht="12.75" customHeight="1" x14ac:dyDescent="0.2">
      <c r="V214" s="1"/>
    </row>
    <row r="215" spans="22:22" ht="12.75" customHeight="1" x14ac:dyDescent="0.2">
      <c r="V215" s="1"/>
    </row>
    <row r="216" spans="22:22" ht="12.75" customHeight="1" x14ac:dyDescent="0.2">
      <c r="V216" s="1"/>
    </row>
    <row r="217" spans="22:22" ht="12.75" customHeight="1" x14ac:dyDescent="0.2">
      <c r="V217" s="1"/>
    </row>
    <row r="218" spans="22:22" ht="12.75" customHeight="1" x14ac:dyDescent="0.2">
      <c r="V218" s="1"/>
    </row>
    <row r="219" spans="22:22" ht="12.75" customHeight="1" x14ac:dyDescent="0.2">
      <c r="V219" s="1"/>
    </row>
    <row r="220" spans="22:22" ht="12.75" customHeight="1" x14ac:dyDescent="0.2">
      <c r="V220" s="1"/>
    </row>
    <row r="221" spans="22:22" ht="12.75" customHeight="1" x14ac:dyDescent="0.2">
      <c r="V221" s="1"/>
    </row>
    <row r="222" spans="22:22" ht="12.75" customHeight="1" x14ac:dyDescent="0.2">
      <c r="V222" s="1"/>
    </row>
    <row r="223" spans="22:22" ht="12.75" customHeight="1" x14ac:dyDescent="0.2">
      <c r="V223" s="1"/>
    </row>
    <row r="224" spans="22:22" ht="12.75" customHeight="1" x14ac:dyDescent="0.2">
      <c r="V224" s="1"/>
    </row>
    <row r="225" spans="22:22" ht="12.75" customHeight="1" x14ac:dyDescent="0.2">
      <c r="V225" s="1"/>
    </row>
    <row r="226" spans="22:22" ht="12.75" customHeight="1" x14ac:dyDescent="0.2">
      <c r="V226" s="1"/>
    </row>
    <row r="227" spans="22:22" ht="12.75" customHeight="1" x14ac:dyDescent="0.2">
      <c r="V227" s="1"/>
    </row>
    <row r="228" spans="22:22" ht="12.75" customHeight="1" x14ac:dyDescent="0.2">
      <c r="V228" s="1"/>
    </row>
    <row r="229" spans="22:22" ht="12.75" customHeight="1" x14ac:dyDescent="0.2">
      <c r="V229" s="1"/>
    </row>
    <row r="230" spans="22:22" ht="12.75" customHeight="1" x14ac:dyDescent="0.2">
      <c r="V230" s="1"/>
    </row>
    <row r="231" spans="22:22" ht="12.75" customHeight="1" x14ac:dyDescent="0.2">
      <c r="V231" s="1"/>
    </row>
    <row r="232" spans="22:22" ht="12.75" customHeight="1" x14ac:dyDescent="0.2">
      <c r="V232" s="1"/>
    </row>
    <row r="233" spans="22:22" ht="12.75" customHeight="1" x14ac:dyDescent="0.2">
      <c r="V233" s="1"/>
    </row>
    <row r="234" spans="22:22" ht="12.75" customHeight="1" x14ac:dyDescent="0.2">
      <c r="V234" s="1"/>
    </row>
    <row r="235" spans="22:22" ht="12.75" customHeight="1" x14ac:dyDescent="0.2">
      <c r="V235" s="1"/>
    </row>
    <row r="236" spans="22:22" ht="12.75" customHeight="1" x14ac:dyDescent="0.2">
      <c r="V236" s="1"/>
    </row>
    <row r="237" spans="22:22" ht="12.75" customHeight="1" x14ac:dyDescent="0.2">
      <c r="V237" s="1"/>
    </row>
    <row r="238" spans="22:22" ht="12.75" customHeight="1" x14ac:dyDescent="0.2">
      <c r="V238" s="1"/>
    </row>
    <row r="239" spans="22:22" ht="12.75" customHeight="1" x14ac:dyDescent="0.2">
      <c r="V239" s="1"/>
    </row>
    <row r="240" spans="22:22" ht="12.75" customHeight="1" x14ac:dyDescent="0.2">
      <c r="V240" s="1"/>
    </row>
    <row r="241" spans="22:22" ht="12.75" customHeight="1" x14ac:dyDescent="0.2">
      <c r="V241" s="1"/>
    </row>
    <row r="242" spans="22:22" ht="12.75" customHeight="1" x14ac:dyDescent="0.2">
      <c r="V242" s="1"/>
    </row>
    <row r="243" spans="22:22" ht="12.75" customHeight="1" x14ac:dyDescent="0.2">
      <c r="V243" s="1"/>
    </row>
    <row r="244" spans="22:22" ht="12.75" customHeight="1" x14ac:dyDescent="0.2">
      <c r="V244" s="1"/>
    </row>
    <row r="245" spans="22:22" ht="12.75" customHeight="1" x14ac:dyDescent="0.2">
      <c r="V245" s="1"/>
    </row>
    <row r="246" spans="22:22" ht="12.75" customHeight="1" x14ac:dyDescent="0.2">
      <c r="V246" s="1"/>
    </row>
    <row r="247" spans="22:22" ht="12.75" customHeight="1" x14ac:dyDescent="0.2">
      <c r="V247" s="1"/>
    </row>
    <row r="248" spans="22:22" ht="12.75" customHeight="1" x14ac:dyDescent="0.2">
      <c r="V248" s="1"/>
    </row>
    <row r="249" spans="22:22" ht="12.75" customHeight="1" x14ac:dyDescent="0.2">
      <c r="V249" s="1"/>
    </row>
    <row r="250" spans="22:22" ht="12.75" customHeight="1" x14ac:dyDescent="0.2">
      <c r="V250" s="1"/>
    </row>
    <row r="251" spans="22:22" ht="12.75" customHeight="1" x14ac:dyDescent="0.2">
      <c r="V251" s="1"/>
    </row>
    <row r="252" spans="22:22" ht="12.75" customHeight="1" x14ac:dyDescent="0.2">
      <c r="V252" s="1"/>
    </row>
    <row r="253" spans="22:22" ht="12.75" customHeight="1" x14ac:dyDescent="0.2">
      <c r="V253" s="1"/>
    </row>
    <row r="254" spans="22:22" ht="12.75" customHeight="1" x14ac:dyDescent="0.2">
      <c r="V254" s="1"/>
    </row>
    <row r="255" spans="22:22" ht="12.75" customHeight="1" x14ac:dyDescent="0.2">
      <c r="V255" s="1"/>
    </row>
    <row r="256" spans="22:22" ht="12.75" customHeight="1" x14ac:dyDescent="0.2">
      <c r="V256" s="1"/>
    </row>
    <row r="257" spans="22:22" ht="12.75" customHeight="1" x14ac:dyDescent="0.2">
      <c r="V257" s="1"/>
    </row>
    <row r="258" spans="22:22" ht="12.75" customHeight="1" x14ac:dyDescent="0.2">
      <c r="V258" s="1"/>
    </row>
    <row r="259" spans="22:22" ht="12.75" customHeight="1" x14ac:dyDescent="0.2">
      <c r="V259" s="1"/>
    </row>
    <row r="260" spans="22:22" ht="12.75" customHeight="1" x14ac:dyDescent="0.2">
      <c r="V260" s="1"/>
    </row>
    <row r="261" spans="22:22" ht="12.75" customHeight="1" x14ac:dyDescent="0.2">
      <c r="V261" s="1"/>
    </row>
    <row r="262" spans="22:22" ht="12.75" customHeight="1" x14ac:dyDescent="0.2">
      <c r="V262" s="1"/>
    </row>
    <row r="263" spans="22:22" ht="12.75" customHeight="1" x14ac:dyDescent="0.2">
      <c r="V263" s="1"/>
    </row>
    <row r="264" spans="22:22" ht="12.75" customHeight="1" x14ac:dyDescent="0.2">
      <c r="V264" s="1"/>
    </row>
    <row r="265" spans="22:22" ht="12.75" customHeight="1" x14ac:dyDescent="0.2">
      <c r="V265" s="1"/>
    </row>
    <row r="266" spans="22:22" ht="12.75" customHeight="1" x14ac:dyDescent="0.2">
      <c r="V266" s="1"/>
    </row>
    <row r="267" spans="22:22" ht="12.75" customHeight="1" x14ac:dyDescent="0.2">
      <c r="V267" s="1"/>
    </row>
    <row r="268" spans="22:22" ht="12.75" customHeight="1" x14ac:dyDescent="0.2">
      <c r="V268" s="1"/>
    </row>
    <row r="269" spans="22:22" ht="12.75" customHeight="1" x14ac:dyDescent="0.2">
      <c r="V269" s="1"/>
    </row>
    <row r="270" spans="22:22" ht="12.75" customHeight="1" x14ac:dyDescent="0.2">
      <c r="V270" s="1"/>
    </row>
    <row r="271" spans="22:22" ht="12.75" customHeight="1" x14ac:dyDescent="0.2">
      <c r="V271" s="1"/>
    </row>
    <row r="272" spans="22:22" ht="12.75" customHeight="1" x14ac:dyDescent="0.2">
      <c r="V272" s="1"/>
    </row>
    <row r="273" spans="22:22" ht="12.75" customHeight="1" x14ac:dyDescent="0.2">
      <c r="V273" s="1"/>
    </row>
    <row r="274" spans="22:22" ht="12.75" customHeight="1" x14ac:dyDescent="0.2">
      <c r="V274" s="1"/>
    </row>
    <row r="275" spans="22:22" ht="12.75" customHeight="1" x14ac:dyDescent="0.2">
      <c r="V275" s="1"/>
    </row>
    <row r="276" spans="22:22" ht="12.75" customHeight="1" x14ac:dyDescent="0.2">
      <c r="V276" s="1"/>
    </row>
    <row r="277" spans="22:22" ht="12.75" customHeight="1" x14ac:dyDescent="0.2">
      <c r="V277" s="1"/>
    </row>
    <row r="278" spans="22:22" ht="12.75" customHeight="1" x14ac:dyDescent="0.2">
      <c r="V278" s="1"/>
    </row>
    <row r="279" spans="22:22" ht="12.75" customHeight="1" x14ac:dyDescent="0.2">
      <c r="V279" s="1"/>
    </row>
    <row r="280" spans="22:22" ht="12.75" customHeight="1" x14ac:dyDescent="0.2">
      <c r="V280" s="1"/>
    </row>
    <row r="281" spans="22:22" ht="12.75" customHeight="1" x14ac:dyDescent="0.2">
      <c r="V281" s="1"/>
    </row>
    <row r="282" spans="22:22" ht="12.75" customHeight="1" x14ac:dyDescent="0.2">
      <c r="V282" s="1"/>
    </row>
    <row r="283" spans="22:22" ht="12.75" customHeight="1" x14ac:dyDescent="0.2">
      <c r="V283" s="1"/>
    </row>
    <row r="284" spans="22:22" ht="12.75" customHeight="1" x14ac:dyDescent="0.2">
      <c r="V284" s="1"/>
    </row>
    <row r="285" spans="22:22" ht="12.75" customHeight="1" x14ac:dyDescent="0.2">
      <c r="V285" s="1"/>
    </row>
    <row r="286" spans="22:22" ht="12.75" customHeight="1" x14ac:dyDescent="0.2">
      <c r="V286" s="1"/>
    </row>
    <row r="287" spans="22:22" ht="12.75" customHeight="1" x14ac:dyDescent="0.2">
      <c r="V287" s="1"/>
    </row>
    <row r="288" spans="22:22" ht="12.75" customHeight="1" x14ac:dyDescent="0.2">
      <c r="V288" s="1"/>
    </row>
    <row r="289" spans="22:22" ht="12.75" customHeight="1" x14ac:dyDescent="0.2">
      <c r="V289" s="1"/>
    </row>
    <row r="290" spans="22:22" ht="12.75" customHeight="1" x14ac:dyDescent="0.2">
      <c r="V290" s="1"/>
    </row>
    <row r="291" spans="22:22" ht="12.75" customHeight="1" x14ac:dyDescent="0.2">
      <c r="V291" s="1"/>
    </row>
    <row r="292" spans="22:22" ht="12.75" customHeight="1" x14ac:dyDescent="0.2">
      <c r="V292" s="1"/>
    </row>
    <row r="293" spans="22:22" ht="12.75" customHeight="1" x14ac:dyDescent="0.2">
      <c r="V293" s="1"/>
    </row>
    <row r="294" spans="22:22" ht="12.75" customHeight="1" x14ac:dyDescent="0.2">
      <c r="V294" s="1"/>
    </row>
    <row r="295" spans="22:22" ht="12.75" customHeight="1" x14ac:dyDescent="0.2">
      <c r="V295" s="1"/>
    </row>
    <row r="296" spans="22:22" ht="12.75" customHeight="1" x14ac:dyDescent="0.2">
      <c r="V296" s="1"/>
    </row>
    <row r="297" spans="22:22" ht="12.75" customHeight="1" x14ac:dyDescent="0.2">
      <c r="V297" s="1"/>
    </row>
    <row r="298" spans="22:22" ht="12.75" customHeight="1" x14ac:dyDescent="0.2">
      <c r="V298" s="1"/>
    </row>
    <row r="299" spans="22:22" ht="12.75" customHeight="1" x14ac:dyDescent="0.2">
      <c r="V299" s="1"/>
    </row>
    <row r="300" spans="22:22" ht="12.75" customHeight="1" x14ac:dyDescent="0.2">
      <c r="V300" s="1"/>
    </row>
    <row r="301" spans="22:22" ht="12.75" customHeight="1" x14ac:dyDescent="0.2">
      <c r="V301" s="1"/>
    </row>
    <row r="302" spans="22:22" ht="12.75" customHeight="1" x14ac:dyDescent="0.2">
      <c r="V302" s="1"/>
    </row>
    <row r="303" spans="22:22" ht="12.75" customHeight="1" x14ac:dyDescent="0.2">
      <c r="V303" s="1"/>
    </row>
    <row r="304" spans="22:22" ht="12.75" customHeight="1" x14ac:dyDescent="0.2">
      <c r="V304" s="1"/>
    </row>
    <row r="305" spans="22:22" ht="12.75" customHeight="1" x14ac:dyDescent="0.2">
      <c r="V305" s="1"/>
    </row>
    <row r="306" spans="22:22" ht="12.75" customHeight="1" x14ac:dyDescent="0.2">
      <c r="V306" s="1"/>
    </row>
    <row r="307" spans="22:22" ht="12.75" customHeight="1" x14ac:dyDescent="0.2">
      <c r="V307" s="1"/>
    </row>
    <row r="308" spans="22:22" ht="12.75" customHeight="1" x14ac:dyDescent="0.2">
      <c r="V308" s="1"/>
    </row>
    <row r="309" spans="22:22" ht="12.75" customHeight="1" x14ac:dyDescent="0.2">
      <c r="V309" s="1"/>
    </row>
    <row r="310" spans="22:22" ht="12.75" customHeight="1" x14ac:dyDescent="0.2">
      <c r="V310" s="1"/>
    </row>
    <row r="311" spans="22:22" ht="12.75" customHeight="1" x14ac:dyDescent="0.2">
      <c r="V311" s="1"/>
    </row>
    <row r="312" spans="22:22" ht="12.75" customHeight="1" x14ac:dyDescent="0.2">
      <c r="V312" s="1"/>
    </row>
    <row r="313" spans="22:22" ht="12.75" customHeight="1" x14ac:dyDescent="0.2">
      <c r="V313" s="1"/>
    </row>
    <row r="314" spans="22:22" ht="12.75" customHeight="1" x14ac:dyDescent="0.2">
      <c r="V314" s="1"/>
    </row>
    <row r="315" spans="22:22" ht="12.75" customHeight="1" x14ac:dyDescent="0.2">
      <c r="V315" s="1"/>
    </row>
    <row r="316" spans="22:22" ht="12.75" customHeight="1" x14ac:dyDescent="0.2">
      <c r="V316" s="1"/>
    </row>
    <row r="317" spans="22:22" ht="12.75" customHeight="1" x14ac:dyDescent="0.2">
      <c r="V317" s="1"/>
    </row>
    <row r="318" spans="22:22" ht="12.75" customHeight="1" x14ac:dyDescent="0.2">
      <c r="V318" s="1"/>
    </row>
    <row r="319" spans="22:22" ht="12.75" customHeight="1" x14ac:dyDescent="0.2">
      <c r="V319" s="1"/>
    </row>
    <row r="320" spans="22:22" ht="12.75" customHeight="1" x14ac:dyDescent="0.2">
      <c r="V320" s="1"/>
    </row>
    <row r="321" spans="22:22" ht="12.75" customHeight="1" x14ac:dyDescent="0.2">
      <c r="V321" s="1"/>
    </row>
    <row r="322" spans="22:22" ht="12.75" customHeight="1" x14ac:dyDescent="0.2">
      <c r="V322" s="1"/>
    </row>
    <row r="323" spans="22:22" ht="12.75" customHeight="1" x14ac:dyDescent="0.2">
      <c r="V323" s="1"/>
    </row>
    <row r="324" spans="22:22" ht="12.75" customHeight="1" x14ac:dyDescent="0.2">
      <c r="V324" s="1"/>
    </row>
    <row r="325" spans="22:22" ht="12.75" customHeight="1" x14ac:dyDescent="0.2">
      <c r="V325" s="1"/>
    </row>
    <row r="326" spans="22:22" ht="12.75" customHeight="1" x14ac:dyDescent="0.2">
      <c r="V326" s="1"/>
    </row>
    <row r="327" spans="22:22" ht="12.75" customHeight="1" x14ac:dyDescent="0.2">
      <c r="V327" s="1"/>
    </row>
    <row r="328" spans="22:22" ht="12.75" customHeight="1" x14ac:dyDescent="0.2">
      <c r="V328" s="1"/>
    </row>
    <row r="329" spans="22:22" ht="12.75" customHeight="1" x14ac:dyDescent="0.2">
      <c r="V329" s="1"/>
    </row>
    <row r="330" spans="22:22" ht="12.75" customHeight="1" x14ac:dyDescent="0.2">
      <c r="V330" s="1"/>
    </row>
    <row r="331" spans="22:22" ht="12.75" customHeight="1" x14ac:dyDescent="0.2">
      <c r="V331" s="1"/>
    </row>
    <row r="332" spans="22:22" ht="12.75" customHeight="1" x14ac:dyDescent="0.2">
      <c r="V332" s="1"/>
    </row>
    <row r="333" spans="22:22" ht="12.75" customHeight="1" x14ac:dyDescent="0.2">
      <c r="V333" s="1"/>
    </row>
    <row r="334" spans="22:22" ht="12.75" customHeight="1" x14ac:dyDescent="0.2">
      <c r="V334" s="1"/>
    </row>
    <row r="335" spans="22:22" ht="12.75" customHeight="1" x14ac:dyDescent="0.2">
      <c r="V335" s="1"/>
    </row>
    <row r="336" spans="22:22" ht="12.75" customHeight="1" x14ac:dyDescent="0.2">
      <c r="V336" s="1"/>
    </row>
    <row r="337" spans="22:22" ht="12.75" customHeight="1" x14ac:dyDescent="0.2">
      <c r="V337" s="1"/>
    </row>
    <row r="338" spans="22:22" ht="12.75" customHeight="1" x14ac:dyDescent="0.2">
      <c r="V338" s="1"/>
    </row>
    <row r="339" spans="22:22" ht="12.75" customHeight="1" x14ac:dyDescent="0.2">
      <c r="V339" s="1"/>
    </row>
    <row r="340" spans="22:22" ht="12.75" customHeight="1" x14ac:dyDescent="0.2">
      <c r="V340" s="1"/>
    </row>
    <row r="341" spans="22:22" ht="12.75" customHeight="1" x14ac:dyDescent="0.2">
      <c r="V341" s="1"/>
    </row>
    <row r="342" spans="22:22" ht="12.75" customHeight="1" x14ac:dyDescent="0.2">
      <c r="V342" s="1"/>
    </row>
    <row r="343" spans="22:22" ht="12.75" customHeight="1" x14ac:dyDescent="0.2">
      <c r="V343" s="1"/>
    </row>
    <row r="344" spans="22:22" ht="12.75" customHeight="1" x14ac:dyDescent="0.2">
      <c r="V344" s="1"/>
    </row>
    <row r="345" spans="22:22" ht="12.75" customHeight="1" x14ac:dyDescent="0.2">
      <c r="V345" s="1"/>
    </row>
    <row r="346" spans="22:22" ht="12.75" customHeight="1" x14ac:dyDescent="0.2">
      <c r="V346" s="1"/>
    </row>
    <row r="347" spans="22:22" ht="12.75" customHeight="1" x14ac:dyDescent="0.2">
      <c r="V347" s="1"/>
    </row>
    <row r="348" spans="22:22" ht="12.75" customHeight="1" x14ac:dyDescent="0.2">
      <c r="V348" s="1"/>
    </row>
    <row r="349" spans="22:22" ht="12.75" customHeight="1" x14ac:dyDescent="0.2">
      <c r="V349" s="1"/>
    </row>
    <row r="350" spans="22:22" ht="12.75" customHeight="1" x14ac:dyDescent="0.2">
      <c r="V350" s="1"/>
    </row>
    <row r="351" spans="22:22" ht="12.75" customHeight="1" x14ac:dyDescent="0.2">
      <c r="V351" s="1"/>
    </row>
    <row r="352" spans="22:22" ht="12.75" customHeight="1" x14ac:dyDescent="0.2">
      <c r="V352" s="1"/>
    </row>
    <row r="353" spans="22:22" ht="12.75" customHeight="1" x14ac:dyDescent="0.2">
      <c r="V353" s="1"/>
    </row>
    <row r="354" spans="22:22" ht="12.75" customHeight="1" x14ac:dyDescent="0.2">
      <c r="V354" s="1"/>
    </row>
    <row r="355" spans="22:22" ht="12.75" customHeight="1" x14ac:dyDescent="0.2">
      <c r="V355" s="1"/>
    </row>
    <row r="356" spans="22:22" ht="12.75" customHeight="1" x14ac:dyDescent="0.2">
      <c r="V356" s="1"/>
    </row>
    <row r="357" spans="22:22" ht="12.75" customHeight="1" x14ac:dyDescent="0.2">
      <c r="V357" s="1"/>
    </row>
    <row r="358" spans="22:22" ht="12.75" customHeight="1" x14ac:dyDescent="0.2">
      <c r="V358" s="1"/>
    </row>
    <row r="359" spans="22:22" ht="12.75" customHeight="1" x14ac:dyDescent="0.2">
      <c r="V359" s="1"/>
    </row>
    <row r="360" spans="22:22" ht="12.75" customHeight="1" x14ac:dyDescent="0.2">
      <c r="V360" s="1"/>
    </row>
    <row r="361" spans="22:22" ht="12.75" customHeight="1" x14ac:dyDescent="0.2">
      <c r="V361" s="1"/>
    </row>
    <row r="362" spans="22:22" ht="12.75" customHeight="1" x14ac:dyDescent="0.2">
      <c r="V362" s="1"/>
    </row>
    <row r="363" spans="22:22" ht="12.75" customHeight="1" x14ac:dyDescent="0.2">
      <c r="V363" s="1"/>
    </row>
    <row r="364" spans="22:22" ht="12.75" customHeight="1" x14ac:dyDescent="0.2">
      <c r="V364" s="1"/>
    </row>
    <row r="365" spans="22:22" ht="12.75" customHeight="1" x14ac:dyDescent="0.2">
      <c r="V365" s="1"/>
    </row>
    <row r="366" spans="22:22" ht="12.75" customHeight="1" x14ac:dyDescent="0.2">
      <c r="V366" s="1"/>
    </row>
    <row r="367" spans="22:22" ht="12.75" customHeight="1" x14ac:dyDescent="0.2">
      <c r="V367" s="1"/>
    </row>
    <row r="368" spans="22:22" ht="12.75" customHeight="1" x14ac:dyDescent="0.2">
      <c r="V368" s="1"/>
    </row>
    <row r="369" spans="22:22" ht="12.75" customHeight="1" x14ac:dyDescent="0.2">
      <c r="V369" s="1"/>
    </row>
    <row r="370" spans="22:22" ht="12.75" customHeight="1" x14ac:dyDescent="0.2">
      <c r="V370" s="1"/>
    </row>
    <row r="371" spans="22:22" ht="12.75" customHeight="1" x14ac:dyDescent="0.2">
      <c r="V371" s="1"/>
    </row>
    <row r="372" spans="22:22" ht="12.75" customHeight="1" x14ac:dyDescent="0.2">
      <c r="V372" s="1"/>
    </row>
    <row r="373" spans="22:22" ht="12.75" customHeight="1" x14ac:dyDescent="0.2">
      <c r="V373" s="1"/>
    </row>
    <row r="374" spans="22:22" ht="12.75" customHeight="1" x14ac:dyDescent="0.2">
      <c r="V374" s="1"/>
    </row>
    <row r="375" spans="22:22" ht="12.75" customHeight="1" x14ac:dyDescent="0.2">
      <c r="V375" s="1"/>
    </row>
    <row r="376" spans="22:22" ht="12.75" customHeight="1" x14ac:dyDescent="0.2">
      <c r="V376" s="1"/>
    </row>
    <row r="377" spans="22:22" ht="12.75" customHeight="1" x14ac:dyDescent="0.2">
      <c r="V377" s="1"/>
    </row>
    <row r="378" spans="22:22" ht="12.75" customHeight="1" x14ac:dyDescent="0.2">
      <c r="V378" s="1"/>
    </row>
    <row r="379" spans="22:22" ht="12.75" customHeight="1" x14ac:dyDescent="0.2">
      <c r="V379" s="1"/>
    </row>
    <row r="380" spans="22:22" ht="12.75" customHeight="1" x14ac:dyDescent="0.2">
      <c r="V380" s="1"/>
    </row>
    <row r="381" spans="22:22" ht="12.75" customHeight="1" x14ac:dyDescent="0.2">
      <c r="V381" s="1"/>
    </row>
    <row r="382" spans="22:22" ht="12.75" customHeight="1" x14ac:dyDescent="0.2">
      <c r="V382" s="1"/>
    </row>
    <row r="383" spans="22:22" ht="12.75" customHeight="1" x14ac:dyDescent="0.2">
      <c r="V383" s="1"/>
    </row>
    <row r="384" spans="22:22" ht="12.75" customHeight="1" x14ac:dyDescent="0.2">
      <c r="V384" s="1"/>
    </row>
    <row r="385" spans="22:22" ht="12.75" customHeight="1" x14ac:dyDescent="0.2">
      <c r="V385" s="1"/>
    </row>
    <row r="386" spans="22:22" ht="12.75" customHeight="1" x14ac:dyDescent="0.2">
      <c r="V386" s="1"/>
    </row>
    <row r="387" spans="22:22" ht="12.75" customHeight="1" x14ac:dyDescent="0.2">
      <c r="V387" s="1"/>
    </row>
    <row r="388" spans="22:22" ht="12.75" customHeight="1" x14ac:dyDescent="0.2">
      <c r="V388" s="1"/>
    </row>
    <row r="389" spans="22:22" ht="12.75" customHeight="1" x14ac:dyDescent="0.2">
      <c r="V389" s="1"/>
    </row>
    <row r="390" spans="22:22" ht="12.75" customHeight="1" x14ac:dyDescent="0.2">
      <c r="V390" s="1"/>
    </row>
    <row r="391" spans="22:22" ht="12.75" customHeight="1" x14ac:dyDescent="0.2">
      <c r="V391" s="1"/>
    </row>
    <row r="392" spans="22:22" ht="12.75" customHeight="1" x14ac:dyDescent="0.2">
      <c r="V392" s="1"/>
    </row>
    <row r="393" spans="22:22" ht="12.75" customHeight="1" x14ac:dyDescent="0.2">
      <c r="V393" s="1"/>
    </row>
    <row r="394" spans="22:22" ht="12.75" customHeight="1" x14ac:dyDescent="0.2">
      <c r="V394" s="1"/>
    </row>
    <row r="395" spans="22:22" ht="12.75" customHeight="1" x14ac:dyDescent="0.2">
      <c r="V395" s="1"/>
    </row>
    <row r="396" spans="22:22" ht="12.75" customHeight="1" x14ac:dyDescent="0.2">
      <c r="V396" s="1"/>
    </row>
    <row r="397" spans="22:22" ht="12.75" customHeight="1" x14ac:dyDescent="0.2">
      <c r="V397" s="1"/>
    </row>
    <row r="398" spans="22:22" ht="12.75" customHeight="1" x14ac:dyDescent="0.2">
      <c r="V398" s="1"/>
    </row>
    <row r="399" spans="22:22" ht="12.75" customHeight="1" x14ac:dyDescent="0.2">
      <c r="V399" s="1"/>
    </row>
    <row r="400" spans="22:22" ht="12.75" customHeight="1" x14ac:dyDescent="0.2">
      <c r="V400" s="1"/>
    </row>
    <row r="401" spans="22:22" ht="12.75" customHeight="1" x14ac:dyDescent="0.2">
      <c r="V401" s="1"/>
    </row>
    <row r="402" spans="22:22" ht="12.75" customHeight="1" x14ac:dyDescent="0.2">
      <c r="V402" s="1"/>
    </row>
    <row r="403" spans="22:22" ht="12.75" customHeight="1" x14ac:dyDescent="0.2">
      <c r="V403" s="1"/>
    </row>
    <row r="404" spans="22:22" ht="12.75" customHeight="1" x14ac:dyDescent="0.2">
      <c r="V404" s="1"/>
    </row>
    <row r="405" spans="22:22" ht="12.75" customHeight="1" x14ac:dyDescent="0.2">
      <c r="V405" s="1"/>
    </row>
    <row r="406" spans="22:22" ht="12.75" customHeight="1" x14ac:dyDescent="0.2">
      <c r="V406" s="1"/>
    </row>
    <row r="407" spans="22:22" ht="12.75" customHeight="1" x14ac:dyDescent="0.2">
      <c r="V407" s="1"/>
    </row>
    <row r="408" spans="22:22" ht="12.75" customHeight="1" x14ac:dyDescent="0.2">
      <c r="V408" s="1"/>
    </row>
    <row r="409" spans="22:22" ht="12.75" customHeight="1" x14ac:dyDescent="0.2">
      <c r="V409" s="1"/>
    </row>
    <row r="410" spans="22:22" ht="12.75" customHeight="1" x14ac:dyDescent="0.2">
      <c r="V410" s="1"/>
    </row>
    <row r="411" spans="22:22" ht="12.75" customHeight="1" x14ac:dyDescent="0.2">
      <c r="V411" s="1"/>
    </row>
    <row r="412" spans="22:22" ht="12.75" customHeight="1" x14ac:dyDescent="0.2">
      <c r="V412" s="1"/>
    </row>
    <row r="413" spans="22:22" ht="12.75" customHeight="1" x14ac:dyDescent="0.2">
      <c r="V413" s="1"/>
    </row>
    <row r="414" spans="22:22" ht="12.75" customHeight="1" x14ac:dyDescent="0.2">
      <c r="V414" s="1"/>
    </row>
    <row r="415" spans="22:22" ht="12.75" customHeight="1" x14ac:dyDescent="0.2">
      <c r="V415" s="1"/>
    </row>
    <row r="416" spans="22:22" ht="12.75" customHeight="1" x14ac:dyDescent="0.2">
      <c r="V416" s="1"/>
    </row>
    <row r="417" spans="22:22" ht="12.75" customHeight="1" x14ac:dyDescent="0.2">
      <c r="V417" s="1"/>
    </row>
    <row r="418" spans="22:22" ht="12.75" customHeight="1" x14ac:dyDescent="0.2">
      <c r="V418" s="1"/>
    </row>
    <row r="419" spans="22:22" ht="12.75" customHeight="1" x14ac:dyDescent="0.2">
      <c r="V419" s="1"/>
    </row>
    <row r="420" spans="22:22" ht="12.75" customHeight="1" x14ac:dyDescent="0.2">
      <c r="V420" s="1"/>
    </row>
    <row r="421" spans="22:22" ht="12.75" customHeight="1" x14ac:dyDescent="0.2">
      <c r="V421" s="1"/>
    </row>
    <row r="422" spans="22:22" ht="12.75" customHeight="1" x14ac:dyDescent="0.2">
      <c r="V422" s="1"/>
    </row>
    <row r="423" spans="22:22" ht="12.75" customHeight="1" x14ac:dyDescent="0.2">
      <c r="V423" s="1"/>
    </row>
    <row r="424" spans="22:22" ht="12.75" customHeight="1" x14ac:dyDescent="0.2">
      <c r="V424" s="1"/>
    </row>
    <row r="425" spans="22:22" ht="12.75" customHeight="1" x14ac:dyDescent="0.2">
      <c r="V425" s="1"/>
    </row>
    <row r="426" spans="22:22" ht="12.75" customHeight="1" x14ac:dyDescent="0.2">
      <c r="V426" s="1"/>
    </row>
    <row r="427" spans="22:22" ht="12.75" customHeight="1" x14ac:dyDescent="0.2">
      <c r="V427" s="1"/>
    </row>
    <row r="428" spans="22:22" ht="12.75" customHeight="1" x14ac:dyDescent="0.2">
      <c r="V428" s="1"/>
    </row>
    <row r="429" spans="22:22" ht="12.75" customHeight="1" x14ac:dyDescent="0.2">
      <c r="V429" s="1"/>
    </row>
    <row r="430" spans="22:22" ht="12.75" customHeight="1" x14ac:dyDescent="0.2">
      <c r="V430" s="1"/>
    </row>
    <row r="431" spans="22:22" ht="12.75" customHeight="1" x14ac:dyDescent="0.2">
      <c r="V431" s="1"/>
    </row>
    <row r="432" spans="22:22" ht="12.75" customHeight="1" x14ac:dyDescent="0.2">
      <c r="V432" s="1"/>
    </row>
    <row r="433" spans="22:22" ht="12.75" customHeight="1" x14ac:dyDescent="0.2">
      <c r="V433" s="1"/>
    </row>
    <row r="434" spans="22:22" ht="12.75" customHeight="1" x14ac:dyDescent="0.2">
      <c r="V434" s="1"/>
    </row>
    <row r="435" spans="22:22" ht="12.75" customHeight="1" x14ac:dyDescent="0.2">
      <c r="V435" s="1"/>
    </row>
    <row r="436" spans="22:22" ht="12.75" customHeight="1" x14ac:dyDescent="0.2">
      <c r="V436" s="1"/>
    </row>
    <row r="437" spans="22:22" ht="12.75" customHeight="1" x14ac:dyDescent="0.2">
      <c r="V437" s="1"/>
    </row>
    <row r="438" spans="22:22" ht="12.75" customHeight="1" x14ac:dyDescent="0.2">
      <c r="V438" s="1"/>
    </row>
    <row r="439" spans="22:22" ht="12.75" customHeight="1" x14ac:dyDescent="0.2">
      <c r="V439" s="1"/>
    </row>
    <row r="440" spans="22:22" ht="12.75" customHeight="1" x14ac:dyDescent="0.2">
      <c r="V440" s="1"/>
    </row>
    <row r="441" spans="22:22" ht="12.75" customHeight="1" x14ac:dyDescent="0.2">
      <c r="V441" s="1"/>
    </row>
    <row r="442" spans="22:22" ht="12.75" customHeight="1" x14ac:dyDescent="0.2">
      <c r="V442" s="1"/>
    </row>
    <row r="443" spans="22:22" ht="12.75" customHeight="1" x14ac:dyDescent="0.2">
      <c r="V443" s="1"/>
    </row>
    <row r="444" spans="22:22" ht="12.75" customHeight="1" x14ac:dyDescent="0.2">
      <c r="V444" s="1"/>
    </row>
    <row r="445" spans="22:22" ht="12.75" customHeight="1" x14ac:dyDescent="0.2">
      <c r="V445" s="1"/>
    </row>
    <row r="446" spans="22:22" ht="12.75" customHeight="1" x14ac:dyDescent="0.2">
      <c r="V446" s="1"/>
    </row>
    <row r="447" spans="22:22" ht="12.75" customHeight="1" x14ac:dyDescent="0.2">
      <c r="V447" s="1"/>
    </row>
    <row r="448" spans="22:22" ht="12.75" customHeight="1" x14ac:dyDescent="0.2">
      <c r="V448" s="1"/>
    </row>
    <row r="449" spans="22:22" ht="12.75" customHeight="1" x14ac:dyDescent="0.2">
      <c r="V449" s="1"/>
    </row>
    <row r="450" spans="22:22" ht="12.75" customHeight="1" x14ac:dyDescent="0.2">
      <c r="V450" s="1"/>
    </row>
    <row r="451" spans="22:22" ht="12.75" customHeight="1" x14ac:dyDescent="0.2">
      <c r="V451" s="1"/>
    </row>
    <row r="452" spans="22:22" ht="12.75" customHeight="1" x14ac:dyDescent="0.2">
      <c r="V452" s="1"/>
    </row>
    <row r="453" spans="22:22" ht="12.75" customHeight="1" x14ac:dyDescent="0.2">
      <c r="V453" s="1"/>
    </row>
    <row r="454" spans="22:22" ht="12.75" customHeight="1" x14ac:dyDescent="0.2">
      <c r="V454" s="1"/>
    </row>
    <row r="455" spans="22:22" ht="12.75" customHeight="1" x14ac:dyDescent="0.2">
      <c r="V455" s="1"/>
    </row>
    <row r="456" spans="22:22" ht="12.75" customHeight="1" x14ac:dyDescent="0.2">
      <c r="V456" s="1"/>
    </row>
    <row r="457" spans="22:22" ht="12.75" customHeight="1" x14ac:dyDescent="0.2">
      <c r="V457" s="1"/>
    </row>
    <row r="458" spans="22:22" ht="12.75" customHeight="1" x14ac:dyDescent="0.2">
      <c r="V458" s="1"/>
    </row>
    <row r="459" spans="22:22" ht="12.75" customHeight="1" x14ac:dyDescent="0.2">
      <c r="V459" s="1"/>
    </row>
    <row r="460" spans="22:22" ht="12.75" customHeight="1" x14ac:dyDescent="0.2">
      <c r="V460" s="1"/>
    </row>
    <row r="461" spans="22:22" ht="12.75" customHeight="1" x14ac:dyDescent="0.2">
      <c r="V461" s="1"/>
    </row>
    <row r="462" spans="22:22" ht="12.75" customHeight="1" x14ac:dyDescent="0.2">
      <c r="V462" s="1"/>
    </row>
    <row r="463" spans="22:22" ht="12.75" customHeight="1" x14ac:dyDescent="0.2">
      <c r="V463" s="1"/>
    </row>
    <row r="464" spans="22:22" ht="12.75" customHeight="1" x14ac:dyDescent="0.2">
      <c r="V464" s="1"/>
    </row>
    <row r="465" spans="22:22" ht="12.75" customHeight="1" x14ac:dyDescent="0.2">
      <c r="V465" s="1"/>
    </row>
    <row r="466" spans="22:22" ht="12.75" customHeight="1" x14ac:dyDescent="0.2">
      <c r="V466" s="1"/>
    </row>
    <row r="467" spans="22:22" ht="12.75" customHeight="1" x14ac:dyDescent="0.2">
      <c r="V467" s="1"/>
    </row>
    <row r="468" spans="22:22" ht="12.75" customHeight="1" x14ac:dyDescent="0.2">
      <c r="V468" s="1"/>
    </row>
    <row r="469" spans="22:22" ht="12.75" customHeight="1" x14ac:dyDescent="0.2">
      <c r="V469" s="1"/>
    </row>
    <row r="470" spans="22:22" ht="12.75" customHeight="1" x14ac:dyDescent="0.2">
      <c r="V470" s="1"/>
    </row>
    <row r="471" spans="22:22" ht="12.75" customHeight="1" x14ac:dyDescent="0.2">
      <c r="V471" s="1"/>
    </row>
    <row r="472" spans="22:22" ht="12.75" customHeight="1" x14ac:dyDescent="0.2">
      <c r="V472" s="1"/>
    </row>
    <row r="473" spans="22:22" ht="12.75" customHeight="1" x14ac:dyDescent="0.2">
      <c r="V473" s="1"/>
    </row>
    <row r="474" spans="22:22" ht="12.75" customHeight="1" x14ac:dyDescent="0.2">
      <c r="V474" s="1"/>
    </row>
    <row r="475" spans="22:22" ht="12.75" customHeight="1" x14ac:dyDescent="0.2">
      <c r="V475" s="1"/>
    </row>
    <row r="476" spans="22:22" ht="12.75" customHeight="1" x14ac:dyDescent="0.2">
      <c r="V476" s="1"/>
    </row>
    <row r="477" spans="22:22" ht="12.75" customHeight="1" x14ac:dyDescent="0.2">
      <c r="V477" s="1"/>
    </row>
    <row r="478" spans="22:22" ht="12.75" customHeight="1" x14ac:dyDescent="0.2">
      <c r="V478" s="1"/>
    </row>
    <row r="479" spans="22:22" ht="12.75" customHeight="1" x14ac:dyDescent="0.2">
      <c r="V479" s="1"/>
    </row>
    <row r="480" spans="22:22" ht="12.75" customHeight="1" x14ac:dyDescent="0.2">
      <c r="V480" s="1"/>
    </row>
    <row r="481" spans="22:22" ht="12.75" customHeight="1" x14ac:dyDescent="0.2">
      <c r="V481" s="1"/>
    </row>
    <row r="482" spans="22:22" ht="12.75" customHeight="1" x14ac:dyDescent="0.2">
      <c r="V482" s="1"/>
    </row>
    <row r="483" spans="22:22" ht="12.75" customHeight="1" x14ac:dyDescent="0.2">
      <c r="V483" s="1"/>
    </row>
    <row r="484" spans="22:22" ht="12.75" customHeight="1" x14ac:dyDescent="0.2">
      <c r="V484" s="1"/>
    </row>
    <row r="485" spans="22:22" ht="12.75" customHeight="1" x14ac:dyDescent="0.2">
      <c r="V485" s="1"/>
    </row>
    <row r="486" spans="22:22" ht="12.75" customHeight="1" x14ac:dyDescent="0.2">
      <c r="V486" s="1"/>
    </row>
    <row r="487" spans="22:22" ht="12.75" customHeight="1" x14ac:dyDescent="0.2">
      <c r="V487" s="1"/>
    </row>
    <row r="488" spans="22:22" ht="12.75" customHeight="1" x14ac:dyDescent="0.2">
      <c r="V488" s="1"/>
    </row>
    <row r="489" spans="22:22" ht="12.75" customHeight="1" x14ac:dyDescent="0.2">
      <c r="V489" s="1"/>
    </row>
    <row r="490" spans="22:22" ht="12.75" customHeight="1" x14ac:dyDescent="0.2">
      <c r="V490" s="1"/>
    </row>
    <row r="491" spans="22:22" ht="12.75" customHeight="1" x14ac:dyDescent="0.2">
      <c r="V491" s="1"/>
    </row>
    <row r="492" spans="22:22" ht="12.75" customHeight="1" x14ac:dyDescent="0.2">
      <c r="V492" s="1"/>
    </row>
    <row r="493" spans="22:22" ht="12.75" customHeight="1" x14ac:dyDescent="0.2">
      <c r="V493" s="1"/>
    </row>
    <row r="494" spans="22:22" ht="12.75" customHeight="1" x14ac:dyDescent="0.2">
      <c r="V494" s="1"/>
    </row>
    <row r="495" spans="22:22" ht="12.75" customHeight="1" x14ac:dyDescent="0.2">
      <c r="V495" s="1"/>
    </row>
    <row r="496" spans="22:22" ht="12.75" customHeight="1" x14ac:dyDescent="0.2">
      <c r="V496" s="1"/>
    </row>
    <row r="497" spans="22:22" ht="12.75" customHeight="1" x14ac:dyDescent="0.2">
      <c r="V497" s="1"/>
    </row>
    <row r="498" spans="22:22" ht="12.75" customHeight="1" x14ac:dyDescent="0.2">
      <c r="V498" s="1"/>
    </row>
    <row r="499" spans="22:22" ht="12.75" customHeight="1" x14ac:dyDescent="0.2">
      <c r="V499" s="1"/>
    </row>
    <row r="500" spans="22:22" ht="12.75" customHeight="1" x14ac:dyDescent="0.2">
      <c r="V500" s="1"/>
    </row>
    <row r="501" spans="22:22" ht="12.75" customHeight="1" x14ac:dyDescent="0.2">
      <c r="V501" s="1"/>
    </row>
    <row r="502" spans="22:22" ht="12.75" customHeight="1" x14ac:dyDescent="0.2">
      <c r="V502" s="1"/>
    </row>
    <row r="503" spans="22:22" ht="12.75" customHeight="1" x14ac:dyDescent="0.2">
      <c r="V503" s="1"/>
    </row>
    <row r="504" spans="22:22" ht="12.75" customHeight="1" x14ac:dyDescent="0.2">
      <c r="V504" s="1"/>
    </row>
    <row r="505" spans="22:22" ht="12.75" customHeight="1" x14ac:dyDescent="0.2">
      <c r="V505" s="1"/>
    </row>
    <row r="506" spans="22:22" ht="12.75" customHeight="1" x14ac:dyDescent="0.2">
      <c r="V506" s="1"/>
    </row>
    <row r="507" spans="22:22" ht="12.75" customHeight="1" x14ac:dyDescent="0.2">
      <c r="V507" s="1"/>
    </row>
    <row r="508" spans="22:22" ht="12.75" customHeight="1" x14ac:dyDescent="0.2">
      <c r="V508" s="1"/>
    </row>
    <row r="509" spans="22:22" ht="12.75" customHeight="1" x14ac:dyDescent="0.2">
      <c r="V509" s="1"/>
    </row>
    <row r="510" spans="22:22" ht="12.75" customHeight="1" x14ac:dyDescent="0.2">
      <c r="V510" s="1"/>
    </row>
    <row r="511" spans="22:22" ht="12.75" customHeight="1" x14ac:dyDescent="0.2">
      <c r="V511" s="1"/>
    </row>
    <row r="512" spans="22:22" ht="12.75" customHeight="1" x14ac:dyDescent="0.2">
      <c r="V512" s="1"/>
    </row>
    <row r="513" spans="22:22" ht="12.75" customHeight="1" x14ac:dyDescent="0.2">
      <c r="V513" s="1"/>
    </row>
    <row r="514" spans="22:22" ht="12.75" customHeight="1" x14ac:dyDescent="0.2">
      <c r="V514" s="1"/>
    </row>
    <row r="515" spans="22:22" ht="12.75" customHeight="1" x14ac:dyDescent="0.2">
      <c r="V515" s="1"/>
    </row>
    <row r="516" spans="22:22" ht="12.75" customHeight="1" x14ac:dyDescent="0.2">
      <c r="V516" s="1"/>
    </row>
    <row r="517" spans="22:22" ht="12.75" customHeight="1" x14ac:dyDescent="0.2">
      <c r="V517" s="1"/>
    </row>
    <row r="518" spans="22:22" ht="12.75" customHeight="1" x14ac:dyDescent="0.2">
      <c r="V518" s="1"/>
    </row>
    <row r="519" spans="22:22" ht="12.75" customHeight="1" x14ac:dyDescent="0.2">
      <c r="V519" s="1"/>
    </row>
    <row r="520" spans="22:22" ht="12.75" customHeight="1" x14ac:dyDescent="0.2">
      <c r="V520" s="1"/>
    </row>
    <row r="521" spans="22:22" ht="12.75" customHeight="1" x14ac:dyDescent="0.2">
      <c r="V521" s="1"/>
    </row>
    <row r="522" spans="22:22" ht="12.75" customHeight="1" x14ac:dyDescent="0.2">
      <c r="V522" s="1"/>
    </row>
    <row r="523" spans="22:22" ht="12.75" customHeight="1" x14ac:dyDescent="0.2">
      <c r="V523" s="1"/>
    </row>
    <row r="524" spans="22:22" ht="12.75" customHeight="1" x14ac:dyDescent="0.2">
      <c r="V524" s="1"/>
    </row>
    <row r="525" spans="22:22" ht="12.75" customHeight="1" x14ac:dyDescent="0.2">
      <c r="V525" s="1"/>
    </row>
    <row r="526" spans="22:22" ht="12.75" customHeight="1" x14ac:dyDescent="0.2">
      <c r="V526" s="1"/>
    </row>
    <row r="527" spans="22:22" ht="12.75" customHeight="1" x14ac:dyDescent="0.2">
      <c r="V527" s="1"/>
    </row>
    <row r="528" spans="22:22" ht="12.75" customHeight="1" x14ac:dyDescent="0.2">
      <c r="V528" s="1"/>
    </row>
    <row r="529" spans="22:22" ht="12.75" customHeight="1" x14ac:dyDescent="0.2">
      <c r="V529" s="1"/>
    </row>
    <row r="530" spans="22:22" ht="12.75" customHeight="1" x14ac:dyDescent="0.2">
      <c r="V530" s="1"/>
    </row>
    <row r="531" spans="22:22" ht="12.75" customHeight="1" x14ac:dyDescent="0.2">
      <c r="V531" s="1"/>
    </row>
    <row r="532" spans="22:22" ht="12.75" customHeight="1" x14ac:dyDescent="0.2">
      <c r="V532" s="1"/>
    </row>
    <row r="533" spans="22:22" ht="12.75" customHeight="1" x14ac:dyDescent="0.2">
      <c r="V533" s="1"/>
    </row>
    <row r="534" spans="22:22" ht="12.75" customHeight="1" x14ac:dyDescent="0.2">
      <c r="V534" s="1"/>
    </row>
    <row r="535" spans="22:22" ht="12.75" customHeight="1" x14ac:dyDescent="0.2">
      <c r="V535" s="1"/>
    </row>
    <row r="536" spans="22:22" ht="12.75" customHeight="1" x14ac:dyDescent="0.2">
      <c r="V536" s="1"/>
    </row>
    <row r="537" spans="22:22" ht="12.75" customHeight="1" x14ac:dyDescent="0.2">
      <c r="V537" s="1"/>
    </row>
    <row r="538" spans="22:22" ht="12.75" customHeight="1" x14ac:dyDescent="0.2">
      <c r="V538" s="1"/>
    </row>
    <row r="539" spans="22:22" ht="12.75" customHeight="1" x14ac:dyDescent="0.2">
      <c r="V539" s="1"/>
    </row>
    <row r="540" spans="22:22" ht="12.75" customHeight="1" x14ac:dyDescent="0.2">
      <c r="V540" s="1"/>
    </row>
    <row r="541" spans="22:22" ht="12.75" customHeight="1" x14ac:dyDescent="0.2">
      <c r="V541" s="1"/>
    </row>
    <row r="542" spans="22:22" ht="12.75" customHeight="1" x14ac:dyDescent="0.2">
      <c r="V542" s="1"/>
    </row>
    <row r="543" spans="22:22" ht="12.75" customHeight="1" x14ac:dyDescent="0.2">
      <c r="V543" s="1"/>
    </row>
    <row r="544" spans="22:22" ht="12.75" customHeight="1" x14ac:dyDescent="0.2">
      <c r="V544" s="1"/>
    </row>
    <row r="545" spans="22:22" ht="12.75" customHeight="1" x14ac:dyDescent="0.2">
      <c r="V545" s="1"/>
    </row>
    <row r="546" spans="22:22" ht="12.75" customHeight="1" x14ac:dyDescent="0.2">
      <c r="V546" s="1"/>
    </row>
    <row r="547" spans="22:22" ht="12.75" customHeight="1" x14ac:dyDescent="0.2">
      <c r="V547" s="1"/>
    </row>
    <row r="548" spans="22:22" ht="12.75" customHeight="1" x14ac:dyDescent="0.2">
      <c r="V548" s="1"/>
    </row>
    <row r="549" spans="22:22" ht="12.75" customHeight="1" x14ac:dyDescent="0.2">
      <c r="V549" s="1"/>
    </row>
    <row r="550" spans="22:22" ht="12.75" customHeight="1" x14ac:dyDescent="0.2">
      <c r="V550" s="1"/>
    </row>
    <row r="551" spans="22:22" ht="12.75" customHeight="1" x14ac:dyDescent="0.2">
      <c r="V551" s="1"/>
    </row>
    <row r="552" spans="22:22" ht="12.75" customHeight="1" x14ac:dyDescent="0.2">
      <c r="V552" s="1"/>
    </row>
    <row r="553" spans="22:22" ht="12.75" customHeight="1" x14ac:dyDescent="0.2">
      <c r="V553" s="1"/>
    </row>
    <row r="554" spans="22:22" ht="12.75" customHeight="1" x14ac:dyDescent="0.2">
      <c r="V554" s="1"/>
    </row>
    <row r="555" spans="22:22" ht="12.75" customHeight="1" x14ac:dyDescent="0.2">
      <c r="V555" s="1"/>
    </row>
    <row r="556" spans="22:22" ht="12.75" customHeight="1" x14ac:dyDescent="0.2">
      <c r="V556" s="1"/>
    </row>
    <row r="557" spans="22:22" ht="12.75" customHeight="1" x14ac:dyDescent="0.2">
      <c r="V557" s="1"/>
    </row>
    <row r="558" spans="22:22" ht="12.75" customHeight="1" x14ac:dyDescent="0.2">
      <c r="V558" s="1"/>
    </row>
    <row r="559" spans="22:22" ht="12.75" customHeight="1" x14ac:dyDescent="0.2">
      <c r="V559" s="1"/>
    </row>
    <row r="560" spans="22:22" ht="12.75" customHeight="1" x14ac:dyDescent="0.2">
      <c r="V560" s="1"/>
    </row>
    <row r="561" spans="22:22" ht="12.75" customHeight="1" x14ac:dyDescent="0.2">
      <c r="V561" s="1"/>
    </row>
    <row r="562" spans="22:22" ht="12.75" customHeight="1" x14ac:dyDescent="0.2">
      <c r="V562" s="1"/>
    </row>
    <row r="563" spans="22:22" ht="12.75" customHeight="1" x14ac:dyDescent="0.2">
      <c r="V563" s="1"/>
    </row>
    <row r="564" spans="22:22" ht="12.75" customHeight="1" x14ac:dyDescent="0.2">
      <c r="V564" s="1"/>
    </row>
    <row r="565" spans="22:22" ht="12.75" customHeight="1" x14ac:dyDescent="0.2">
      <c r="V565" s="1"/>
    </row>
    <row r="566" spans="22:22" ht="12.75" customHeight="1" x14ac:dyDescent="0.2">
      <c r="V566" s="1"/>
    </row>
    <row r="567" spans="22:22" ht="12.75" customHeight="1" x14ac:dyDescent="0.2">
      <c r="V567" s="1"/>
    </row>
    <row r="568" spans="22:22" ht="12.75" customHeight="1" x14ac:dyDescent="0.2">
      <c r="V568" s="1"/>
    </row>
    <row r="569" spans="22:22" ht="12.75" customHeight="1" x14ac:dyDescent="0.2">
      <c r="V569" s="1"/>
    </row>
    <row r="570" spans="22:22" ht="12.75" customHeight="1" x14ac:dyDescent="0.2">
      <c r="V570" s="1"/>
    </row>
    <row r="571" spans="22:22" ht="12.75" customHeight="1" x14ac:dyDescent="0.2">
      <c r="V571" s="1"/>
    </row>
    <row r="572" spans="22:22" ht="12.75" customHeight="1" x14ac:dyDescent="0.2">
      <c r="V572" s="1"/>
    </row>
    <row r="573" spans="22:22" ht="12.75" customHeight="1" x14ac:dyDescent="0.2">
      <c r="V573" s="1"/>
    </row>
    <row r="574" spans="22:22" ht="12.75" customHeight="1" x14ac:dyDescent="0.2">
      <c r="V574" s="1"/>
    </row>
    <row r="575" spans="22:22" ht="12.75" customHeight="1" x14ac:dyDescent="0.2">
      <c r="V575" s="1"/>
    </row>
    <row r="576" spans="22:22" ht="12.75" customHeight="1" x14ac:dyDescent="0.2">
      <c r="V576" s="1"/>
    </row>
    <row r="577" spans="22:22" ht="12.75" customHeight="1" x14ac:dyDescent="0.2">
      <c r="V577" s="1"/>
    </row>
    <row r="578" spans="22:22" ht="12.75" customHeight="1" x14ac:dyDescent="0.2">
      <c r="V578" s="1"/>
    </row>
    <row r="579" spans="22:22" ht="12.75" customHeight="1" x14ac:dyDescent="0.2">
      <c r="V579" s="1"/>
    </row>
    <row r="580" spans="22:22" ht="12.75" customHeight="1" x14ac:dyDescent="0.2">
      <c r="V580" s="1"/>
    </row>
    <row r="581" spans="22:22" ht="12.75" customHeight="1" x14ac:dyDescent="0.2">
      <c r="V581" s="1"/>
    </row>
    <row r="582" spans="22:22" ht="12.75" customHeight="1" x14ac:dyDescent="0.2">
      <c r="V582" s="1"/>
    </row>
    <row r="583" spans="22:22" ht="12.75" customHeight="1" x14ac:dyDescent="0.2">
      <c r="V583" s="1"/>
    </row>
    <row r="584" spans="22:22" ht="12.75" customHeight="1" x14ac:dyDescent="0.2">
      <c r="V584" s="1"/>
    </row>
    <row r="585" spans="22:22" ht="12.75" customHeight="1" x14ac:dyDescent="0.2">
      <c r="V585" s="1"/>
    </row>
    <row r="586" spans="22:22" ht="12.75" customHeight="1" x14ac:dyDescent="0.2">
      <c r="V586" s="1"/>
    </row>
    <row r="587" spans="22:22" ht="12.75" customHeight="1" x14ac:dyDescent="0.2">
      <c r="V587" s="1"/>
    </row>
    <row r="588" spans="22:22" ht="12.75" customHeight="1" x14ac:dyDescent="0.2">
      <c r="V588" s="1"/>
    </row>
    <row r="589" spans="22:22" ht="12.75" customHeight="1" x14ac:dyDescent="0.2">
      <c r="V589" s="1"/>
    </row>
    <row r="590" spans="22:22" ht="12.75" customHeight="1" x14ac:dyDescent="0.2">
      <c r="V590" s="1"/>
    </row>
    <row r="591" spans="22:22" ht="12.75" customHeight="1" x14ac:dyDescent="0.2">
      <c r="V591" s="1"/>
    </row>
    <row r="592" spans="22:22" ht="12.75" customHeight="1" x14ac:dyDescent="0.2">
      <c r="V592" s="1"/>
    </row>
    <row r="593" spans="22:22" ht="12.75" customHeight="1" x14ac:dyDescent="0.2">
      <c r="V593" s="1"/>
    </row>
    <row r="594" spans="22:22" ht="12.75" customHeight="1" x14ac:dyDescent="0.2">
      <c r="V594" s="1"/>
    </row>
    <row r="595" spans="22:22" ht="12.75" customHeight="1" x14ac:dyDescent="0.2">
      <c r="V595" s="1"/>
    </row>
    <row r="596" spans="22:22" ht="12.75" customHeight="1" x14ac:dyDescent="0.2">
      <c r="V596" s="1"/>
    </row>
    <row r="597" spans="22:22" ht="12.75" customHeight="1" x14ac:dyDescent="0.2">
      <c r="V597" s="1"/>
    </row>
    <row r="598" spans="22:22" ht="12.75" customHeight="1" x14ac:dyDescent="0.2">
      <c r="V598" s="1"/>
    </row>
    <row r="599" spans="22:22" ht="12.75" customHeight="1" x14ac:dyDescent="0.2">
      <c r="V599" s="1"/>
    </row>
    <row r="600" spans="22:22" ht="12.75" customHeight="1" x14ac:dyDescent="0.2">
      <c r="V600" s="1"/>
    </row>
    <row r="601" spans="22:22" ht="12.75" customHeight="1" x14ac:dyDescent="0.2">
      <c r="V601" s="1"/>
    </row>
    <row r="602" spans="22:22" ht="12.75" customHeight="1" x14ac:dyDescent="0.2">
      <c r="V602" s="1"/>
    </row>
    <row r="603" spans="22:22" ht="12.75" customHeight="1" x14ac:dyDescent="0.2">
      <c r="V603" s="1"/>
    </row>
    <row r="604" spans="22:22" ht="12.75" customHeight="1" x14ac:dyDescent="0.2">
      <c r="V604" s="1"/>
    </row>
    <row r="605" spans="22:22" ht="12.75" customHeight="1" x14ac:dyDescent="0.2">
      <c r="V605" s="1"/>
    </row>
    <row r="606" spans="22:22" ht="12.75" customHeight="1" x14ac:dyDescent="0.2">
      <c r="V606" s="1"/>
    </row>
    <row r="607" spans="22:22" ht="12.75" customHeight="1" x14ac:dyDescent="0.2">
      <c r="V607" s="1"/>
    </row>
    <row r="608" spans="22:22" ht="12.75" customHeight="1" x14ac:dyDescent="0.2">
      <c r="V608" s="1"/>
    </row>
    <row r="609" spans="22:22" ht="12.75" customHeight="1" x14ac:dyDescent="0.2">
      <c r="V609" s="1"/>
    </row>
    <row r="610" spans="22:22" ht="12.75" customHeight="1" x14ac:dyDescent="0.2">
      <c r="V610" s="1"/>
    </row>
    <row r="611" spans="22:22" ht="12.75" customHeight="1" x14ac:dyDescent="0.2">
      <c r="V611" s="1"/>
    </row>
    <row r="612" spans="22:22" ht="12.75" customHeight="1" x14ac:dyDescent="0.2">
      <c r="V612" s="1"/>
    </row>
    <row r="613" spans="22:22" ht="12.75" customHeight="1" x14ac:dyDescent="0.2">
      <c r="V613" s="1"/>
    </row>
    <row r="614" spans="22:22" ht="12.75" customHeight="1" x14ac:dyDescent="0.2">
      <c r="V614" s="1"/>
    </row>
    <row r="615" spans="22:22" ht="12.75" customHeight="1" x14ac:dyDescent="0.2">
      <c r="V615" s="1"/>
    </row>
    <row r="616" spans="22:22" ht="12.75" customHeight="1" x14ac:dyDescent="0.2">
      <c r="V616" s="1"/>
    </row>
    <row r="617" spans="22:22" ht="12.75" customHeight="1" x14ac:dyDescent="0.2">
      <c r="V617" s="1"/>
    </row>
    <row r="618" spans="22:22" ht="12.75" customHeight="1" x14ac:dyDescent="0.2">
      <c r="V618" s="1"/>
    </row>
    <row r="619" spans="22:22" ht="12.75" customHeight="1" x14ac:dyDescent="0.2">
      <c r="V619" s="1"/>
    </row>
    <row r="620" spans="22:22" ht="12.75" customHeight="1" x14ac:dyDescent="0.2">
      <c r="V620" s="1"/>
    </row>
    <row r="621" spans="22:22" ht="12.75" customHeight="1" x14ac:dyDescent="0.2">
      <c r="V621" s="1"/>
    </row>
    <row r="622" spans="22:22" ht="12.75" customHeight="1" x14ac:dyDescent="0.2">
      <c r="V622" s="1"/>
    </row>
    <row r="623" spans="22:22" ht="12.75" customHeight="1" x14ac:dyDescent="0.2">
      <c r="V623" s="1"/>
    </row>
    <row r="624" spans="22:22" ht="12.75" customHeight="1" x14ac:dyDescent="0.2">
      <c r="V624" s="1"/>
    </row>
    <row r="625" spans="22:22" ht="12.75" customHeight="1" x14ac:dyDescent="0.2">
      <c r="V625" s="1"/>
    </row>
    <row r="626" spans="22:22" ht="12.75" customHeight="1" x14ac:dyDescent="0.2">
      <c r="V626" s="1"/>
    </row>
    <row r="627" spans="22:22" ht="12.75" customHeight="1" x14ac:dyDescent="0.2">
      <c r="V627" s="1"/>
    </row>
    <row r="628" spans="22:22" ht="12.75" customHeight="1" x14ac:dyDescent="0.2">
      <c r="V628" s="1"/>
    </row>
    <row r="629" spans="22:22" ht="12.75" customHeight="1" x14ac:dyDescent="0.2">
      <c r="V629" s="1"/>
    </row>
    <row r="630" spans="22:22" ht="12.75" customHeight="1" x14ac:dyDescent="0.2">
      <c r="V630" s="1"/>
    </row>
    <row r="631" spans="22:22" ht="12.75" customHeight="1" x14ac:dyDescent="0.2">
      <c r="V631" s="1"/>
    </row>
    <row r="632" spans="22:22" ht="12.75" customHeight="1" x14ac:dyDescent="0.2">
      <c r="V632" s="1"/>
    </row>
    <row r="633" spans="22:22" ht="12.75" customHeight="1" x14ac:dyDescent="0.2">
      <c r="V633" s="1"/>
    </row>
    <row r="634" spans="22:22" ht="12.75" customHeight="1" x14ac:dyDescent="0.2">
      <c r="V634" s="1"/>
    </row>
    <row r="635" spans="22:22" ht="12.75" customHeight="1" x14ac:dyDescent="0.2">
      <c r="V635" s="1"/>
    </row>
    <row r="636" spans="22:22" ht="12.75" customHeight="1" x14ac:dyDescent="0.2">
      <c r="V636" s="1"/>
    </row>
    <row r="637" spans="22:22" ht="12.75" customHeight="1" x14ac:dyDescent="0.2">
      <c r="V637" s="1"/>
    </row>
    <row r="638" spans="22:22" ht="12.75" customHeight="1" x14ac:dyDescent="0.2">
      <c r="V638" s="1"/>
    </row>
    <row r="639" spans="22:22" ht="12.75" customHeight="1" x14ac:dyDescent="0.2">
      <c r="V639" s="1"/>
    </row>
    <row r="640" spans="22:22" ht="12.75" customHeight="1" x14ac:dyDescent="0.2">
      <c r="V640" s="1"/>
    </row>
    <row r="641" spans="22:22" ht="12.75" customHeight="1" x14ac:dyDescent="0.2">
      <c r="V641" s="1"/>
    </row>
    <row r="642" spans="22:22" ht="12.75" customHeight="1" x14ac:dyDescent="0.2">
      <c r="V642" s="1"/>
    </row>
    <row r="643" spans="22:22" ht="12.75" customHeight="1" x14ac:dyDescent="0.2">
      <c r="V643" s="1"/>
    </row>
    <row r="644" spans="22:22" ht="12.75" customHeight="1" x14ac:dyDescent="0.2">
      <c r="V644" s="1"/>
    </row>
    <row r="645" spans="22:22" ht="12.75" customHeight="1" x14ac:dyDescent="0.2">
      <c r="V645" s="1"/>
    </row>
    <row r="646" spans="22:22" ht="12.75" customHeight="1" x14ac:dyDescent="0.2">
      <c r="V646" s="1"/>
    </row>
    <row r="647" spans="22:22" ht="12.75" customHeight="1" x14ac:dyDescent="0.2">
      <c r="V647" s="1"/>
    </row>
    <row r="648" spans="22:22" ht="12.75" customHeight="1" x14ac:dyDescent="0.2">
      <c r="V648" s="1"/>
    </row>
    <row r="649" spans="22:22" ht="12.75" customHeight="1" x14ac:dyDescent="0.2">
      <c r="V649" s="1"/>
    </row>
    <row r="650" spans="22:22" ht="12.75" customHeight="1" x14ac:dyDescent="0.2">
      <c r="V650" s="1"/>
    </row>
    <row r="651" spans="22:22" ht="12.75" customHeight="1" x14ac:dyDescent="0.2">
      <c r="V651" s="1"/>
    </row>
    <row r="652" spans="22:22" ht="12.75" customHeight="1" x14ac:dyDescent="0.2">
      <c r="V652" s="1"/>
    </row>
    <row r="653" spans="22:22" ht="12.75" customHeight="1" x14ac:dyDescent="0.2">
      <c r="V653" s="1"/>
    </row>
    <row r="654" spans="22:22" ht="12.75" customHeight="1" x14ac:dyDescent="0.2">
      <c r="V654" s="1"/>
    </row>
    <row r="655" spans="22:22" ht="12.75" customHeight="1" x14ac:dyDescent="0.2">
      <c r="V655" s="1"/>
    </row>
    <row r="656" spans="22:22" ht="12.75" customHeight="1" x14ac:dyDescent="0.2">
      <c r="V656" s="1"/>
    </row>
    <row r="657" spans="22:22" ht="12.75" customHeight="1" x14ac:dyDescent="0.2">
      <c r="V657" s="1"/>
    </row>
    <row r="658" spans="22:22" ht="12.75" customHeight="1" x14ac:dyDescent="0.2">
      <c r="V658" s="1"/>
    </row>
    <row r="659" spans="22:22" ht="12.75" customHeight="1" x14ac:dyDescent="0.2">
      <c r="V659" s="1"/>
    </row>
    <row r="660" spans="22:22" ht="12.75" customHeight="1" x14ac:dyDescent="0.2">
      <c r="V660" s="1"/>
    </row>
    <row r="661" spans="22:22" ht="12.75" customHeight="1" x14ac:dyDescent="0.2">
      <c r="V661" s="1"/>
    </row>
    <row r="662" spans="22:22" ht="12.75" customHeight="1" x14ac:dyDescent="0.2">
      <c r="V662" s="1"/>
    </row>
    <row r="663" spans="22:22" ht="12.75" customHeight="1" x14ac:dyDescent="0.2">
      <c r="V663" s="1"/>
    </row>
    <row r="664" spans="22:22" ht="12.75" customHeight="1" x14ac:dyDescent="0.2">
      <c r="V664" s="1"/>
    </row>
    <row r="665" spans="22:22" ht="12.75" customHeight="1" x14ac:dyDescent="0.2">
      <c r="V665" s="1"/>
    </row>
    <row r="666" spans="22:22" ht="12.75" customHeight="1" x14ac:dyDescent="0.2">
      <c r="V666" s="1"/>
    </row>
    <row r="667" spans="22:22" ht="12.75" customHeight="1" x14ac:dyDescent="0.2">
      <c r="V667" s="1"/>
    </row>
    <row r="668" spans="22:22" ht="12.75" customHeight="1" x14ac:dyDescent="0.2">
      <c r="V668" s="1"/>
    </row>
    <row r="669" spans="22:22" ht="12.75" customHeight="1" x14ac:dyDescent="0.2">
      <c r="V669" s="1"/>
    </row>
    <row r="670" spans="22:22" ht="12.75" customHeight="1" x14ac:dyDescent="0.2">
      <c r="V670" s="1"/>
    </row>
    <row r="671" spans="22:22" ht="12.75" customHeight="1" x14ac:dyDescent="0.2">
      <c r="V671" s="1"/>
    </row>
    <row r="672" spans="22:22" ht="12.75" customHeight="1" x14ac:dyDescent="0.2">
      <c r="V672" s="1"/>
    </row>
    <row r="673" spans="22:22" ht="12.75" customHeight="1" x14ac:dyDescent="0.2">
      <c r="V673" s="1"/>
    </row>
    <row r="674" spans="22:22" ht="12.75" customHeight="1" x14ac:dyDescent="0.2">
      <c r="V674" s="1"/>
    </row>
    <row r="675" spans="22:22" ht="12.75" customHeight="1" x14ac:dyDescent="0.2">
      <c r="V675" s="1"/>
    </row>
    <row r="676" spans="22:22" ht="12.75" customHeight="1" x14ac:dyDescent="0.2">
      <c r="V676" s="1"/>
    </row>
    <row r="677" spans="22:22" ht="12.75" customHeight="1" x14ac:dyDescent="0.2">
      <c r="V677" s="1"/>
    </row>
    <row r="678" spans="22:22" ht="12.75" customHeight="1" x14ac:dyDescent="0.2">
      <c r="V678" s="1"/>
    </row>
    <row r="679" spans="22:22" ht="12.75" customHeight="1" x14ac:dyDescent="0.2">
      <c r="V679" s="1"/>
    </row>
    <row r="680" spans="22:22" ht="12.75" customHeight="1" x14ac:dyDescent="0.2">
      <c r="V680" s="1"/>
    </row>
    <row r="681" spans="22:22" ht="12.75" customHeight="1" x14ac:dyDescent="0.2">
      <c r="V681" s="1"/>
    </row>
    <row r="682" spans="22:22" ht="12.75" customHeight="1" x14ac:dyDescent="0.2">
      <c r="V682" s="1"/>
    </row>
    <row r="683" spans="22:22" ht="12.75" customHeight="1" x14ac:dyDescent="0.2">
      <c r="V683" s="1"/>
    </row>
    <row r="684" spans="22:22" ht="12.75" customHeight="1" x14ac:dyDescent="0.2">
      <c r="V684" s="1"/>
    </row>
    <row r="685" spans="22:22" ht="12.75" customHeight="1" x14ac:dyDescent="0.2">
      <c r="V685" s="1"/>
    </row>
    <row r="686" spans="22:22" ht="12.75" customHeight="1" x14ac:dyDescent="0.2">
      <c r="V686" s="1"/>
    </row>
    <row r="687" spans="22:22" ht="12.75" customHeight="1" x14ac:dyDescent="0.2">
      <c r="V687" s="1"/>
    </row>
    <row r="688" spans="22:22" ht="12.75" customHeight="1" x14ac:dyDescent="0.2">
      <c r="V688" s="1"/>
    </row>
    <row r="689" spans="22:22" ht="12.75" customHeight="1" x14ac:dyDescent="0.2">
      <c r="V689" s="1"/>
    </row>
    <row r="690" spans="22:22" ht="12.75" customHeight="1" x14ac:dyDescent="0.2">
      <c r="V690" s="1"/>
    </row>
    <row r="691" spans="22:22" ht="12.75" customHeight="1" x14ac:dyDescent="0.2">
      <c r="V691" s="1"/>
    </row>
    <row r="692" spans="22:22" ht="12.75" customHeight="1" x14ac:dyDescent="0.2">
      <c r="V692" s="1"/>
    </row>
    <row r="693" spans="22:22" ht="12.75" customHeight="1" x14ac:dyDescent="0.2">
      <c r="V693" s="1"/>
    </row>
    <row r="694" spans="22:22" ht="12.75" customHeight="1" x14ac:dyDescent="0.2">
      <c r="V694" s="1"/>
    </row>
    <row r="695" spans="22:22" ht="12.75" customHeight="1" x14ac:dyDescent="0.2">
      <c r="V695" s="1"/>
    </row>
    <row r="696" spans="22:22" ht="12.75" customHeight="1" x14ac:dyDescent="0.2">
      <c r="V696" s="1"/>
    </row>
    <row r="697" spans="22:22" ht="12.75" customHeight="1" x14ac:dyDescent="0.2">
      <c r="V697" s="1"/>
    </row>
    <row r="698" spans="22:22" ht="12.75" customHeight="1" x14ac:dyDescent="0.2">
      <c r="V698" s="1"/>
    </row>
    <row r="699" spans="22:22" ht="12.75" customHeight="1" x14ac:dyDescent="0.2">
      <c r="V699" s="1"/>
    </row>
    <row r="700" spans="22:22" ht="12.75" customHeight="1" x14ac:dyDescent="0.2">
      <c r="V700" s="1"/>
    </row>
    <row r="701" spans="22:22" ht="12.75" customHeight="1" x14ac:dyDescent="0.2">
      <c r="V701" s="1"/>
    </row>
    <row r="702" spans="22:22" ht="12.75" customHeight="1" x14ac:dyDescent="0.2">
      <c r="V702" s="1"/>
    </row>
    <row r="703" spans="22:22" ht="12.75" customHeight="1" x14ac:dyDescent="0.2">
      <c r="V703" s="1"/>
    </row>
    <row r="704" spans="22:22" ht="12.75" customHeight="1" x14ac:dyDescent="0.2">
      <c r="V704" s="1"/>
    </row>
    <row r="705" spans="22:22" ht="12.75" customHeight="1" x14ac:dyDescent="0.2">
      <c r="V705" s="1"/>
    </row>
    <row r="706" spans="22:22" ht="12.75" customHeight="1" x14ac:dyDescent="0.2">
      <c r="V706" s="1"/>
    </row>
    <row r="707" spans="22:22" ht="12.75" customHeight="1" x14ac:dyDescent="0.2">
      <c r="V707" s="1"/>
    </row>
    <row r="708" spans="22:22" ht="12.75" customHeight="1" x14ac:dyDescent="0.2">
      <c r="V708" s="1"/>
    </row>
    <row r="709" spans="22:22" ht="12.75" customHeight="1" x14ac:dyDescent="0.2">
      <c r="V709" s="1"/>
    </row>
    <row r="710" spans="22:22" ht="12.75" customHeight="1" x14ac:dyDescent="0.2">
      <c r="V710" s="1"/>
    </row>
    <row r="711" spans="22:22" ht="12.75" customHeight="1" x14ac:dyDescent="0.2">
      <c r="V711" s="1"/>
    </row>
    <row r="712" spans="22:22" ht="12.75" customHeight="1" x14ac:dyDescent="0.2">
      <c r="V712" s="1"/>
    </row>
    <row r="713" spans="22:22" ht="12.75" customHeight="1" x14ac:dyDescent="0.2">
      <c r="V713" s="1"/>
    </row>
    <row r="714" spans="22:22" ht="12.75" customHeight="1" x14ac:dyDescent="0.2">
      <c r="V714" s="1"/>
    </row>
    <row r="715" spans="22:22" ht="12.75" customHeight="1" x14ac:dyDescent="0.2">
      <c r="V715" s="1"/>
    </row>
    <row r="716" spans="22:22" ht="12.75" customHeight="1" x14ac:dyDescent="0.2">
      <c r="V716" s="1"/>
    </row>
    <row r="717" spans="22:22" ht="12.75" customHeight="1" x14ac:dyDescent="0.2">
      <c r="V717" s="1"/>
    </row>
    <row r="718" spans="22:22" ht="12.75" customHeight="1" x14ac:dyDescent="0.2">
      <c r="V718" s="1"/>
    </row>
    <row r="719" spans="22:22" ht="12.75" customHeight="1" x14ac:dyDescent="0.2">
      <c r="V719" s="1"/>
    </row>
    <row r="720" spans="22:22" ht="12.75" customHeight="1" x14ac:dyDescent="0.2">
      <c r="V720" s="1"/>
    </row>
    <row r="721" spans="22:22" ht="12.75" customHeight="1" x14ac:dyDescent="0.2">
      <c r="V721" s="1"/>
    </row>
    <row r="722" spans="22:22" ht="12.75" customHeight="1" x14ac:dyDescent="0.2">
      <c r="V722" s="1"/>
    </row>
    <row r="723" spans="22:22" ht="12.75" customHeight="1" x14ac:dyDescent="0.2">
      <c r="V723" s="1"/>
    </row>
    <row r="724" spans="22:22" ht="12.75" customHeight="1" x14ac:dyDescent="0.2">
      <c r="V724" s="1"/>
    </row>
    <row r="725" spans="22:22" ht="12.75" customHeight="1" x14ac:dyDescent="0.2">
      <c r="V725" s="1"/>
    </row>
    <row r="726" spans="22:22" ht="12.75" customHeight="1" x14ac:dyDescent="0.2">
      <c r="V726" s="1"/>
    </row>
    <row r="727" spans="22:22" ht="12.75" customHeight="1" x14ac:dyDescent="0.2">
      <c r="V727" s="1"/>
    </row>
    <row r="728" spans="22:22" ht="12.75" customHeight="1" x14ac:dyDescent="0.2">
      <c r="V728" s="1"/>
    </row>
    <row r="729" spans="22:22" ht="12.75" customHeight="1" x14ac:dyDescent="0.2">
      <c r="V729" s="1"/>
    </row>
    <row r="730" spans="22:22" ht="12.75" customHeight="1" x14ac:dyDescent="0.2">
      <c r="V730" s="1"/>
    </row>
    <row r="731" spans="22:22" ht="12.75" customHeight="1" x14ac:dyDescent="0.2">
      <c r="V731" s="1"/>
    </row>
    <row r="732" spans="22:22" ht="12.75" customHeight="1" x14ac:dyDescent="0.2">
      <c r="V732" s="1"/>
    </row>
    <row r="733" spans="22:22" ht="12.75" customHeight="1" x14ac:dyDescent="0.2">
      <c r="V733" s="1"/>
    </row>
    <row r="734" spans="22:22" ht="12.75" customHeight="1" x14ac:dyDescent="0.2">
      <c r="V734" s="1"/>
    </row>
    <row r="735" spans="22:22" ht="12.75" customHeight="1" x14ac:dyDescent="0.2">
      <c r="V735" s="1"/>
    </row>
    <row r="736" spans="22:22" ht="12.75" customHeight="1" x14ac:dyDescent="0.2">
      <c r="V736" s="1"/>
    </row>
    <row r="737" spans="22:22" ht="12.75" customHeight="1" x14ac:dyDescent="0.2">
      <c r="V737" s="1"/>
    </row>
    <row r="738" spans="22:22" ht="12.75" customHeight="1" x14ac:dyDescent="0.2">
      <c r="V738" s="1"/>
    </row>
    <row r="739" spans="22:22" ht="12.75" customHeight="1" x14ac:dyDescent="0.2">
      <c r="V739" s="1"/>
    </row>
    <row r="740" spans="22:22" ht="12.75" customHeight="1" x14ac:dyDescent="0.2">
      <c r="V740" s="1"/>
    </row>
    <row r="741" spans="22:22" ht="12.75" customHeight="1" x14ac:dyDescent="0.2">
      <c r="V741" s="1"/>
    </row>
    <row r="742" spans="22:22" ht="12.75" customHeight="1" x14ac:dyDescent="0.2">
      <c r="V742" s="1"/>
    </row>
    <row r="743" spans="22:22" ht="12.75" customHeight="1" x14ac:dyDescent="0.2">
      <c r="V743" s="1"/>
    </row>
    <row r="744" spans="22:22" ht="12.75" customHeight="1" x14ac:dyDescent="0.2">
      <c r="V744" s="1"/>
    </row>
    <row r="745" spans="22:22" ht="12.75" customHeight="1" x14ac:dyDescent="0.2">
      <c r="V745" s="1"/>
    </row>
    <row r="746" spans="22:22" ht="12.75" customHeight="1" x14ac:dyDescent="0.2">
      <c r="V746" s="1"/>
    </row>
    <row r="747" spans="22:22" ht="12.75" customHeight="1" x14ac:dyDescent="0.2">
      <c r="V747" s="1"/>
    </row>
    <row r="748" spans="22:22" ht="12.75" customHeight="1" x14ac:dyDescent="0.2">
      <c r="V748" s="1"/>
    </row>
    <row r="749" spans="22:22" ht="12.75" customHeight="1" x14ac:dyDescent="0.2">
      <c r="V749" s="1"/>
    </row>
    <row r="750" spans="22:22" ht="12.75" customHeight="1" x14ac:dyDescent="0.2">
      <c r="V750" s="1"/>
    </row>
    <row r="751" spans="22:22" ht="12.75" customHeight="1" x14ac:dyDescent="0.2">
      <c r="V751" s="1"/>
    </row>
    <row r="752" spans="22:22" ht="12.75" customHeight="1" x14ac:dyDescent="0.2">
      <c r="V752" s="1"/>
    </row>
    <row r="753" spans="22:22" ht="12.75" customHeight="1" x14ac:dyDescent="0.2">
      <c r="V753" s="1"/>
    </row>
    <row r="754" spans="22:22" ht="12.75" customHeight="1" x14ac:dyDescent="0.2">
      <c r="V754" s="1"/>
    </row>
    <row r="755" spans="22:22" ht="12.75" customHeight="1" x14ac:dyDescent="0.2">
      <c r="V755" s="1"/>
    </row>
    <row r="756" spans="22:22" ht="12.75" customHeight="1" x14ac:dyDescent="0.2">
      <c r="V756" s="1"/>
    </row>
    <row r="757" spans="22:22" ht="12.75" customHeight="1" x14ac:dyDescent="0.2">
      <c r="V757" s="1"/>
    </row>
    <row r="758" spans="22:22" ht="12.75" customHeight="1" x14ac:dyDescent="0.2">
      <c r="V758" s="1"/>
    </row>
    <row r="759" spans="22:22" ht="12.75" customHeight="1" x14ac:dyDescent="0.2">
      <c r="V759" s="1"/>
    </row>
    <row r="760" spans="22:22" ht="12.75" customHeight="1" x14ac:dyDescent="0.2">
      <c r="V760" s="1"/>
    </row>
    <row r="761" spans="22:22" ht="12.75" customHeight="1" x14ac:dyDescent="0.2">
      <c r="V761" s="1"/>
    </row>
    <row r="762" spans="22:22" ht="12.75" customHeight="1" x14ac:dyDescent="0.2">
      <c r="V762" s="1"/>
    </row>
    <row r="763" spans="22:22" ht="12.75" customHeight="1" x14ac:dyDescent="0.2">
      <c r="V763" s="1"/>
    </row>
    <row r="764" spans="22:22" ht="12.75" customHeight="1" x14ac:dyDescent="0.2">
      <c r="V764" s="1"/>
    </row>
    <row r="765" spans="22:22" ht="12.75" customHeight="1" x14ac:dyDescent="0.2">
      <c r="V765" s="1"/>
    </row>
    <row r="766" spans="22:22" ht="12.75" customHeight="1" x14ac:dyDescent="0.2">
      <c r="V766" s="1"/>
    </row>
    <row r="767" spans="22:22" ht="12.75" customHeight="1" x14ac:dyDescent="0.2">
      <c r="V767" s="1"/>
    </row>
    <row r="768" spans="22:22" ht="12.75" customHeight="1" x14ac:dyDescent="0.2">
      <c r="V768" s="1"/>
    </row>
    <row r="769" spans="22:22" ht="12.75" customHeight="1" x14ac:dyDescent="0.2">
      <c r="V769" s="1"/>
    </row>
    <row r="770" spans="22:22" ht="12.75" customHeight="1" x14ac:dyDescent="0.2">
      <c r="V770" s="1"/>
    </row>
    <row r="771" spans="22:22" ht="12.75" customHeight="1" x14ac:dyDescent="0.2">
      <c r="V771" s="1"/>
    </row>
    <row r="772" spans="22:22" ht="12.75" customHeight="1" x14ac:dyDescent="0.2">
      <c r="V772" s="1"/>
    </row>
    <row r="773" spans="22:22" ht="12.75" customHeight="1" x14ac:dyDescent="0.2">
      <c r="V773" s="1"/>
    </row>
    <row r="774" spans="22:22" ht="12.75" customHeight="1" x14ac:dyDescent="0.2">
      <c r="V774" s="1"/>
    </row>
    <row r="775" spans="22:22" ht="12.75" customHeight="1" x14ac:dyDescent="0.2">
      <c r="V775" s="1"/>
    </row>
    <row r="776" spans="22:22" ht="12.75" customHeight="1" x14ac:dyDescent="0.2">
      <c r="V776" s="1"/>
    </row>
    <row r="777" spans="22:22" ht="12.75" customHeight="1" x14ac:dyDescent="0.2">
      <c r="V777" s="1"/>
    </row>
    <row r="778" spans="22:22" ht="12.75" customHeight="1" x14ac:dyDescent="0.2">
      <c r="V778" s="1"/>
    </row>
    <row r="779" spans="22:22" ht="12.75" customHeight="1" x14ac:dyDescent="0.2">
      <c r="V779" s="1"/>
    </row>
    <row r="780" spans="22:22" ht="12.75" customHeight="1" x14ac:dyDescent="0.2">
      <c r="V780" s="1"/>
    </row>
    <row r="781" spans="22:22" ht="12.75" customHeight="1" x14ac:dyDescent="0.2">
      <c r="V781" s="1"/>
    </row>
    <row r="782" spans="22:22" ht="12.75" customHeight="1" x14ac:dyDescent="0.2">
      <c r="V782" s="1"/>
    </row>
    <row r="783" spans="22:22" ht="12.75" customHeight="1" x14ac:dyDescent="0.2">
      <c r="V783" s="1"/>
    </row>
    <row r="784" spans="22:22" ht="12.75" customHeight="1" x14ac:dyDescent="0.2">
      <c r="V784" s="1"/>
    </row>
    <row r="785" spans="22:22" ht="12.75" customHeight="1" x14ac:dyDescent="0.2">
      <c r="V785" s="1"/>
    </row>
    <row r="786" spans="22:22" ht="12.75" customHeight="1" x14ac:dyDescent="0.2">
      <c r="V786" s="1"/>
    </row>
    <row r="787" spans="22:22" ht="12.75" customHeight="1" x14ac:dyDescent="0.2">
      <c r="V787" s="1"/>
    </row>
    <row r="788" spans="22:22" ht="12.75" customHeight="1" x14ac:dyDescent="0.2">
      <c r="V788" s="1"/>
    </row>
    <row r="789" spans="22:22" ht="12.75" customHeight="1" x14ac:dyDescent="0.2">
      <c r="V789" s="1"/>
    </row>
    <row r="790" spans="22:22" ht="12.75" customHeight="1" x14ac:dyDescent="0.2">
      <c r="V790" s="1"/>
    </row>
    <row r="791" spans="22:22" ht="12.75" customHeight="1" x14ac:dyDescent="0.2">
      <c r="V791" s="1"/>
    </row>
    <row r="792" spans="22:22" ht="12.75" customHeight="1" x14ac:dyDescent="0.2">
      <c r="V792" s="1"/>
    </row>
    <row r="793" spans="22:22" ht="12.75" customHeight="1" x14ac:dyDescent="0.2">
      <c r="V793" s="1"/>
    </row>
    <row r="794" spans="22:22" ht="12.75" customHeight="1" x14ac:dyDescent="0.2">
      <c r="V794" s="1"/>
    </row>
    <row r="795" spans="22:22" ht="12.75" customHeight="1" x14ac:dyDescent="0.2">
      <c r="V795" s="1"/>
    </row>
    <row r="796" spans="22:22" ht="12.75" customHeight="1" x14ac:dyDescent="0.2">
      <c r="V796" s="1"/>
    </row>
    <row r="797" spans="22:22" ht="12.75" customHeight="1" x14ac:dyDescent="0.2">
      <c r="V797" s="1"/>
    </row>
    <row r="798" spans="22:22" ht="12.75" customHeight="1" x14ac:dyDescent="0.2">
      <c r="V798" s="1"/>
    </row>
    <row r="799" spans="22:22" ht="12.75" customHeight="1" x14ac:dyDescent="0.2">
      <c r="V799" s="1"/>
    </row>
    <row r="800" spans="22:22" ht="12.75" customHeight="1" x14ac:dyDescent="0.2">
      <c r="V800" s="1"/>
    </row>
    <row r="801" spans="22:22" ht="12.75" customHeight="1" x14ac:dyDescent="0.2">
      <c r="V801" s="1"/>
    </row>
    <row r="802" spans="22:22" ht="12.75" customHeight="1" x14ac:dyDescent="0.2">
      <c r="V802" s="1"/>
    </row>
    <row r="803" spans="22:22" ht="12.75" customHeight="1" x14ac:dyDescent="0.2">
      <c r="V803" s="1"/>
    </row>
    <row r="804" spans="22:22" ht="12.75" customHeight="1" x14ac:dyDescent="0.2">
      <c r="V804" s="1"/>
    </row>
    <row r="805" spans="22:22" ht="12.75" customHeight="1" x14ac:dyDescent="0.2">
      <c r="V805" s="1"/>
    </row>
    <row r="806" spans="22:22" ht="12.75" customHeight="1" x14ac:dyDescent="0.2">
      <c r="V806" s="1"/>
    </row>
    <row r="807" spans="22:22" ht="12.75" customHeight="1" x14ac:dyDescent="0.2">
      <c r="V807" s="1"/>
    </row>
    <row r="808" spans="22:22" ht="12.75" customHeight="1" x14ac:dyDescent="0.2">
      <c r="V808" s="1"/>
    </row>
    <row r="809" spans="22:22" ht="12.75" customHeight="1" x14ac:dyDescent="0.2">
      <c r="V809" s="1"/>
    </row>
    <row r="810" spans="22:22" ht="12.75" customHeight="1" x14ac:dyDescent="0.2">
      <c r="V810" s="1"/>
    </row>
    <row r="811" spans="22:22" ht="12.75" customHeight="1" x14ac:dyDescent="0.2">
      <c r="V811" s="1"/>
    </row>
    <row r="812" spans="22:22" ht="12.75" customHeight="1" x14ac:dyDescent="0.2">
      <c r="V812" s="1"/>
    </row>
    <row r="813" spans="22:22" ht="12.75" customHeight="1" x14ac:dyDescent="0.2">
      <c r="V813" s="1"/>
    </row>
    <row r="814" spans="22:22" ht="12.75" customHeight="1" x14ac:dyDescent="0.2">
      <c r="V814" s="1"/>
    </row>
    <row r="815" spans="22:22" ht="12.75" customHeight="1" x14ac:dyDescent="0.2">
      <c r="V815" s="1"/>
    </row>
    <row r="816" spans="22:22" ht="12.75" customHeight="1" x14ac:dyDescent="0.2">
      <c r="V816" s="1"/>
    </row>
    <row r="817" spans="22:22" ht="12.75" customHeight="1" x14ac:dyDescent="0.2">
      <c r="V817" s="1"/>
    </row>
    <row r="818" spans="22:22" ht="12.75" customHeight="1" x14ac:dyDescent="0.2">
      <c r="V818" s="1"/>
    </row>
    <row r="819" spans="22:22" ht="12.75" customHeight="1" x14ac:dyDescent="0.2">
      <c r="V819" s="1"/>
    </row>
    <row r="820" spans="22:22" ht="12.75" customHeight="1" x14ac:dyDescent="0.2">
      <c r="V820" s="1"/>
    </row>
    <row r="821" spans="22:22" ht="12.75" customHeight="1" x14ac:dyDescent="0.2">
      <c r="V821" s="1"/>
    </row>
    <row r="822" spans="22:22" ht="12.75" customHeight="1" x14ac:dyDescent="0.2">
      <c r="V822" s="1"/>
    </row>
    <row r="823" spans="22:22" ht="12.75" customHeight="1" x14ac:dyDescent="0.2">
      <c r="V823" s="1"/>
    </row>
    <row r="824" spans="22:22" ht="12.75" customHeight="1" x14ac:dyDescent="0.2">
      <c r="V824" s="1"/>
    </row>
    <row r="825" spans="22:22" ht="12.75" customHeight="1" x14ac:dyDescent="0.2">
      <c r="V825" s="1"/>
    </row>
    <row r="826" spans="22:22" ht="12.75" customHeight="1" x14ac:dyDescent="0.2">
      <c r="V826" s="1"/>
    </row>
    <row r="827" spans="22:22" ht="12.75" customHeight="1" x14ac:dyDescent="0.2">
      <c r="V827" s="1"/>
    </row>
    <row r="828" spans="22:22" ht="12.75" customHeight="1" x14ac:dyDescent="0.2">
      <c r="V828" s="1"/>
    </row>
    <row r="829" spans="22:22" ht="12.75" customHeight="1" x14ac:dyDescent="0.2">
      <c r="V829" s="1"/>
    </row>
    <row r="830" spans="22:22" ht="12.75" customHeight="1" x14ac:dyDescent="0.2">
      <c r="V830" s="1"/>
    </row>
    <row r="831" spans="22:22" ht="12.75" customHeight="1" x14ac:dyDescent="0.2">
      <c r="V831" s="1"/>
    </row>
    <row r="832" spans="22:22" ht="12.75" customHeight="1" x14ac:dyDescent="0.2">
      <c r="V832" s="1"/>
    </row>
    <row r="833" spans="22:22" ht="12.75" customHeight="1" x14ac:dyDescent="0.2">
      <c r="V833" s="1"/>
    </row>
    <row r="834" spans="22:22" ht="12.75" customHeight="1" x14ac:dyDescent="0.2">
      <c r="V834" s="1"/>
    </row>
    <row r="835" spans="22:22" ht="12.75" customHeight="1" x14ac:dyDescent="0.2">
      <c r="V835" s="1"/>
    </row>
    <row r="836" spans="22:22" ht="12.75" customHeight="1" x14ac:dyDescent="0.2">
      <c r="V836" s="1"/>
    </row>
    <row r="837" spans="22:22" ht="12.75" customHeight="1" x14ac:dyDescent="0.2">
      <c r="V837" s="1"/>
    </row>
    <row r="838" spans="22:22" ht="12.75" customHeight="1" x14ac:dyDescent="0.2">
      <c r="V838" s="1"/>
    </row>
    <row r="839" spans="22:22" ht="12.75" customHeight="1" x14ac:dyDescent="0.2">
      <c r="V839" s="1"/>
    </row>
    <row r="840" spans="22:22" ht="12.75" customHeight="1" x14ac:dyDescent="0.2">
      <c r="V840" s="1"/>
    </row>
    <row r="841" spans="22:22" ht="12.75" customHeight="1" x14ac:dyDescent="0.2">
      <c r="V841" s="1"/>
    </row>
    <row r="842" spans="22:22" ht="12.75" customHeight="1" x14ac:dyDescent="0.2">
      <c r="V842" s="1"/>
    </row>
    <row r="843" spans="22:22" ht="12.75" customHeight="1" x14ac:dyDescent="0.2">
      <c r="V843" s="1"/>
    </row>
    <row r="844" spans="22:22" ht="12.75" customHeight="1" x14ac:dyDescent="0.2">
      <c r="V844" s="1"/>
    </row>
    <row r="845" spans="22:22" ht="12.75" customHeight="1" x14ac:dyDescent="0.2">
      <c r="V845" s="1"/>
    </row>
    <row r="846" spans="22:22" ht="12.75" customHeight="1" x14ac:dyDescent="0.2">
      <c r="V846" s="1"/>
    </row>
    <row r="847" spans="22:22" ht="12.75" customHeight="1" x14ac:dyDescent="0.2">
      <c r="V847" s="1"/>
    </row>
    <row r="848" spans="22:22" ht="12.75" customHeight="1" x14ac:dyDescent="0.2">
      <c r="V848" s="1"/>
    </row>
    <row r="849" spans="22:22" ht="12.75" customHeight="1" x14ac:dyDescent="0.2">
      <c r="V849" s="1"/>
    </row>
    <row r="850" spans="22:22" ht="12.75" customHeight="1" x14ac:dyDescent="0.2">
      <c r="V850" s="1"/>
    </row>
    <row r="851" spans="22:22" ht="12.75" customHeight="1" x14ac:dyDescent="0.2">
      <c r="V851" s="1"/>
    </row>
    <row r="852" spans="22:22" ht="12.75" customHeight="1" x14ac:dyDescent="0.2">
      <c r="V852" s="1"/>
    </row>
    <row r="853" spans="22:22" ht="12.75" customHeight="1" x14ac:dyDescent="0.2">
      <c r="V853" s="1"/>
    </row>
    <row r="854" spans="22:22" ht="12.75" customHeight="1" x14ac:dyDescent="0.2">
      <c r="V854" s="1"/>
    </row>
    <row r="855" spans="22:22" ht="12.75" customHeight="1" x14ac:dyDescent="0.2">
      <c r="V855" s="1"/>
    </row>
    <row r="856" spans="22:22" ht="12.75" customHeight="1" x14ac:dyDescent="0.2">
      <c r="V856" s="1"/>
    </row>
    <row r="857" spans="22:22" ht="12.75" customHeight="1" x14ac:dyDescent="0.2">
      <c r="V857" s="1"/>
    </row>
    <row r="858" spans="22:22" ht="12.75" customHeight="1" x14ac:dyDescent="0.2">
      <c r="V858" s="1"/>
    </row>
    <row r="859" spans="22:22" ht="12.75" customHeight="1" x14ac:dyDescent="0.2">
      <c r="V859" s="1"/>
    </row>
    <row r="860" spans="22:22" ht="12.75" customHeight="1" x14ac:dyDescent="0.2">
      <c r="V860" s="1"/>
    </row>
    <row r="861" spans="22:22" ht="12.75" customHeight="1" x14ac:dyDescent="0.2">
      <c r="V861" s="1"/>
    </row>
    <row r="862" spans="22:22" ht="12.75" customHeight="1" x14ac:dyDescent="0.2">
      <c r="V862" s="1"/>
    </row>
    <row r="863" spans="22:22" ht="12.75" customHeight="1" x14ac:dyDescent="0.2">
      <c r="V863" s="1"/>
    </row>
    <row r="864" spans="22:22" ht="12.75" customHeight="1" x14ac:dyDescent="0.2">
      <c r="V864" s="1"/>
    </row>
    <row r="865" spans="22:22" ht="12.75" customHeight="1" x14ac:dyDescent="0.2">
      <c r="V865" s="1"/>
    </row>
    <row r="866" spans="22:22" ht="12.75" customHeight="1" x14ac:dyDescent="0.2">
      <c r="V866" s="1"/>
    </row>
    <row r="867" spans="22:22" ht="12.75" customHeight="1" x14ac:dyDescent="0.2">
      <c r="V867" s="1"/>
    </row>
    <row r="868" spans="22:22" ht="12.75" customHeight="1" x14ac:dyDescent="0.2">
      <c r="V868" s="1"/>
    </row>
    <row r="869" spans="22:22" ht="12.75" customHeight="1" x14ac:dyDescent="0.2">
      <c r="V869" s="1"/>
    </row>
    <row r="870" spans="22:22" ht="12.75" customHeight="1" x14ac:dyDescent="0.2">
      <c r="V870" s="1"/>
    </row>
    <row r="871" spans="22:22" ht="12.75" customHeight="1" x14ac:dyDescent="0.2">
      <c r="V871" s="1"/>
    </row>
    <row r="872" spans="22:22" ht="12.75" customHeight="1" x14ac:dyDescent="0.2">
      <c r="V872" s="1"/>
    </row>
    <row r="873" spans="22:22" ht="12.75" customHeight="1" x14ac:dyDescent="0.2">
      <c r="V873" s="1"/>
    </row>
    <row r="874" spans="22:22" ht="12.75" customHeight="1" x14ac:dyDescent="0.2">
      <c r="V874" s="1"/>
    </row>
    <row r="875" spans="22:22" ht="12.75" customHeight="1" x14ac:dyDescent="0.2">
      <c r="V875" s="1"/>
    </row>
    <row r="876" spans="22:22" ht="12.75" customHeight="1" x14ac:dyDescent="0.2">
      <c r="V876" s="1"/>
    </row>
    <row r="877" spans="22:22" ht="12.75" customHeight="1" x14ac:dyDescent="0.2">
      <c r="V877" s="1"/>
    </row>
    <row r="878" spans="22:22" ht="12.75" customHeight="1" x14ac:dyDescent="0.2">
      <c r="V878" s="1"/>
    </row>
    <row r="879" spans="22:22" ht="12.75" customHeight="1" x14ac:dyDescent="0.2">
      <c r="V879" s="1"/>
    </row>
    <row r="880" spans="22:22" ht="12.75" customHeight="1" x14ac:dyDescent="0.2">
      <c r="V880" s="1"/>
    </row>
    <row r="881" spans="22:22" ht="12.75" customHeight="1" x14ac:dyDescent="0.2">
      <c r="V881" s="1"/>
    </row>
    <row r="882" spans="22:22" ht="12.75" customHeight="1" x14ac:dyDescent="0.2">
      <c r="V882" s="1"/>
    </row>
    <row r="883" spans="22:22" ht="12.75" customHeight="1" x14ac:dyDescent="0.2">
      <c r="V883" s="1"/>
    </row>
    <row r="884" spans="22:22" ht="12.75" customHeight="1" x14ac:dyDescent="0.2">
      <c r="V884" s="1"/>
    </row>
    <row r="885" spans="22:22" ht="12.75" customHeight="1" x14ac:dyDescent="0.2">
      <c r="V885" s="1"/>
    </row>
    <row r="886" spans="22:22" ht="12.75" customHeight="1" x14ac:dyDescent="0.2">
      <c r="V886" s="1"/>
    </row>
    <row r="887" spans="22:22" ht="12.75" customHeight="1" x14ac:dyDescent="0.2">
      <c r="V887" s="1"/>
    </row>
    <row r="888" spans="22:22" ht="12.75" customHeight="1" x14ac:dyDescent="0.2">
      <c r="V888" s="1"/>
    </row>
    <row r="889" spans="22:22" ht="12.75" customHeight="1" x14ac:dyDescent="0.2">
      <c r="V889" s="1"/>
    </row>
    <row r="890" spans="22:22" ht="12.75" customHeight="1" x14ac:dyDescent="0.2">
      <c r="V890" s="1"/>
    </row>
    <row r="891" spans="22:22" ht="12.75" customHeight="1" x14ac:dyDescent="0.2">
      <c r="V891" s="1"/>
    </row>
    <row r="892" spans="22:22" ht="12.75" customHeight="1" x14ac:dyDescent="0.2">
      <c r="V892" s="1"/>
    </row>
    <row r="893" spans="22:22" ht="12.75" customHeight="1" x14ac:dyDescent="0.2">
      <c r="V893" s="1"/>
    </row>
    <row r="894" spans="22:22" ht="12.75" customHeight="1" x14ac:dyDescent="0.2">
      <c r="V894" s="1"/>
    </row>
    <row r="895" spans="22:22" ht="12.75" customHeight="1" x14ac:dyDescent="0.2">
      <c r="V895" s="1"/>
    </row>
    <row r="896" spans="22:22" ht="12.75" customHeight="1" x14ac:dyDescent="0.2">
      <c r="V896" s="1"/>
    </row>
    <row r="897" spans="22:22" ht="12.75" customHeight="1" x14ac:dyDescent="0.2">
      <c r="V897" s="1"/>
    </row>
    <row r="898" spans="22:22" ht="12.75" customHeight="1" x14ac:dyDescent="0.2">
      <c r="V898" s="1"/>
    </row>
    <row r="899" spans="22:22" ht="12.75" customHeight="1" x14ac:dyDescent="0.2">
      <c r="V899" s="1"/>
    </row>
    <row r="900" spans="22:22" ht="12.75" customHeight="1" x14ac:dyDescent="0.2">
      <c r="V900" s="1"/>
    </row>
    <row r="901" spans="22:22" ht="12.75" customHeight="1" x14ac:dyDescent="0.2">
      <c r="V901" s="1"/>
    </row>
    <row r="902" spans="22:22" ht="12.75" customHeight="1" x14ac:dyDescent="0.2">
      <c r="V902" s="1"/>
    </row>
    <row r="903" spans="22:22" ht="12.75" customHeight="1" x14ac:dyDescent="0.2">
      <c r="V903" s="1"/>
    </row>
    <row r="904" spans="22:22" ht="12.75" customHeight="1" x14ac:dyDescent="0.2">
      <c r="V904" s="1"/>
    </row>
    <row r="905" spans="22:22" ht="12.75" customHeight="1" x14ac:dyDescent="0.2">
      <c r="V905" s="1"/>
    </row>
    <row r="906" spans="22:22" ht="12.75" customHeight="1" x14ac:dyDescent="0.2">
      <c r="V906" s="1"/>
    </row>
    <row r="907" spans="22:22" ht="12.75" customHeight="1" x14ac:dyDescent="0.2">
      <c r="V907" s="1"/>
    </row>
    <row r="908" spans="22:22" ht="12.75" customHeight="1" x14ac:dyDescent="0.2">
      <c r="V908" s="1"/>
    </row>
    <row r="909" spans="22:22" ht="12.75" customHeight="1" x14ac:dyDescent="0.2">
      <c r="V909" s="1"/>
    </row>
    <row r="910" spans="22:22" ht="12.75" customHeight="1" x14ac:dyDescent="0.2">
      <c r="V910" s="1"/>
    </row>
    <row r="911" spans="22:22" ht="12.75" customHeight="1" x14ac:dyDescent="0.2">
      <c r="V911" s="1"/>
    </row>
    <row r="912" spans="22:22" ht="12.75" customHeight="1" x14ac:dyDescent="0.2">
      <c r="V912" s="1"/>
    </row>
    <row r="913" spans="22:22" ht="12.75" customHeight="1" x14ac:dyDescent="0.2">
      <c r="V913" s="1"/>
    </row>
    <row r="914" spans="22:22" ht="12.75" customHeight="1" x14ac:dyDescent="0.2">
      <c r="V914" s="1"/>
    </row>
    <row r="915" spans="22:22" ht="12.75" customHeight="1" x14ac:dyDescent="0.2">
      <c r="V915" s="1"/>
    </row>
    <row r="916" spans="22:22" ht="12.75" customHeight="1" x14ac:dyDescent="0.2">
      <c r="V916" s="1"/>
    </row>
    <row r="917" spans="22:22" ht="12.75" customHeight="1" x14ac:dyDescent="0.2">
      <c r="V917" s="1"/>
    </row>
    <row r="918" spans="22:22" ht="12.75" customHeight="1" x14ac:dyDescent="0.2">
      <c r="V918" s="1"/>
    </row>
    <row r="919" spans="22:22" ht="12.75" customHeight="1" x14ac:dyDescent="0.2">
      <c r="V919" s="1"/>
    </row>
    <row r="920" spans="22:22" ht="12.75" customHeight="1" x14ac:dyDescent="0.2">
      <c r="V920" s="1"/>
    </row>
    <row r="921" spans="22:22" ht="12.75" customHeight="1" x14ac:dyDescent="0.2">
      <c r="V921" s="1"/>
    </row>
    <row r="922" spans="22:22" ht="12.75" customHeight="1" x14ac:dyDescent="0.2">
      <c r="V922" s="1"/>
    </row>
    <row r="923" spans="22:22" ht="12.75" customHeight="1" x14ac:dyDescent="0.2">
      <c r="V923" s="1"/>
    </row>
    <row r="924" spans="22:22" ht="12.75" customHeight="1" x14ac:dyDescent="0.2">
      <c r="V924" s="1"/>
    </row>
    <row r="925" spans="22:22" ht="12.75" customHeight="1" x14ac:dyDescent="0.2">
      <c r="V925" s="1"/>
    </row>
    <row r="926" spans="22:22" ht="12.75" customHeight="1" x14ac:dyDescent="0.2">
      <c r="V926" s="1"/>
    </row>
    <row r="927" spans="22:22" ht="12.75" customHeight="1" x14ac:dyDescent="0.2">
      <c r="V927" s="1"/>
    </row>
    <row r="928" spans="22:22" ht="12.75" customHeight="1" x14ac:dyDescent="0.2">
      <c r="V928" s="1"/>
    </row>
    <row r="929" spans="22:22" ht="12.75" customHeight="1" x14ac:dyDescent="0.2">
      <c r="V929" s="1"/>
    </row>
    <row r="930" spans="22:22" ht="12.75" customHeight="1" x14ac:dyDescent="0.2">
      <c r="V930" s="1"/>
    </row>
    <row r="931" spans="22:22" ht="12.75" customHeight="1" x14ac:dyDescent="0.2">
      <c r="V931" s="1"/>
    </row>
    <row r="932" spans="22:22" ht="12.75" customHeight="1" x14ac:dyDescent="0.2">
      <c r="V932" s="1"/>
    </row>
    <row r="933" spans="22:22" ht="12.75" customHeight="1" x14ac:dyDescent="0.2">
      <c r="V933" s="1"/>
    </row>
    <row r="934" spans="22:22" ht="12.75" customHeight="1" x14ac:dyDescent="0.2">
      <c r="V934" s="1"/>
    </row>
    <row r="935" spans="22:22" ht="12.75" customHeight="1" x14ac:dyDescent="0.2">
      <c r="V935" s="1"/>
    </row>
    <row r="936" spans="22:22" ht="12.75" customHeight="1" x14ac:dyDescent="0.2">
      <c r="V936" s="1"/>
    </row>
    <row r="937" spans="22:22" ht="12.75" customHeight="1" x14ac:dyDescent="0.2">
      <c r="V937" s="1"/>
    </row>
    <row r="938" spans="22:22" ht="12.75" customHeight="1" x14ac:dyDescent="0.2">
      <c r="V938" s="1"/>
    </row>
    <row r="939" spans="22:22" ht="12.75" customHeight="1" x14ac:dyDescent="0.2">
      <c r="V939" s="1"/>
    </row>
    <row r="940" spans="22:22" ht="12.75" customHeight="1" x14ac:dyDescent="0.2">
      <c r="V940" s="1"/>
    </row>
    <row r="941" spans="22:22" ht="12.75" customHeight="1" x14ac:dyDescent="0.2">
      <c r="V941" s="1"/>
    </row>
    <row r="942" spans="22:22" ht="12.75" customHeight="1" x14ac:dyDescent="0.2">
      <c r="V942" s="1"/>
    </row>
    <row r="943" spans="22:22" ht="12.75" customHeight="1" x14ac:dyDescent="0.2">
      <c r="V943" s="1"/>
    </row>
    <row r="944" spans="22:22" ht="12.75" customHeight="1" x14ac:dyDescent="0.2">
      <c r="V944" s="1"/>
    </row>
    <row r="945" spans="22:22" ht="12.75" customHeight="1" x14ac:dyDescent="0.2">
      <c r="V945" s="1"/>
    </row>
    <row r="946" spans="22:22" ht="12.75" customHeight="1" x14ac:dyDescent="0.2">
      <c r="V946" s="1"/>
    </row>
    <row r="947" spans="22:22" ht="12.75" customHeight="1" x14ac:dyDescent="0.2">
      <c r="V947" s="1"/>
    </row>
    <row r="948" spans="22:22" ht="12.75" customHeight="1" x14ac:dyDescent="0.2">
      <c r="V948" s="1"/>
    </row>
    <row r="949" spans="22:22" ht="12.75" customHeight="1" x14ac:dyDescent="0.2">
      <c r="V949" s="1"/>
    </row>
    <row r="950" spans="22:22" ht="12.75" customHeight="1" x14ac:dyDescent="0.2">
      <c r="V950" s="1"/>
    </row>
    <row r="951" spans="22:22" ht="12.75" customHeight="1" x14ac:dyDescent="0.2">
      <c r="V951" s="1"/>
    </row>
    <row r="952" spans="22:22" ht="12.75" customHeight="1" x14ac:dyDescent="0.2">
      <c r="V952" s="1"/>
    </row>
    <row r="953" spans="22:22" ht="12.75" customHeight="1" x14ac:dyDescent="0.2">
      <c r="V953" s="1"/>
    </row>
    <row r="954" spans="22:22" ht="12.75" customHeight="1" x14ac:dyDescent="0.2">
      <c r="V954" s="1"/>
    </row>
    <row r="955" spans="22:22" ht="12.75" customHeight="1" x14ac:dyDescent="0.2">
      <c r="V955" s="1"/>
    </row>
    <row r="956" spans="22:22" ht="12.75" customHeight="1" x14ac:dyDescent="0.2">
      <c r="V956" s="1"/>
    </row>
    <row r="957" spans="22:22" ht="12.75" customHeight="1" x14ac:dyDescent="0.2">
      <c r="V957" s="1"/>
    </row>
    <row r="958" spans="22:22" ht="12.75" customHeight="1" x14ac:dyDescent="0.2">
      <c r="V958" s="1"/>
    </row>
    <row r="959" spans="22:22" ht="12.75" customHeight="1" x14ac:dyDescent="0.2">
      <c r="V959" s="1"/>
    </row>
    <row r="960" spans="22:22" ht="12.75" customHeight="1" x14ac:dyDescent="0.2">
      <c r="V960" s="1"/>
    </row>
    <row r="961" spans="22:22" ht="12.75" customHeight="1" x14ac:dyDescent="0.2">
      <c r="V961" s="1"/>
    </row>
    <row r="962" spans="22:22" ht="12.75" customHeight="1" x14ac:dyDescent="0.2">
      <c r="V962" s="1"/>
    </row>
    <row r="963" spans="22:22" ht="12.75" customHeight="1" x14ac:dyDescent="0.2">
      <c r="V963" s="1"/>
    </row>
    <row r="964" spans="22:22" ht="12.75" customHeight="1" x14ac:dyDescent="0.2">
      <c r="V964" s="1"/>
    </row>
    <row r="965" spans="22:22" ht="12.75" customHeight="1" x14ac:dyDescent="0.2">
      <c r="V965" s="1"/>
    </row>
    <row r="966" spans="22:22" ht="12.75" customHeight="1" x14ac:dyDescent="0.2">
      <c r="V966" s="1"/>
    </row>
    <row r="967" spans="22:22" ht="12.75" customHeight="1" x14ac:dyDescent="0.2">
      <c r="V967" s="1"/>
    </row>
    <row r="968" spans="22:22" ht="12.75" customHeight="1" x14ac:dyDescent="0.2">
      <c r="V968" s="1"/>
    </row>
    <row r="969" spans="22:22" ht="12.75" customHeight="1" x14ac:dyDescent="0.2">
      <c r="V969" s="1"/>
    </row>
    <row r="970" spans="22:22" ht="12.75" customHeight="1" x14ac:dyDescent="0.2">
      <c r="V970" s="1"/>
    </row>
    <row r="971" spans="22:22" ht="12.75" customHeight="1" x14ac:dyDescent="0.2">
      <c r="V971" s="1"/>
    </row>
    <row r="972" spans="22:22" ht="12.75" customHeight="1" x14ac:dyDescent="0.2">
      <c r="V972" s="1"/>
    </row>
    <row r="973" spans="22:22" ht="12.75" customHeight="1" x14ac:dyDescent="0.2">
      <c r="V973" s="1"/>
    </row>
    <row r="974" spans="22:22" ht="12.75" customHeight="1" x14ac:dyDescent="0.2">
      <c r="V974" s="1"/>
    </row>
    <row r="975" spans="22:22" ht="12.75" customHeight="1" x14ac:dyDescent="0.2">
      <c r="V975" s="1"/>
    </row>
    <row r="976" spans="22:22" ht="12.75" customHeight="1" x14ac:dyDescent="0.2">
      <c r="V976" s="1"/>
    </row>
    <row r="977" spans="22:22" ht="12.75" customHeight="1" x14ac:dyDescent="0.2">
      <c r="V977" s="1"/>
    </row>
    <row r="978" spans="22:22" ht="12.75" customHeight="1" x14ac:dyDescent="0.2">
      <c r="V978" s="1"/>
    </row>
    <row r="979" spans="22:22" ht="12.75" customHeight="1" x14ac:dyDescent="0.2">
      <c r="V979" s="1"/>
    </row>
    <row r="980" spans="22:22" ht="12.75" customHeight="1" x14ac:dyDescent="0.2">
      <c r="V980" s="1"/>
    </row>
    <row r="981" spans="22:22" ht="12.75" customHeight="1" x14ac:dyDescent="0.2">
      <c r="V981" s="1"/>
    </row>
    <row r="982" spans="22:22" ht="12.75" customHeight="1" x14ac:dyDescent="0.2">
      <c r="V982" s="1"/>
    </row>
    <row r="983" spans="22:22" ht="12.75" customHeight="1" x14ac:dyDescent="0.2">
      <c r="V983" s="1"/>
    </row>
    <row r="984" spans="22:22" ht="12.75" customHeight="1" x14ac:dyDescent="0.2">
      <c r="V984" s="1"/>
    </row>
    <row r="985" spans="22:22" ht="12.75" customHeight="1" x14ac:dyDescent="0.2">
      <c r="V985" s="1"/>
    </row>
    <row r="986" spans="22:22" ht="12.75" customHeight="1" x14ac:dyDescent="0.2">
      <c r="V986" s="1"/>
    </row>
    <row r="987" spans="22:22" ht="12.75" customHeight="1" x14ac:dyDescent="0.2">
      <c r="V987" s="1"/>
    </row>
    <row r="988" spans="22:22" ht="12.75" customHeight="1" x14ac:dyDescent="0.2">
      <c r="V988" s="1"/>
    </row>
    <row r="989" spans="22:22" ht="12.75" customHeight="1" x14ac:dyDescent="0.2">
      <c r="V989" s="1"/>
    </row>
    <row r="990" spans="22:22" ht="12.75" customHeight="1" x14ac:dyDescent="0.2">
      <c r="V990" s="1"/>
    </row>
    <row r="991" spans="22:22" ht="12.75" customHeight="1" x14ac:dyDescent="0.2">
      <c r="V991" s="1"/>
    </row>
    <row r="992" spans="22:22" ht="12.75" customHeight="1" x14ac:dyDescent="0.2">
      <c r="V992" s="1"/>
    </row>
    <row r="993" spans="22:22" ht="12.75" customHeight="1" x14ac:dyDescent="0.2">
      <c r="V993" s="1"/>
    </row>
    <row r="994" spans="22:22" ht="12.75" customHeight="1" x14ac:dyDescent="0.2">
      <c r="V994" s="1"/>
    </row>
    <row r="995" spans="22:22" ht="12.75" customHeight="1" x14ac:dyDescent="0.2">
      <c r="V995" s="1"/>
    </row>
    <row r="996" spans="22:22" ht="12.75" customHeight="1" x14ac:dyDescent="0.2">
      <c r="V996" s="1"/>
    </row>
    <row r="997" spans="22:22" ht="12.75" customHeight="1" x14ac:dyDescent="0.2">
      <c r="V997" s="1"/>
    </row>
    <row r="998" spans="22:22" ht="12.75" customHeight="1" x14ac:dyDescent="0.2">
      <c r="V998" s="1"/>
    </row>
    <row r="999" spans="22:22" ht="12.75" customHeight="1" x14ac:dyDescent="0.2">
      <c r="V999" s="1"/>
    </row>
    <row r="1000" spans="22:22" ht="12.75" customHeight="1" x14ac:dyDescent="0.2">
      <c r="V1000" s="1"/>
    </row>
    <row r="1001" spans="22:22" ht="12.75" customHeight="1" x14ac:dyDescent="0.2">
      <c r="V1001" s="1"/>
    </row>
    <row r="1002" spans="22:22" ht="12.75" customHeight="1" x14ac:dyDescent="0.2">
      <c r="V1002" s="1"/>
    </row>
    <row r="1003" spans="22:22" ht="12.75" customHeight="1" x14ac:dyDescent="0.2">
      <c r="V1003" s="1"/>
    </row>
    <row r="1004" spans="22:22" ht="12.75" customHeight="1" x14ac:dyDescent="0.2">
      <c r="V1004" s="1"/>
    </row>
    <row r="1005" spans="22:22" ht="12.75" customHeight="1" x14ac:dyDescent="0.2">
      <c r="V1005" s="1"/>
    </row>
    <row r="1006" spans="22:22" ht="12.75" customHeight="1" x14ac:dyDescent="0.2">
      <c r="V1006" s="1"/>
    </row>
    <row r="1007" spans="22:22" ht="12.75" customHeight="1" x14ac:dyDescent="0.2">
      <c r="V1007" s="1"/>
    </row>
    <row r="1008" spans="22:22" ht="12.75" customHeight="1" x14ac:dyDescent="0.2">
      <c r="V1008" s="1"/>
    </row>
    <row r="1009" spans="22:22" ht="12.75" customHeight="1" x14ac:dyDescent="0.2">
      <c r="V1009" s="1"/>
    </row>
    <row r="1010" spans="22:22" ht="12.75" customHeight="1" x14ac:dyDescent="0.2">
      <c r="V1010" s="1"/>
    </row>
    <row r="1011" spans="22:22" ht="12.75" customHeight="1" x14ac:dyDescent="0.2">
      <c r="V1011" s="1"/>
    </row>
    <row r="1012" spans="22:22" ht="12.75" customHeight="1" x14ac:dyDescent="0.2">
      <c r="V1012" s="1"/>
    </row>
    <row r="1013" spans="22:22" ht="12.75" customHeight="1" x14ac:dyDescent="0.2">
      <c r="V1013" s="1"/>
    </row>
    <row r="1014" spans="22:22" ht="12.75" customHeight="1" x14ac:dyDescent="0.2">
      <c r="V1014" s="1"/>
    </row>
    <row r="1015" spans="22:22" ht="12.75" customHeight="1" x14ac:dyDescent="0.2">
      <c r="V1015" s="1"/>
    </row>
    <row r="1016" spans="22:22" ht="12.75" customHeight="1" x14ac:dyDescent="0.2">
      <c r="V1016" s="1"/>
    </row>
    <row r="1017" spans="22:22" ht="12.75" customHeight="1" x14ac:dyDescent="0.2">
      <c r="V1017" s="1"/>
    </row>
    <row r="1018" spans="22:22" ht="12.75" customHeight="1" x14ac:dyDescent="0.2">
      <c r="V1018" s="1"/>
    </row>
    <row r="1019" spans="22:22" ht="12.75" customHeight="1" x14ac:dyDescent="0.2">
      <c r="V1019" s="1"/>
    </row>
    <row r="1020" spans="22:22" ht="12.75" customHeight="1" x14ac:dyDescent="0.2">
      <c r="V1020" s="1"/>
    </row>
    <row r="1021" spans="22:22" ht="12.75" customHeight="1" x14ac:dyDescent="0.2">
      <c r="V1021" s="1"/>
    </row>
    <row r="1022" spans="22:22" ht="12.75" customHeight="1" x14ac:dyDescent="0.2">
      <c r="V1022" s="1"/>
    </row>
    <row r="1023" spans="22:22" ht="12.75" customHeight="1" x14ac:dyDescent="0.2">
      <c r="V1023" s="1"/>
    </row>
    <row r="1024" spans="22:22" ht="12.75" customHeight="1" x14ac:dyDescent="0.2">
      <c r="V1024" s="1"/>
    </row>
    <row r="1025" spans="22:22" ht="12.75" customHeight="1" x14ac:dyDescent="0.2">
      <c r="V1025" s="1"/>
    </row>
    <row r="1026" spans="22:22" ht="12.75" customHeight="1" x14ac:dyDescent="0.2">
      <c r="V1026" s="1"/>
    </row>
    <row r="1027" spans="22:22" ht="12.75" customHeight="1" x14ac:dyDescent="0.2">
      <c r="V1027" s="1"/>
    </row>
    <row r="1028" spans="22:22" ht="12.75" customHeight="1" x14ac:dyDescent="0.2">
      <c r="V1028" s="1"/>
    </row>
    <row r="1029" spans="22:22" ht="12.75" customHeight="1" x14ac:dyDescent="0.2">
      <c r="V1029" s="1"/>
    </row>
    <row r="1030" spans="22:22" ht="12.75" customHeight="1" x14ac:dyDescent="0.2">
      <c r="V1030" s="1"/>
    </row>
    <row r="1031" spans="22:22" ht="12.75" customHeight="1" x14ac:dyDescent="0.2">
      <c r="V1031" s="1"/>
    </row>
    <row r="1032" spans="22:22" ht="12.75" customHeight="1" x14ac:dyDescent="0.2">
      <c r="V1032" s="1"/>
    </row>
    <row r="1033" spans="22:22" ht="12.75" customHeight="1" x14ac:dyDescent="0.2">
      <c r="V1033" s="1"/>
    </row>
    <row r="1034" spans="22:22" ht="12.75" customHeight="1" x14ac:dyDescent="0.2">
      <c r="V1034" s="1"/>
    </row>
    <row r="1035" spans="22:22" ht="12.75" customHeight="1" x14ac:dyDescent="0.2">
      <c r="V1035" s="1"/>
    </row>
    <row r="1036" spans="22:22" ht="12.75" customHeight="1" x14ac:dyDescent="0.2">
      <c r="V1036" s="1"/>
    </row>
    <row r="1037" spans="22:22" ht="12.75" customHeight="1" x14ac:dyDescent="0.2">
      <c r="V1037" s="1"/>
    </row>
    <row r="1038" spans="22:22" ht="12.75" customHeight="1" x14ac:dyDescent="0.2">
      <c r="V1038" s="1"/>
    </row>
    <row r="1039" spans="22:22" ht="12.75" customHeight="1" x14ac:dyDescent="0.2">
      <c r="V1039" s="1"/>
    </row>
    <row r="1040" spans="22:22" ht="12.75" customHeight="1" x14ac:dyDescent="0.2">
      <c r="V1040" s="1"/>
    </row>
    <row r="1041" spans="22:22" ht="12.75" customHeight="1" x14ac:dyDescent="0.2">
      <c r="V1041" s="1"/>
    </row>
    <row r="1042" spans="22:22" ht="12.75" customHeight="1" x14ac:dyDescent="0.2">
      <c r="V1042" s="1"/>
    </row>
    <row r="1043" spans="22:22" ht="12.75" customHeight="1" x14ac:dyDescent="0.2">
      <c r="V1043" s="1"/>
    </row>
    <row r="1044" spans="22:22" ht="12.75" customHeight="1" x14ac:dyDescent="0.2">
      <c r="V1044" s="1"/>
    </row>
    <row r="1045" spans="22:22" ht="12.75" customHeight="1" x14ac:dyDescent="0.2">
      <c r="V1045" s="1"/>
    </row>
    <row r="1046" spans="22:22" ht="12.75" customHeight="1" x14ac:dyDescent="0.2">
      <c r="V1046" s="1"/>
    </row>
    <row r="1047" spans="22:22" ht="12.75" customHeight="1" x14ac:dyDescent="0.2">
      <c r="V1047" s="1"/>
    </row>
    <row r="1048" spans="22:22" ht="12.75" customHeight="1" x14ac:dyDescent="0.2">
      <c r="V1048" s="1"/>
    </row>
    <row r="1049" spans="22:22" ht="12.75" customHeight="1" x14ac:dyDescent="0.2">
      <c r="V1049" s="1"/>
    </row>
    <row r="1050" spans="22:22" ht="12.75" customHeight="1" x14ac:dyDescent="0.2">
      <c r="V1050" s="1"/>
    </row>
    <row r="1051" spans="22:22" ht="12.75" customHeight="1" x14ac:dyDescent="0.2">
      <c r="V1051" s="1"/>
    </row>
    <row r="1052" spans="22:22" ht="12.75" customHeight="1" x14ac:dyDescent="0.2">
      <c r="V1052" s="1"/>
    </row>
    <row r="1053" spans="22:22" ht="12.75" customHeight="1" x14ac:dyDescent="0.2">
      <c r="V1053" s="1"/>
    </row>
    <row r="1054" spans="22:22" ht="12.75" customHeight="1" x14ac:dyDescent="0.2">
      <c r="V1054" s="1"/>
    </row>
    <row r="1055" spans="22:22" ht="12.75" customHeight="1" x14ac:dyDescent="0.2">
      <c r="V1055" s="1"/>
    </row>
    <row r="1056" spans="22:22" ht="12.75" customHeight="1" x14ac:dyDescent="0.2">
      <c r="V1056" s="1"/>
    </row>
    <row r="1057" spans="22:22" ht="12.75" customHeight="1" x14ac:dyDescent="0.2">
      <c r="V1057" s="1"/>
    </row>
    <row r="1058" spans="22:22" ht="12.75" customHeight="1" x14ac:dyDescent="0.2">
      <c r="V1058" s="1"/>
    </row>
    <row r="1059" spans="22:22" ht="12.75" customHeight="1" x14ac:dyDescent="0.2">
      <c r="V1059" s="1"/>
    </row>
    <row r="1060" spans="22:22" ht="12.75" customHeight="1" x14ac:dyDescent="0.2">
      <c r="V1060" s="1"/>
    </row>
    <row r="1061" spans="22:22" ht="12.75" customHeight="1" x14ac:dyDescent="0.2">
      <c r="V1061" s="1"/>
    </row>
    <row r="1062" spans="22:22" ht="12.75" customHeight="1" x14ac:dyDescent="0.2">
      <c r="V1062" s="1"/>
    </row>
    <row r="1063" spans="22:22" ht="12.75" customHeight="1" x14ac:dyDescent="0.2">
      <c r="V1063" s="1"/>
    </row>
    <row r="1064" spans="22:22" ht="12.75" customHeight="1" x14ac:dyDescent="0.2">
      <c r="V1064" s="1"/>
    </row>
    <row r="1065" spans="22:22" ht="12.75" customHeight="1" x14ac:dyDescent="0.2">
      <c r="V1065" s="1"/>
    </row>
    <row r="1066" spans="22:22" ht="12.75" customHeight="1" x14ac:dyDescent="0.2">
      <c r="V1066" s="1"/>
    </row>
    <row r="1067" spans="22:22" ht="12.75" customHeight="1" x14ac:dyDescent="0.2">
      <c r="V1067" s="1"/>
    </row>
    <row r="1068" spans="22:22" ht="12.75" customHeight="1" x14ac:dyDescent="0.2">
      <c r="V1068" s="1"/>
    </row>
    <row r="1069" spans="22:22" ht="12.75" customHeight="1" x14ac:dyDescent="0.2">
      <c r="V1069" s="1"/>
    </row>
    <row r="1070" spans="22:22" ht="12.75" customHeight="1" x14ac:dyDescent="0.2">
      <c r="V1070" s="1"/>
    </row>
    <row r="1071" spans="22:22" ht="12.75" customHeight="1" x14ac:dyDescent="0.2">
      <c r="V1071" s="1"/>
    </row>
    <row r="1072" spans="22:22" ht="12.75" customHeight="1" x14ac:dyDescent="0.2">
      <c r="V1072" s="1"/>
    </row>
    <row r="1073" spans="22:22" ht="12.75" customHeight="1" x14ac:dyDescent="0.2">
      <c r="V1073" s="1"/>
    </row>
    <row r="1074" spans="22:22" ht="12.75" customHeight="1" x14ac:dyDescent="0.2">
      <c r="V1074" s="1"/>
    </row>
    <row r="1075" spans="22:22" ht="12.75" customHeight="1" x14ac:dyDescent="0.2">
      <c r="V1075" s="1"/>
    </row>
    <row r="1076" spans="22:22" ht="12.75" customHeight="1" x14ac:dyDescent="0.2">
      <c r="V1076" s="1"/>
    </row>
    <row r="1077" spans="22:22" ht="12.75" customHeight="1" x14ac:dyDescent="0.2">
      <c r="V1077" s="1"/>
    </row>
    <row r="1078" spans="22:22" ht="12.75" customHeight="1" x14ac:dyDescent="0.2">
      <c r="V1078" s="1"/>
    </row>
    <row r="1079" spans="22:22" ht="12.75" customHeight="1" x14ac:dyDescent="0.2">
      <c r="V1079" s="1"/>
    </row>
    <row r="1080" spans="22:22" ht="12.75" customHeight="1" x14ac:dyDescent="0.2">
      <c r="V1080" s="1"/>
    </row>
    <row r="1081" spans="22:22" ht="12.75" customHeight="1" x14ac:dyDescent="0.2">
      <c r="V1081" s="1"/>
    </row>
    <row r="1082" spans="22:22" ht="12.75" customHeight="1" x14ac:dyDescent="0.2">
      <c r="V1082" s="1"/>
    </row>
    <row r="1083" spans="22:22" ht="12.75" customHeight="1" x14ac:dyDescent="0.2">
      <c r="V1083" s="1"/>
    </row>
    <row r="1084" spans="22:22" ht="12.75" customHeight="1" x14ac:dyDescent="0.2">
      <c r="V1084" s="1"/>
    </row>
    <row r="1085" spans="22:22" ht="12.75" customHeight="1" x14ac:dyDescent="0.2">
      <c r="V1085" s="1"/>
    </row>
    <row r="1086" spans="22:22" ht="12.75" customHeight="1" x14ac:dyDescent="0.2">
      <c r="V1086" s="1"/>
    </row>
    <row r="1087" spans="22:22" ht="12.75" customHeight="1" x14ac:dyDescent="0.2">
      <c r="V1087" s="1"/>
    </row>
    <row r="1088" spans="22:22" ht="12.75" customHeight="1" x14ac:dyDescent="0.2">
      <c r="V1088" s="1"/>
    </row>
    <row r="1089" spans="22:22" ht="12.75" customHeight="1" x14ac:dyDescent="0.2">
      <c r="V1089" s="1"/>
    </row>
    <row r="1090" spans="22:22" ht="12.75" customHeight="1" x14ac:dyDescent="0.2">
      <c r="V1090" s="1"/>
    </row>
    <row r="1091" spans="22:22" ht="12.75" customHeight="1" x14ac:dyDescent="0.2">
      <c r="V1091" s="1"/>
    </row>
    <row r="1092" spans="22:22" ht="12.75" customHeight="1" x14ac:dyDescent="0.2">
      <c r="V1092" s="1"/>
    </row>
    <row r="1093" spans="22:22" ht="12.75" customHeight="1" x14ac:dyDescent="0.2">
      <c r="V1093" s="1"/>
    </row>
    <row r="1094" spans="22:22" ht="12.75" customHeight="1" x14ac:dyDescent="0.2">
      <c r="V1094" s="1"/>
    </row>
    <row r="1095" spans="22:22" ht="12.75" customHeight="1" x14ac:dyDescent="0.2">
      <c r="V1095" s="1"/>
    </row>
    <row r="1096" spans="22:22" ht="12.75" customHeight="1" x14ac:dyDescent="0.2">
      <c r="V1096" s="1"/>
    </row>
    <row r="1097" spans="22:22" ht="12.75" customHeight="1" x14ac:dyDescent="0.2">
      <c r="V1097" s="1"/>
    </row>
    <row r="1098" spans="22:22" ht="12.75" customHeight="1" x14ac:dyDescent="0.2">
      <c r="V1098" s="1"/>
    </row>
    <row r="1099" spans="22:22" ht="12.75" customHeight="1" x14ac:dyDescent="0.2">
      <c r="V1099" s="1"/>
    </row>
    <row r="1100" spans="22:22" ht="12.75" customHeight="1" x14ac:dyDescent="0.2">
      <c r="V1100" s="1"/>
    </row>
    <row r="1101" spans="22:22" ht="12.75" customHeight="1" x14ac:dyDescent="0.2">
      <c r="V1101" s="1"/>
    </row>
    <row r="1102" spans="22:22" ht="12.75" customHeight="1" x14ac:dyDescent="0.2">
      <c r="V1102" s="1"/>
    </row>
    <row r="1103" spans="22:22" ht="12.75" customHeight="1" x14ac:dyDescent="0.2">
      <c r="V1103" s="1"/>
    </row>
    <row r="1104" spans="22:22" ht="12.75" customHeight="1" x14ac:dyDescent="0.2">
      <c r="V1104" s="1"/>
    </row>
    <row r="1105" spans="22:22" ht="12.75" customHeight="1" x14ac:dyDescent="0.2">
      <c r="V1105" s="1"/>
    </row>
    <row r="1106" spans="22:22" ht="12.75" customHeight="1" x14ac:dyDescent="0.2">
      <c r="V1106" s="1"/>
    </row>
    <row r="1107" spans="22:22" ht="12.75" customHeight="1" x14ac:dyDescent="0.2">
      <c r="V1107" s="1"/>
    </row>
    <row r="1108" spans="22:22" ht="12.75" customHeight="1" x14ac:dyDescent="0.2">
      <c r="V1108" s="1"/>
    </row>
    <row r="1109" spans="22:22" ht="12.75" customHeight="1" x14ac:dyDescent="0.2">
      <c r="V1109" s="1"/>
    </row>
    <row r="1110" spans="22:22" ht="12.75" customHeight="1" x14ac:dyDescent="0.2">
      <c r="V1110" s="1"/>
    </row>
    <row r="1111" spans="22:22" ht="12.75" customHeight="1" x14ac:dyDescent="0.2">
      <c r="V1111" s="1"/>
    </row>
    <row r="1112" spans="22:22" ht="12.75" customHeight="1" x14ac:dyDescent="0.2">
      <c r="V1112" s="1"/>
    </row>
    <row r="1113" spans="22:22" ht="12.75" customHeight="1" x14ac:dyDescent="0.2">
      <c r="V1113" s="1"/>
    </row>
    <row r="1114" spans="22:22" ht="12.75" customHeight="1" x14ac:dyDescent="0.2">
      <c r="V1114" s="1"/>
    </row>
    <row r="1115" spans="22:22" ht="12.75" customHeight="1" x14ac:dyDescent="0.2">
      <c r="V1115" s="1"/>
    </row>
    <row r="1116" spans="22:22" ht="12.75" customHeight="1" x14ac:dyDescent="0.2">
      <c r="V1116" s="1"/>
    </row>
    <row r="1117" spans="22:22" ht="12.75" customHeight="1" x14ac:dyDescent="0.2">
      <c r="V1117" s="1"/>
    </row>
    <row r="1118" spans="22:22" ht="12.75" customHeight="1" x14ac:dyDescent="0.2">
      <c r="V1118" s="1"/>
    </row>
    <row r="1119" spans="22:22" ht="12.75" customHeight="1" x14ac:dyDescent="0.2">
      <c r="V1119" s="1"/>
    </row>
    <row r="1120" spans="22:22" ht="12.75" customHeight="1" x14ac:dyDescent="0.2">
      <c r="V1120" s="1"/>
    </row>
    <row r="1121" spans="22:22" ht="12.75" customHeight="1" x14ac:dyDescent="0.2">
      <c r="V1121" s="1"/>
    </row>
    <row r="1122" spans="22:22" ht="12.75" customHeight="1" x14ac:dyDescent="0.2">
      <c r="V1122" s="1"/>
    </row>
    <row r="1123" spans="22:22" ht="12.75" customHeight="1" x14ac:dyDescent="0.2">
      <c r="V1123" s="1"/>
    </row>
    <row r="1124" spans="22:22" ht="12.75" customHeight="1" x14ac:dyDescent="0.2">
      <c r="V1124" s="1"/>
    </row>
    <row r="1125" spans="22:22" ht="12.75" customHeight="1" x14ac:dyDescent="0.2">
      <c r="V1125" s="1"/>
    </row>
    <row r="1126" spans="22:22" ht="12.75" customHeight="1" x14ac:dyDescent="0.2">
      <c r="V1126" s="1"/>
    </row>
    <row r="1127" spans="22:22" ht="12.75" customHeight="1" x14ac:dyDescent="0.2">
      <c r="V1127" s="1"/>
    </row>
    <row r="1128" spans="22:22" ht="12.75" customHeight="1" x14ac:dyDescent="0.2">
      <c r="V1128" s="1"/>
    </row>
    <row r="1129" spans="22:22" ht="12.75" customHeight="1" x14ac:dyDescent="0.2">
      <c r="V1129" s="1"/>
    </row>
    <row r="1130" spans="22:22" ht="12.75" customHeight="1" x14ac:dyDescent="0.2">
      <c r="V1130" s="1"/>
    </row>
    <row r="1131" spans="22:22" ht="12.75" customHeight="1" x14ac:dyDescent="0.2">
      <c r="V1131" s="1"/>
    </row>
    <row r="1132" spans="22:22" ht="12.75" customHeight="1" x14ac:dyDescent="0.2">
      <c r="V1132" s="1"/>
    </row>
    <row r="1133" spans="22:22" ht="12.75" customHeight="1" x14ac:dyDescent="0.2">
      <c r="V1133" s="1"/>
    </row>
    <row r="1134" spans="22:22" ht="12.75" customHeight="1" x14ac:dyDescent="0.2">
      <c r="V1134" s="1"/>
    </row>
    <row r="1135" spans="22:22" ht="12.75" customHeight="1" x14ac:dyDescent="0.2">
      <c r="V1135" s="1"/>
    </row>
    <row r="1136" spans="22:22" ht="12.75" customHeight="1" x14ac:dyDescent="0.2">
      <c r="V1136" s="1"/>
    </row>
    <row r="1137" spans="22:22" ht="12.75" customHeight="1" x14ac:dyDescent="0.2">
      <c r="V1137" s="1"/>
    </row>
    <row r="1138" spans="22:22" ht="12.75" customHeight="1" x14ac:dyDescent="0.2">
      <c r="V1138" s="1"/>
    </row>
    <row r="1139" spans="22:22" ht="12.75" customHeight="1" x14ac:dyDescent="0.2">
      <c r="V1139" s="1"/>
    </row>
    <row r="1140" spans="22:22" ht="12.75" customHeight="1" x14ac:dyDescent="0.2">
      <c r="V1140" s="1"/>
    </row>
    <row r="1141" spans="22:22" ht="12.75" customHeight="1" x14ac:dyDescent="0.2">
      <c r="V1141" s="1"/>
    </row>
    <row r="1142" spans="22:22" ht="12.75" customHeight="1" x14ac:dyDescent="0.2">
      <c r="V1142" s="1"/>
    </row>
    <row r="1143" spans="22:22" ht="12.75" customHeight="1" x14ac:dyDescent="0.2">
      <c r="V1143" s="1"/>
    </row>
    <row r="1144" spans="22:22" ht="12.75" customHeight="1" x14ac:dyDescent="0.2">
      <c r="V1144" s="1"/>
    </row>
    <row r="1145" spans="22:22" ht="12.75" customHeight="1" x14ac:dyDescent="0.2">
      <c r="V1145" s="1"/>
    </row>
    <row r="1146" spans="22:22" ht="12.75" customHeight="1" x14ac:dyDescent="0.2">
      <c r="V1146" s="1"/>
    </row>
    <row r="1147" spans="22:22" ht="12.75" customHeight="1" x14ac:dyDescent="0.2">
      <c r="V1147" s="1"/>
    </row>
    <row r="1148" spans="22:22" ht="12.75" customHeight="1" x14ac:dyDescent="0.2">
      <c r="V1148" s="1"/>
    </row>
    <row r="1149" spans="22:22" ht="12.75" customHeight="1" x14ac:dyDescent="0.2">
      <c r="V1149" s="1"/>
    </row>
    <row r="1150" spans="22:22" ht="12.75" customHeight="1" x14ac:dyDescent="0.2">
      <c r="V1150" s="1"/>
    </row>
    <row r="1151" spans="22:22" ht="12.75" customHeight="1" x14ac:dyDescent="0.2">
      <c r="V1151" s="1"/>
    </row>
    <row r="1152" spans="22:22" ht="12.75" customHeight="1" x14ac:dyDescent="0.2">
      <c r="V1152" s="1"/>
    </row>
    <row r="1153" spans="22:22" ht="12.75" customHeight="1" x14ac:dyDescent="0.2">
      <c r="V1153" s="1"/>
    </row>
    <row r="1154" spans="22:22" ht="12.75" customHeight="1" x14ac:dyDescent="0.2">
      <c r="V1154" s="1"/>
    </row>
    <row r="1155" spans="22:22" ht="12.75" customHeight="1" x14ac:dyDescent="0.2">
      <c r="V1155" s="1"/>
    </row>
    <row r="1156" spans="22:22" ht="12.75" customHeight="1" x14ac:dyDescent="0.2">
      <c r="V1156" s="1"/>
    </row>
    <row r="1157" spans="22:22" ht="12.75" customHeight="1" x14ac:dyDescent="0.2">
      <c r="V1157" s="1"/>
    </row>
    <row r="1158" spans="22:22" ht="12.75" customHeight="1" x14ac:dyDescent="0.2">
      <c r="V1158" s="1"/>
    </row>
    <row r="1159" spans="22:22" ht="12.75" customHeight="1" x14ac:dyDescent="0.2">
      <c r="V1159" s="1"/>
    </row>
    <row r="1160" spans="22:22" ht="12.75" customHeight="1" x14ac:dyDescent="0.2">
      <c r="V1160" s="1"/>
    </row>
    <row r="1161" spans="22:22" ht="12.75" customHeight="1" x14ac:dyDescent="0.2">
      <c r="V1161" s="1"/>
    </row>
    <row r="1162" spans="22:22" ht="12.75" customHeight="1" x14ac:dyDescent="0.2">
      <c r="V1162" s="1"/>
    </row>
    <row r="1163" spans="22:22" ht="12.75" customHeight="1" x14ac:dyDescent="0.2">
      <c r="V1163" s="1"/>
    </row>
    <row r="1164" spans="22:22" ht="12.75" customHeight="1" x14ac:dyDescent="0.2">
      <c r="V1164" s="1"/>
    </row>
    <row r="1165" spans="22:22" ht="12.75" customHeight="1" x14ac:dyDescent="0.2">
      <c r="V1165" s="1"/>
    </row>
    <row r="1166" spans="22:22" ht="12.75" customHeight="1" x14ac:dyDescent="0.2">
      <c r="V1166" s="1"/>
    </row>
    <row r="1167" spans="22:22" ht="12.75" customHeight="1" x14ac:dyDescent="0.2">
      <c r="V1167" s="1"/>
    </row>
    <row r="1168" spans="22:22" ht="12.75" customHeight="1" x14ac:dyDescent="0.2">
      <c r="V1168" s="1"/>
    </row>
  </sheetData>
  <mergeCells count="29">
    <mergeCell ref="A141:AI141"/>
    <mergeCell ref="A142:AI142"/>
    <mergeCell ref="A143:AI143"/>
    <mergeCell ref="A144:AI144"/>
    <mergeCell ref="A146:AI146"/>
    <mergeCell ref="A115:G115"/>
    <mergeCell ref="A118:G118"/>
    <mergeCell ref="A130:G130"/>
    <mergeCell ref="A135:G135"/>
    <mergeCell ref="A138:G138"/>
    <mergeCell ref="A140:AI140"/>
    <mergeCell ref="E42:G42"/>
    <mergeCell ref="E45:F45"/>
    <mergeCell ref="C53:G53"/>
    <mergeCell ref="E58:F58"/>
    <mergeCell ref="C81:F81"/>
    <mergeCell ref="E86:G86"/>
    <mergeCell ref="E16:G16"/>
    <mergeCell ref="E17:G17"/>
    <mergeCell ref="E19:G19"/>
    <mergeCell ref="E20:G20"/>
    <mergeCell ref="C24:G24"/>
    <mergeCell ref="C27:G27"/>
    <mergeCell ref="H3:U3"/>
    <mergeCell ref="V3:AI3"/>
    <mergeCell ref="E8:G8"/>
    <mergeCell ref="E10:G10"/>
    <mergeCell ref="C13:G13"/>
    <mergeCell ref="E15:G15"/>
  </mergeCells>
  <pageMargins left="0.7" right="0.7" top="0.75" bottom="0.75" header="0.3" footer="0.3"/>
  <pageSetup paperSize="9" scale="46"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91968-BB40-4BEF-8BC4-945CFA33AD40}">
  <dimension ref="A1:CB288"/>
  <sheetViews>
    <sheetView view="pageBreakPreview" topLeftCell="A50" zoomScaleNormal="100" zoomScaleSheetLayoutView="100" workbookViewId="0">
      <selection activeCell="BR57" sqref="BR57"/>
    </sheetView>
  </sheetViews>
  <sheetFormatPr defaultRowHeight="12.75" x14ac:dyDescent="0.2"/>
  <cols>
    <col min="1" max="1" width="2.85546875" style="240" customWidth="1"/>
    <col min="2" max="2" width="3.28515625" style="240" customWidth="1"/>
    <col min="3" max="3" width="50.7109375" style="240" customWidth="1"/>
    <col min="4" max="4" width="8.7109375" style="240" customWidth="1"/>
    <col min="5" max="8" width="13.5703125" style="240" customWidth="1"/>
    <col min="9" max="9" width="16.85546875" style="240" customWidth="1"/>
    <col min="10" max="14" width="13.5703125" style="240" hidden="1" customWidth="1"/>
    <col min="15" max="15" width="12.7109375" style="240" hidden="1" customWidth="1"/>
    <col min="16" max="17" width="11.28515625" style="240" hidden="1" customWidth="1"/>
    <col min="18" max="18" width="12.7109375" style="240" hidden="1" customWidth="1"/>
    <col min="19" max="19" width="13.140625" style="240" hidden="1" customWidth="1"/>
    <col min="20" max="22" width="11.28515625" style="240" hidden="1" customWidth="1"/>
    <col min="23" max="24" width="12.7109375" style="240" hidden="1" customWidth="1"/>
    <col min="25" max="27" width="11.28515625" style="240" hidden="1" customWidth="1"/>
    <col min="28" max="28" width="12.7109375" style="240" hidden="1" customWidth="1"/>
    <col min="29" max="29" width="12.5703125" style="240" hidden="1" customWidth="1"/>
    <col min="30" max="30" width="12.28515625" style="240" hidden="1" customWidth="1"/>
    <col min="31" max="31" width="12.7109375" style="240" hidden="1" customWidth="1"/>
    <col min="32" max="32" width="11.28515625" style="240" hidden="1" customWidth="1"/>
    <col min="33" max="33" width="12.7109375" style="240" hidden="1" customWidth="1"/>
    <col min="34" max="54" width="15.42578125" style="240" hidden="1" customWidth="1"/>
    <col min="55" max="59" width="15.42578125" style="240" customWidth="1"/>
    <col min="60" max="69" width="15.42578125" style="240" hidden="1" customWidth="1"/>
    <col min="70" max="70" width="15.42578125" style="240" customWidth="1"/>
    <col min="71" max="71" width="13.140625" style="240" customWidth="1"/>
    <col min="72" max="72" width="11.28515625" style="240" customWidth="1"/>
    <col min="73" max="73" width="12.7109375" style="240" customWidth="1"/>
    <col min="74" max="74" width="14.7109375" style="240" customWidth="1"/>
    <col min="75" max="75" width="3.28515625" style="240" customWidth="1"/>
    <col min="76" max="76" width="7.85546875" style="240" hidden="1" customWidth="1"/>
    <col min="77" max="77" width="18.5703125" style="239" customWidth="1"/>
    <col min="78" max="78" width="14.85546875" style="238" customWidth="1"/>
    <col min="79" max="79" width="13.7109375" style="324" customWidth="1"/>
    <col min="80" max="80" width="15.140625" style="240" customWidth="1"/>
    <col min="81" max="16384" width="9.140625" style="240"/>
  </cols>
  <sheetData>
    <row r="1" spans="1:80" ht="15.75" x14ac:dyDescent="0.25">
      <c r="A1" s="245" t="s">
        <v>175</v>
      </c>
      <c r="B1" s="244"/>
      <c r="C1" s="243"/>
      <c r="D1" s="242"/>
      <c r="E1" s="241"/>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c r="AV1" s="243"/>
      <c r="AW1" s="243"/>
      <c r="AX1" s="243"/>
      <c r="AY1" s="243"/>
      <c r="AZ1" s="243"/>
      <c r="BA1" s="243"/>
      <c r="BB1" s="243"/>
      <c r="BC1" s="243"/>
      <c r="BD1" s="243"/>
      <c r="BE1" s="243"/>
      <c r="BF1" s="243"/>
      <c r="BG1" s="243"/>
      <c r="BH1" s="243"/>
      <c r="BI1" s="243"/>
      <c r="BJ1" s="243"/>
      <c r="BK1" s="243"/>
      <c r="BL1" s="243"/>
      <c r="BM1" s="243"/>
      <c r="BN1" s="243"/>
      <c r="BO1" s="243"/>
      <c r="BP1" s="243"/>
      <c r="BQ1" s="243"/>
      <c r="BR1" s="243"/>
      <c r="BS1" s="243"/>
      <c r="BT1" s="243"/>
      <c r="BU1" s="243"/>
      <c r="BV1" s="243"/>
    </row>
    <row r="2" spans="1:80" ht="15" x14ac:dyDescent="0.25">
      <c r="A2" s="237"/>
      <c r="B2" s="242"/>
      <c r="D2" s="236"/>
      <c r="E2" s="235" t="s">
        <v>1</v>
      </c>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3"/>
      <c r="BW2" s="232"/>
      <c r="BZ2" s="231"/>
    </row>
    <row r="3" spans="1:80" ht="15" x14ac:dyDescent="0.25">
      <c r="A3" s="230"/>
      <c r="B3" s="242"/>
      <c r="C3" s="240" t="s">
        <v>176</v>
      </c>
      <c r="D3" s="229"/>
      <c r="E3" s="228" t="s">
        <v>177</v>
      </c>
      <c r="F3" s="227"/>
      <c r="G3" s="227"/>
      <c r="H3" s="227"/>
      <c r="I3" s="226"/>
      <c r="J3" s="228" t="s">
        <v>4</v>
      </c>
      <c r="K3" s="227"/>
      <c r="L3" s="227"/>
      <c r="M3" s="227"/>
      <c r="N3" s="226"/>
      <c r="O3" s="225" t="s">
        <v>5</v>
      </c>
      <c r="P3" s="227"/>
      <c r="Q3" s="227"/>
      <c r="R3" s="227"/>
      <c r="S3" s="226"/>
      <c r="T3" s="228" t="s">
        <v>6</v>
      </c>
      <c r="U3" s="227"/>
      <c r="V3" s="227"/>
      <c r="W3" s="227"/>
      <c r="X3" s="226"/>
      <c r="Y3" s="228" t="s">
        <v>7</v>
      </c>
      <c r="Z3" s="227"/>
      <c r="AA3" s="227"/>
      <c r="AB3" s="227"/>
      <c r="AC3" s="226"/>
      <c r="AD3" s="228" t="s">
        <v>8</v>
      </c>
      <c r="AE3" s="227"/>
      <c r="AF3" s="227"/>
      <c r="AG3" s="227"/>
      <c r="AH3" s="226"/>
      <c r="AI3" s="228" t="s">
        <v>9</v>
      </c>
      <c r="AJ3" s="227"/>
      <c r="AK3" s="227"/>
      <c r="AL3" s="227"/>
      <c r="AM3" s="226"/>
      <c r="AN3" s="228" t="s">
        <v>10</v>
      </c>
      <c r="AO3" s="227"/>
      <c r="AP3" s="227"/>
      <c r="AQ3" s="227"/>
      <c r="AR3" s="226"/>
      <c r="AS3" s="228" t="s">
        <v>11</v>
      </c>
      <c r="AT3" s="227"/>
      <c r="AU3" s="227"/>
      <c r="AV3" s="227"/>
      <c r="AW3" s="226"/>
      <c r="AX3" s="228" t="s">
        <v>12</v>
      </c>
      <c r="AY3" s="227"/>
      <c r="AZ3" s="227"/>
      <c r="BA3" s="227"/>
      <c r="BB3" s="226"/>
      <c r="BC3" s="228" t="s">
        <v>13</v>
      </c>
      <c r="BD3" s="227"/>
      <c r="BE3" s="227"/>
      <c r="BF3" s="227"/>
      <c r="BG3" s="226"/>
      <c r="BH3" s="228" t="s">
        <v>14</v>
      </c>
      <c r="BI3" s="227"/>
      <c r="BJ3" s="227"/>
      <c r="BK3" s="227"/>
      <c r="BL3" s="226"/>
      <c r="BM3" s="228" t="s">
        <v>15</v>
      </c>
      <c r="BN3" s="227"/>
      <c r="BO3" s="227"/>
      <c r="BP3" s="227"/>
      <c r="BQ3" s="226"/>
      <c r="BR3" s="228" t="s">
        <v>16</v>
      </c>
      <c r="BS3" s="227"/>
      <c r="BT3" s="227"/>
      <c r="BU3" s="227"/>
      <c r="BV3" s="224"/>
      <c r="BW3" s="223"/>
      <c r="BX3" s="223"/>
    </row>
    <row r="4" spans="1:80" x14ac:dyDescent="0.2">
      <c r="A4" s="230"/>
      <c r="B4" s="242"/>
      <c r="D4" s="229"/>
      <c r="E4" s="247" t="s">
        <v>178</v>
      </c>
      <c r="F4" s="248" t="s">
        <v>179</v>
      </c>
      <c r="G4" s="248" t="s">
        <v>180</v>
      </c>
      <c r="H4" s="248" t="s">
        <v>181</v>
      </c>
      <c r="I4" s="249" t="s">
        <v>182</v>
      </c>
      <c r="J4" s="247" t="s">
        <v>178</v>
      </c>
      <c r="K4" s="248" t="s">
        <v>179</v>
      </c>
      <c r="L4" s="248" t="s">
        <v>180</v>
      </c>
      <c r="M4" s="248" t="s">
        <v>181</v>
      </c>
      <c r="N4" s="250" t="s">
        <v>182</v>
      </c>
      <c r="O4" s="248" t="s">
        <v>178</v>
      </c>
      <c r="P4" s="248" t="s">
        <v>179</v>
      </c>
      <c r="Q4" s="248" t="s">
        <v>180</v>
      </c>
      <c r="R4" s="248" t="s">
        <v>181</v>
      </c>
      <c r="S4" s="250" t="s">
        <v>182</v>
      </c>
      <c r="T4" s="247" t="s">
        <v>178</v>
      </c>
      <c r="U4" s="248" t="s">
        <v>179</v>
      </c>
      <c r="V4" s="248" t="s">
        <v>180</v>
      </c>
      <c r="W4" s="248" t="s">
        <v>181</v>
      </c>
      <c r="X4" s="250" t="s">
        <v>182</v>
      </c>
      <c r="Y4" s="247" t="s">
        <v>178</v>
      </c>
      <c r="Z4" s="248" t="s">
        <v>179</v>
      </c>
      <c r="AA4" s="248" t="s">
        <v>180</v>
      </c>
      <c r="AB4" s="248" t="s">
        <v>181</v>
      </c>
      <c r="AC4" s="250" t="s">
        <v>182</v>
      </c>
      <c r="AD4" s="247" t="s">
        <v>178</v>
      </c>
      <c r="AE4" s="248" t="s">
        <v>179</v>
      </c>
      <c r="AF4" s="248" t="s">
        <v>180</v>
      </c>
      <c r="AG4" s="248" t="s">
        <v>181</v>
      </c>
      <c r="AH4" s="250" t="s">
        <v>182</v>
      </c>
      <c r="AI4" s="247" t="s">
        <v>178</v>
      </c>
      <c r="AJ4" s="248" t="s">
        <v>179</v>
      </c>
      <c r="AK4" s="248" t="s">
        <v>180</v>
      </c>
      <c r="AL4" s="248" t="s">
        <v>181</v>
      </c>
      <c r="AM4" s="250" t="s">
        <v>182</v>
      </c>
      <c r="AN4" s="247" t="s">
        <v>178</v>
      </c>
      <c r="AO4" s="248" t="s">
        <v>179</v>
      </c>
      <c r="AP4" s="248" t="s">
        <v>180</v>
      </c>
      <c r="AQ4" s="248" t="s">
        <v>181</v>
      </c>
      <c r="AR4" s="250" t="s">
        <v>182</v>
      </c>
      <c r="AS4" s="247" t="s">
        <v>178</v>
      </c>
      <c r="AT4" s="248" t="s">
        <v>179</v>
      </c>
      <c r="AU4" s="248" t="s">
        <v>180</v>
      </c>
      <c r="AV4" s="248" t="s">
        <v>181</v>
      </c>
      <c r="AW4" s="250" t="s">
        <v>182</v>
      </c>
      <c r="AX4" s="247" t="s">
        <v>178</v>
      </c>
      <c r="AY4" s="248" t="s">
        <v>179</v>
      </c>
      <c r="AZ4" s="248" t="s">
        <v>180</v>
      </c>
      <c r="BA4" s="248" t="s">
        <v>181</v>
      </c>
      <c r="BB4" s="250" t="s">
        <v>182</v>
      </c>
      <c r="BC4" s="247" t="s">
        <v>178</v>
      </c>
      <c r="BD4" s="248" t="s">
        <v>179</v>
      </c>
      <c r="BE4" s="248" t="s">
        <v>180</v>
      </c>
      <c r="BF4" s="248" t="s">
        <v>181</v>
      </c>
      <c r="BG4" s="250" t="s">
        <v>182</v>
      </c>
      <c r="BH4" s="247" t="s">
        <v>178</v>
      </c>
      <c r="BI4" s="248" t="s">
        <v>179</v>
      </c>
      <c r="BJ4" s="248" t="s">
        <v>180</v>
      </c>
      <c r="BK4" s="248" t="s">
        <v>183</v>
      </c>
      <c r="BL4" s="250" t="s">
        <v>182</v>
      </c>
      <c r="BM4" s="247" t="s">
        <v>178</v>
      </c>
      <c r="BN4" s="248" t="s">
        <v>179</v>
      </c>
      <c r="BO4" s="248" t="s">
        <v>180</v>
      </c>
      <c r="BP4" s="248" t="s">
        <v>181</v>
      </c>
      <c r="BQ4" s="250" t="s">
        <v>182</v>
      </c>
      <c r="BR4" s="247" t="s">
        <v>178</v>
      </c>
      <c r="BS4" s="248" t="s">
        <v>179</v>
      </c>
      <c r="BT4" s="248" t="s">
        <v>180</v>
      </c>
      <c r="BU4" s="248" t="s">
        <v>181</v>
      </c>
      <c r="BV4" s="251" t="s">
        <v>182</v>
      </c>
      <c r="BW4" s="232"/>
      <c r="BX4" s="223"/>
    </row>
    <row r="5" spans="1:80" x14ac:dyDescent="0.2">
      <c r="A5" s="252" t="s">
        <v>19</v>
      </c>
      <c r="B5" s="253"/>
      <c r="C5" s="253"/>
      <c r="D5" s="254"/>
      <c r="E5" s="255" t="s">
        <v>184</v>
      </c>
      <c r="F5" s="256" t="s">
        <v>185</v>
      </c>
      <c r="G5" s="256" t="s">
        <v>186</v>
      </c>
      <c r="H5" s="256" t="s">
        <v>187</v>
      </c>
      <c r="I5" s="257"/>
      <c r="J5" s="255" t="s">
        <v>184</v>
      </c>
      <c r="K5" s="256" t="s">
        <v>185</v>
      </c>
      <c r="L5" s="256" t="s">
        <v>186</v>
      </c>
      <c r="M5" s="256" t="s">
        <v>187</v>
      </c>
      <c r="N5" s="257"/>
      <c r="O5" s="256" t="s">
        <v>184</v>
      </c>
      <c r="P5" s="256" t="s">
        <v>185</v>
      </c>
      <c r="Q5" s="256" t="s">
        <v>186</v>
      </c>
      <c r="R5" s="256" t="s">
        <v>187</v>
      </c>
      <c r="S5" s="257"/>
      <c r="T5" s="255" t="s">
        <v>184</v>
      </c>
      <c r="U5" s="256" t="s">
        <v>185</v>
      </c>
      <c r="V5" s="256" t="s">
        <v>186</v>
      </c>
      <c r="W5" s="256" t="s">
        <v>187</v>
      </c>
      <c r="X5" s="257"/>
      <c r="Y5" s="255" t="s">
        <v>184</v>
      </c>
      <c r="Z5" s="256" t="s">
        <v>185</v>
      </c>
      <c r="AA5" s="256" t="s">
        <v>186</v>
      </c>
      <c r="AB5" s="256" t="s">
        <v>187</v>
      </c>
      <c r="AC5" s="257"/>
      <c r="AD5" s="255" t="s">
        <v>184</v>
      </c>
      <c r="AE5" s="256" t="s">
        <v>185</v>
      </c>
      <c r="AF5" s="256" t="s">
        <v>186</v>
      </c>
      <c r="AG5" s="256" t="s">
        <v>187</v>
      </c>
      <c r="AH5" s="257"/>
      <c r="AI5" s="255" t="s">
        <v>184</v>
      </c>
      <c r="AJ5" s="256" t="s">
        <v>185</v>
      </c>
      <c r="AK5" s="256" t="s">
        <v>186</v>
      </c>
      <c r="AL5" s="256" t="s">
        <v>187</v>
      </c>
      <c r="AM5" s="257"/>
      <c r="AN5" s="255" t="s">
        <v>184</v>
      </c>
      <c r="AO5" s="256" t="s">
        <v>185</v>
      </c>
      <c r="AP5" s="256" t="s">
        <v>186</v>
      </c>
      <c r="AQ5" s="256" t="s">
        <v>187</v>
      </c>
      <c r="AR5" s="257"/>
      <c r="AS5" s="255" t="s">
        <v>184</v>
      </c>
      <c r="AT5" s="256" t="s">
        <v>185</v>
      </c>
      <c r="AU5" s="256" t="s">
        <v>186</v>
      </c>
      <c r="AV5" s="256" t="s">
        <v>187</v>
      </c>
      <c r="AW5" s="257"/>
      <c r="AX5" s="255" t="s">
        <v>184</v>
      </c>
      <c r="AY5" s="256" t="s">
        <v>185</v>
      </c>
      <c r="AZ5" s="256" t="s">
        <v>186</v>
      </c>
      <c r="BA5" s="256" t="s">
        <v>187</v>
      </c>
      <c r="BB5" s="257"/>
      <c r="BC5" s="255" t="s">
        <v>184</v>
      </c>
      <c r="BD5" s="256" t="s">
        <v>185</v>
      </c>
      <c r="BE5" s="256" t="s">
        <v>186</v>
      </c>
      <c r="BF5" s="256" t="s">
        <v>187</v>
      </c>
      <c r="BG5" s="257"/>
      <c r="BH5" s="255" t="s">
        <v>184</v>
      </c>
      <c r="BI5" s="256" t="s">
        <v>185</v>
      </c>
      <c r="BJ5" s="256" t="s">
        <v>186</v>
      </c>
      <c r="BK5" s="256" t="s">
        <v>187</v>
      </c>
      <c r="BL5" s="257"/>
      <c r="BM5" s="255" t="s">
        <v>184</v>
      </c>
      <c r="BN5" s="256" t="s">
        <v>185</v>
      </c>
      <c r="BO5" s="256" t="s">
        <v>186</v>
      </c>
      <c r="BP5" s="256" t="s">
        <v>187</v>
      </c>
      <c r="BQ5" s="257"/>
      <c r="BR5" s="255" t="s">
        <v>184</v>
      </c>
      <c r="BS5" s="256" t="s">
        <v>185</v>
      </c>
      <c r="BT5" s="256" t="s">
        <v>186</v>
      </c>
      <c r="BU5" s="256" t="s">
        <v>187</v>
      </c>
      <c r="BV5" s="255"/>
      <c r="BW5" s="232"/>
      <c r="BX5" s="258"/>
    </row>
    <row r="6" spans="1:80" x14ac:dyDescent="0.2">
      <c r="A6" s="259"/>
      <c r="B6" s="242"/>
      <c r="D6" s="248"/>
      <c r="E6" s="260"/>
      <c r="F6" s="248"/>
      <c r="G6" s="248"/>
      <c r="H6" s="248"/>
      <c r="I6" s="261"/>
      <c r="J6" s="247"/>
      <c r="K6" s="248"/>
      <c r="L6" s="248"/>
      <c r="M6" s="248"/>
      <c r="N6" s="261"/>
      <c r="O6" s="248"/>
      <c r="P6" s="248"/>
      <c r="Q6" s="248"/>
      <c r="R6" s="248"/>
      <c r="S6" s="261"/>
      <c r="T6" s="247"/>
      <c r="U6" s="248"/>
      <c r="V6" s="248"/>
      <c r="W6" s="248"/>
      <c r="X6" s="261"/>
      <c r="Y6" s="247"/>
      <c r="Z6" s="248"/>
      <c r="AA6" s="248"/>
      <c r="AB6" s="248"/>
      <c r="AC6" s="261"/>
      <c r="AD6" s="247"/>
      <c r="AE6" s="248"/>
      <c r="AF6" s="248"/>
      <c r="AG6" s="248"/>
      <c r="AH6" s="261"/>
      <c r="AI6" s="247"/>
      <c r="AJ6" s="248"/>
      <c r="AK6" s="248"/>
      <c r="AL6" s="248"/>
      <c r="AM6" s="261"/>
      <c r="AN6" s="247"/>
      <c r="AO6" s="248"/>
      <c r="AP6" s="248"/>
      <c r="AQ6" s="248"/>
      <c r="AR6" s="261"/>
      <c r="AS6" s="247"/>
      <c r="AT6" s="248"/>
      <c r="AU6" s="248"/>
      <c r="AV6" s="248"/>
      <c r="AW6" s="261"/>
      <c r="AX6" s="247"/>
      <c r="AY6" s="248"/>
      <c r="AZ6" s="248"/>
      <c r="BA6" s="248"/>
      <c r="BB6" s="261"/>
      <c r="BC6" s="247"/>
      <c r="BD6" s="248"/>
      <c r="BE6" s="248"/>
      <c r="BF6" s="248"/>
      <c r="BG6" s="261"/>
      <c r="BH6" s="247"/>
      <c r="BI6" s="248"/>
      <c r="BJ6" s="248"/>
      <c r="BK6" s="248"/>
      <c r="BL6" s="261"/>
      <c r="BM6" s="247"/>
      <c r="BN6" s="248"/>
      <c r="BO6" s="248"/>
      <c r="BP6" s="248"/>
      <c r="BQ6" s="261"/>
      <c r="BR6" s="247"/>
      <c r="BS6" s="248"/>
      <c r="BT6" s="248"/>
      <c r="BU6" s="248"/>
      <c r="BV6" s="247"/>
      <c r="BW6" s="232"/>
      <c r="BX6" s="223"/>
    </row>
    <row r="7" spans="1:80" ht="13.5" customHeight="1" x14ac:dyDescent="0.25">
      <c r="A7" s="262">
        <v>1</v>
      </c>
      <c r="B7" s="263" t="s">
        <v>188</v>
      </c>
      <c r="D7" s="264"/>
      <c r="E7" s="79">
        <v>558651</v>
      </c>
      <c r="F7" s="78">
        <v>692</v>
      </c>
      <c r="G7" s="78">
        <v>13577</v>
      </c>
      <c r="H7" s="78">
        <v>0</v>
      </c>
      <c r="I7" s="45">
        <v>572920</v>
      </c>
      <c r="J7" s="47">
        <v>28919</v>
      </c>
      <c r="K7" s="49">
        <v>0</v>
      </c>
      <c r="L7" s="49">
        <v>956</v>
      </c>
      <c r="M7" s="49">
        <v>0</v>
      </c>
      <c r="N7" s="45">
        <v>29875</v>
      </c>
      <c r="O7" s="49">
        <v>29267</v>
      </c>
      <c r="P7" s="49">
        <v>0</v>
      </c>
      <c r="Q7" s="49">
        <v>1524</v>
      </c>
      <c r="R7" s="49">
        <v>0</v>
      </c>
      <c r="S7" s="45">
        <v>30791</v>
      </c>
      <c r="T7" s="47">
        <v>31665</v>
      </c>
      <c r="U7" s="49">
        <v>22</v>
      </c>
      <c r="V7" s="49">
        <v>1020</v>
      </c>
      <c r="W7" s="49">
        <v>0</v>
      </c>
      <c r="X7" s="45">
        <v>32707</v>
      </c>
      <c r="Y7" s="47">
        <v>41265</v>
      </c>
      <c r="Z7" s="49">
        <v>10</v>
      </c>
      <c r="AA7" s="49">
        <v>1229</v>
      </c>
      <c r="AB7" s="49">
        <v>0</v>
      </c>
      <c r="AC7" s="45">
        <v>42504</v>
      </c>
      <c r="AD7" s="47">
        <v>58277</v>
      </c>
      <c r="AE7" s="49">
        <v>320</v>
      </c>
      <c r="AF7" s="49">
        <v>1572</v>
      </c>
      <c r="AG7" s="49">
        <v>0</v>
      </c>
      <c r="AH7" s="45">
        <v>60169</v>
      </c>
      <c r="AI7" s="47">
        <v>33417</v>
      </c>
      <c r="AJ7" s="49">
        <v>137</v>
      </c>
      <c r="AK7" s="49">
        <v>1192</v>
      </c>
      <c r="AL7" s="49">
        <v>0</v>
      </c>
      <c r="AM7" s="45">
        <v>34746</v>
      </c>
      <c r="AN7" s="47">
        <v>31289</v>
      </c>
      <c r="AO7" s="49">
        <v>437</v>
      </c>
      <c r="AP7" s="49">
        <v>1460</v>
      </c>
      <c r="AQ7" s="49">
        <v>0</v>
      </c>
      <c r="AR7" s="45">
        <v>33186</v>
      </c>
      <c r="AS7" s="47">
        <v>31876</v>
      </c>
      <c r="AT7" s="49">
        <v>65</v>
      </c>
      <c r="AU7" s="49">
        <v>1223</v>
      </c>
      <c r="AV7" s="49">
        <v>0</v>
      </c>
      <c r="AW7" s="45">
        <v>33164</v>
      </c>
      <c r="AX7" s="47">
        <v>30576</v>
      </c>
      <c r="AY7" s="49">
        <v>163</v>
      </c>
      <c r="AZ7" s="49">
        <v>3548</v>
      </c>
      <c r="BA7" s="49">
        <v>0</v>
      </c>
      <c r="BB7" s="45">
        <v>34287</v>
      </c>
      <c r="BC7" s="47">
        <v>32285</v>
      </c>
      <c r="BD7" s="49">
        <v>2114</v>
      </c>
      <c r="BE7" s="49">
        <v>2749</v>
      </c>
      <c r="BF7" s="49">
        <v>0</v>
      </c>
      <c r="BG7" s="45">
        <v>37148</v>
      </c>
      <c r="BH7" s="47">
        <v>0</v>
      </c>
      <c r="BI7" s="49">
        <v>0</v>
      </c>
      <c r="BJ7" s="49">
        <v>0</v>
      </c>
      <c r="BK7" s="49">
        <v>0</v>
      </c>
      <c r="BL7" s="45">
        <v>0</v>
      </c>
      <c r="BM7" s="47">
        <v>0</v>
      </c>
      <c r="BN7" s="49">
        <v>0</v>
      </c>
      <c r="BO7" s="49">
        <v>0</v>
      </c>
      <c r="BP7" s="49">
        <v>0</v>
      </c>
      <c r="BQ7" s="45">
        <v>0</v>
      </c>
      <c r="BR7" s="47">
        <v>348836</v>
      </c>
      <c r="BS7" s="78">
        <v>3268</v>
      </c>
      <c r="BT7" s="49">
        <v>16473</v>
      </c>
      <c r="BU7" s="49">
        <v>0</v>
      </c>
      <c r="BV7" s="47">
        <v>368577</v>
      </c>
      <c r="BW7" s="265"/>
      <c r="BX7" s="266"/>
      <c r="CA7" s="325"/>
      <c r="CB7" s="1"/>
    </row>
    <row r="8" spans="1:80" ht="13.5" x14ac:dyDescent="0.25">
      <c r="A8" s="262">
        <v>2</v>
      </c>
      <c r="B8" s="263" t="s">
        <v>189</v>
      </c>
      <c r="D8" s="267" t="s">
        <v>60</v>
      </c>
      <c r="E8" s="79">
        <v>1547843</v>
      </c>
      <c r="F8" s="78">
        <v>454186</v>
      </c>
      <c r="G8" s="78">
        <v>13816</v>
      </c>
      <c r="H8" s="78">
        <v>0</v>
      </c>
      <c r="I8" s="45">
        <v>2015845</v>
      </c>
      <c r="J8" s="47">
        <v>140445</v>
      </c>
      <c r="K8" s="49">
        <v>120322</v>
      </c>
      <c r="L8" s="49">
        <v>1150</v>
      </c>
      <c r="M8" s="49">
        <v>0</v>
      </c>
      <c r="N8" s="45">
        <v>261917</v>
      </c>
      <c r="O8" s="49">
        <v>140443</v>
      </c>
      <c r="P8" s="49">
        <v>0</v>
      </c>
      <c r="Q8" s="49">
        <v>1152</v>
      </c>
      <c r="R8" s="49">
        <v>0</v>
      </c>
      <c r="S8" s="45">
        <v>141595</v>
      </c>
      <c r="T8" s="47">
        <v>140444</v>
      </c>
      <c r="U8" s="49">
        <v>0</v>
      </c>
      <c r="V8" s="49">
        <v>1151</v>
      </c>
      <c r="W8" s="49">
        <v>0</v>
      </c>
      <c r="X8" s="45">
        <v>141595</v>
      </c>
      <c r="Y8" s="47">
        <v>140444</v>
      </c>
      <c r="Z8" s="49">
        <v>120322</v>
      </c>
      <c r="AA8" s="49">
        <v>1151</v>
      </c>
      <c r="AB8" s="49">
        <v>0</v>
      </c>
      <c r="AC8" s="45">
        <v>261917</v>
      </c>
      <c r="AD8" s="47">
        <v>140444</v>
      </c>
      <c r="AE8" s="49">
        <v>0</v>
      </c>
      <c r="AF8" s="49">
        <v>1151</v>
      </c>
      <c r="AG8" s="49">
        <v>0</v>
      </c>
      <c r="AH8" s="45">
        <v>141595</v>
      </c>
      <c r="AI8" s="47">
        <v>140444</v>
      </c>
      <c r="AJ8" s="49">
        <v>0</v>
      </c>
      <c r="AK8" s="49">
        <v>1151</v>
      </c>
      <c r="AL8" s="49">
        <v>0</v>
      </c>
      <c r="AM8" s="45">
        <v>141595</v>
      </c>
      <c r="AN8" s="47">
        <v>127144</v>
      </c>
      <c r="AO8" s="49">
        <v>120322</v>
      </c>
      <c r="AP8" s="49">
        <v>1151</v>
      </c>
      <c r="AQ8" s="49">
        <v>0</v>
      </c>
      <c r="AR8" s="45">
        <v>248617</v>
      </c>
      <c r="AS8" s="47">
        <v>127144</v>
      </c>
      <c r="AT8" s="49">
        <v>0</v>
      </c>
      <c r="AU8" s="49">
        <v>1151</v>
      </c>
      <c r="AV8" s="49">
        <v>0</v>
      </c>
      <c r="AW8" s="45">
        <v>128295</v>
      </c>
      <c r="AX8" s="47">
        <v>127144</v>
      </c>
      <c r="AY8" s="49">
        <v>0</v>
      </c>
      <c r="AZ8" s="49">
        <v>1151</v>
      </c>
      <c r="BA8" s="49">
        <v>0</v>
      </c>
      <c r="BB8" s="45">
        <v>128295</v>
      </c>
      <c r="BC8" s="47">
        <v>107035</v>
      </c>
      <c r="BD8" s="49">
        <v>93220</v>
      </c>
      <c r="BE8" s="49">
        <v>1150</v>
      </c>
      <c r="BF8" s="49">
        <v>0</v>
      </c>
      <c r="BG8" s="45">
        <v>201405</v>
      </c>
      <c r="BH8" s="47">
        <v>0</v>
      </c>
      <c r="BI8" s="49">
        <v>0</v>
      </c>
      <c r="BJ8" s="49">
        <v>0</v>
      </c>
      <c r="BK8" s="49">
        <v>0</v>
      </c>
      <c r="BL8" s="45">
        <v>0</v>
      </c>
      <c r="BM8" s="47">
        <v>0</v>
      </c>
      <c r="BN8" s="49">
        <v>0</v>
      </c>
      <c r="BO8" s="49">
        <v>0</v>
      </c>
      <c r="BP8" s="49">
        <v>0</v>
      </c>
      <c r="BQ8" s="45">
        <v>0</v>
      </c>
      <c r="BR8" s="47">
        <v>1331131</v>
      </c>
      <c r="BS8" s="78">
        <v>454186</v>
      </c>
      <c r="BT8" s="49">
        <v>11509</v>
      </c>
      <c r="BU8" s="49">
        <v>0</v>
      </c>
      <c r="BV8" s="47">
        <v>1796826</v>
      </c>
      <c r="BW8" s="13"/>
      <c r="BX8" s="268"/>
      <c r="CA8" s="325"/>
      <c r="CB8" s="1"/>
    </row>
    <row r="9" spans="1:80" ht="13.5" x14ac:dyDescent="0.25">
      <c r="A9" s="262">
        <v>3</v>
      </c>
      <c r="B9" s="263" t="s">
        <v>190</v>
      </c>
      <c r="D9" s="267"/>
      <c r="E9" s="79">
        <v>4824854</v>
      </c>
      <c r="F9" s="78">
        <v>102097615</v>
      </c>
      <c r="G9" s="78">
        <v>20318</v>
      </c>
      <c r="H9" s="78">
        <v>0</v>
      </c>
      <c r="I9" s="45">
        <v>106942787</v>
      </c>
      <c r="J9" s="47">
        <v>267863</v>
      </c>
      <c r="K9" s="49">
        <v>73</v>
      </c>
      <c r="L9" s="49">
        <v>13</v>
      </c>
      <c r="M9" s="49">
        <v>5</v>
      </c>
      <c r="N9" s="45">
        <v>267954</v>
      </c>
      <c r="O9" s="49">
        <v>58517</v>
      </c>
      <c r="P9" s="49">
        <v>260946</v>
      </c>
      <c r="Q9" s="49">
        <v>14</v>
      </c>
      <c r="R9" s="49">
        <v>0</v>
      </c>
      <c r="S9" s="45">
        <v>319477</v>
      </c>
      <c r="T9" s="47">
        <v>267666</v>
      </c>
      <c r="U9" s="49">
        <v>8799</v>
      </c>
      <c r="V9" s="49">
        <v>0</v>
      </c>
      <c r="W9" s="49">
        <v>0</v>
      </c>
      <c r="X9" s="45">
        <v>276465</v>
      </c>
      <c r="Y9" s="47">
        <v>268985</v>
      </c>
      <c r="Z9" s="49">
        <v>33569045</v>
      </c>
      <c r="AA9" s="49">
        <v>55</v>
      </c>
      <c r="AB9" s="49">
        <v>1</v>
      </c>
      <c r="AC9" s="45">
        <v>33838086</v>
      </c>
      <c r="AD9" s="47">
        <v>501753</v>
      </c>
      <c r="AE9" s="49">
        <v>3324135</v>
      </c>
      <c r="AF9" s="49">
        <v>1062</v>
      </c>
      <c r="AG9" s="49">
        <v>0</v>
      </c>
      <c r="AH9" s="45">
        <v>3826950</v>
      </c>
      <c r="AI9" s="47">
        <v>287532</v>
      </c>
      <c r="AJ9" s="49">
        <v>2393724</v>
      </c>
      <c r="AK9" s="49">
        <v>561</v>
      </c>
      <c r="AL9" s="49">
        <v>0</v>
      </c>
      <c r="AM9" s="45">
        <v>2681817</v>
      </c>
      <c r="AN9" s="47">
        <v>183401</v>
      </c>
      <c r="AO9" s="49">
        <v>558388</v>
      </c>
      <c r="AP9" s="49">
        <v>14792</v>
      </c>
      <c r="AQ9" s="49">
        <v>0</v>
      </c>
      <c r="AR9" s="45">
        <v>756581</v>
      </c>
      <c r="AS9" s="47">
        <v>526395</v>
      </c>
      <c r="AT9" s="49">
        <v>609460</v>
      </c>
      <c r="AU9" s="49">
        <v>4629</v>
      </c>
      <c r="AV9" s="49">
        <v>0</v>
      </c>
      <c r="AW9" s="45">
        <v>1140484</v>
      </c>
      <c r="AX9" s="47">
        <v>403355</v>
      </c>
      <c r="AY9" s="49">
        <v>33392063</v>
      </c>
      <c r="AZ9" s="49">
        <v>1598</v>
      </c>
      <c r="BA9" s="49">
        <v>0</v>
      </c>
      <c r="BB9" s="45">
        <v>33797016</v>
      </c>
      <c r="BC9" s="47">
        <v>404824</v>
      </c>
      <c r="BD9" s="49">
        <v>265804</v>
      </c>
      <c r="BE9" s="49">
        <v>4124</v>
      </c>
      <c r="BF9" s="49">
        <v>18</v>
      </c>
      <c r="BG9" s="45">
        <v>674770</v>
      </c>
      <c r="BH9" s="47">
        <v>0</v>
      </c>
      <c r="BI9" s="49">
        <v>0</v>
      </c>
      <c r="BJ9" s="49">
        <v>0</v>
      </c>
      <c r="BK9" s="49">
        <v>0</v>
      </c>
      <c r="BL9" s="45">
        <v>0</v>
      </c>
      <c r="BM9" s="47">
        <v>0</v>
      </c>
      <c r="BN9" s="49">
        <v>0</v>
      </c>
      <c r="BO9" s="49">
        <v>0</v>
      </c>
      <c r="BP9" s="49">
        <v>0</v>
      </c>
      <c r="BQ9" s="45">
        <v>0</v>
      </c>
      <c r="BR9" s="47">
        <v>3170291</v>
      </c>
      <c r="BS9" s="78">
        <v>74382437</v>
      </c>
      <c r="BT9" s="49">
        <v>26848</v>
      </c>
      <c r="BU9" s="49">
        <v>24</v>
      </c>
      <c r="BV9" s="47">
        <v>77579600</v>
      </c>
      <c r="BW9" s="13"/>
      <c r="BX9" s="266"/>
      <c r="CA9" s="325"/>
      <c r="CB9" s="1"/>
    </row>
    <row r="10" spans="1:80" ht="13.5" x14ac:dyDescent="0.25">
      <c r="A10" s="262">
        <v>4</v>
      </c>
      <c r="B10" s="263" t="s">
        <v>191</v>
      </c>
      <c r="D10" s="267"/>
      <c r="E10" s="79">
        <v>506637</v>
      </c>
      <c r="F10" s="78">
        <v>213125</v>
      </c>
      <c r="G10" s="78">
        <v>5378</v>
      </c>
      <c r="H10" s="78">
        <v>0</v>
      </c>
      <c r="I10" s="45">
        <v>725140</v>
      </c>
      <c r="J10" s="47">
        <v>42202</v>
      </c>
      <c r="K10" s="49">
        <v>8262</v>
      </c>
      <c r="L10" s="49">
        <v>13</v>
      </c>
      <c r="M10" s="49">
        <v>0</v>
      </c>
      <c r="N10" s="45">
        <v>50477</v>
      </c>
      <c r="O10" s="49">
        <v>37029</v>
      </c>
      <c r="P10" s="49">
        <v>64819</v>
      </c>
      <c r="Q10" s="49">
        <v>130</v>
      </c>
      <c r="R10" s="49"/>
      <c r="S10" s="45">
        <v>101978</v>
      </c>
      <c r="T10" s="47">
        <v>52054</v>
      </c>
      <c r="U10" s="49">
        <v>0</v>
      </c>
      <c r="V10" s="49">
        <v>525</v>
      </c>
      <c r="W10" s="49">
        <v>0</v>
      </c>
      <c r="X10" s="45">
        <v>52579</v>
      </c>
      <c r="Y10" s="47">
        <v>36717</v>
      </c>
      <c r="Z10" s="49"/>
      <c r="AA10" s="49">
        <v>710</v>
      </c>
      <c r="AB10" s="49"/>
      <c r="AC10" s="45">
        <v>37427</v>
      </c>
      <c r="AD10" s="47">
        <v>43730</v>
      </c>
      <c r="AE10" s="49">
        <v>62278</v>
      </c>
      <c r="AF10" s="49">
        <v>1250</v>
      </c>
      <c r="AG10" s="49">
        <v>0</v>
      </c>
      <c r="AH10" s="45">
        <v>107258</v>
      </c>
      <c r="AI10" s="47">
        <v>37902</v>
      </c>
      <c r="AJ10" s="49">
        <v>675</v>
      </c>
      <c r="AK10" s="49">
        <v>366</v>
      </c>
      <c r="AL10" s="49">
        <v>0</v>
      </c>
      <c r="AM10" s="45">
        <v>38943</v>
      </c>
      <c r="AN10" s="47">
        <v>42685</v>
      </c>
      <c r="AO10" s="49">
        <v>53234</v>
      </c>
      <c r="AP10" s="49">
        <v>-135</v>
      </c>
      <c r="AQ10" s="49">
        <v>9</v>
      </c>
      <c r="AR10" s="45">
        <v>95793</v>
      </c>
      <c r="AS10" s="47">
        <v>37498</v>
      </c>
      <c r="AT10" s="49">
        <v>187</v>
      </c>
      <c r="AU10" s="49">
        <v>872</v>
      </c>
      <c r="AV10" s="49">
        <v>7</v>
      </c>
      <c r="AW10" s="45">
        <v>38564</v>
      </c>
      <c r="AX10" s="47">
        <v>35118</v>
      </c>
      <c r="AY10" s="49">
        <v>185</v>
      </c>
      <c r="AZ10" s="49">
        <v>1046</v>
      </c>
      <c r="BA10" s="49">
        <v>0</v>
      </c>
      <c r="BB10" s="45">
        <v>36349</v>
      </c>
      <c r="BC10" s="47">
        <v>35056</v>
      </c>
      <c r="BD10" s="49">
        <v>69</v>
      </c>
      <c r="BE10" s="49">
        <v>1857</v>
      </c>
      <c r="BF10" s="49">
        <v>0</v>
      </c>
      <c r="BG10" s="45">
        <v>36982</v>
      </c>
      <c r="BH10" s="47"/>
      <c r="BI10" s="49"/>
      <c r="BJ10" s="49"/>
      <c r="BK10" s="49"/>
      <c r="BL10" s="45"/>
      <c r="BM10" s="47"/>
      <c r="BN10" s="49"/>
      <c r="BO10" s="49"/>
      <c r="BP10" s="49"/>
      <c r="BQ10" s="45"/>
      <c r="BR10" s="47">
        <v>399991</v>
      </c>
      <c r="BS10" s="78">
        <v>189709</v>
      </c>
      <c r="BT10" s="49">
        <v>6634</v>
      </c>
      <c r="BU10" s="49">
        <v>16</v>
      </c>
      <c r="BV10" s="47">
        <v>596350</v>
      </c>
      <c r="BW10" s="13"/>
      <c r="BX10" s="268"/>
      <c r="CA10" s="325"/>
      <c r="CB10" s="1"/>
    </row>
    <row r="11" spans="1:80" ht="13.5" x14ac:dyDescent="0.25">
      <c r="A11" s="262">
        <v>5</v>
      </c>
      <c r="B11" s="263" t="s">
        <v>192</v>
      </c>
      <c r="D11" s="267"/>
      <c r="E11" s="79">
        <v>6505143</v>
      </c>
      <c r="F11" s="78">
        <v>2269254</v>
      </c>
      <c r="G11" s="78">
        <v>13011</v>
      </c>
      <c r="H11" s="78">
        <v>0</v>
      </c>
      <c r="I11" s="45">
        <v>8787408</v>
      </c>
      <c r="J11" s="47">
        <v>394381</v>
      </c>
      <c r="K11" s="49">
        <v>459844</v>
      </c>
      <c r="L11" s="49">
        <v>75903</v>
      </c>
      <c r="M11" s="49">
        <v>0</v>
      </c>
      <c r="N11" s="45">
        <v>930128</v>
      </c>
      <c r="O11" s="49">
        <v>538070</v>
      </c>
      <c r="P11" s="49">
        <v>166364</v>
      </c>
      <c r="Q11" s="49">
        <v>14930</v>
      </c>
      <c r="R11" s="49">
        <v>0</v>
      </c>
      <c r="S11" s="45">
        <v>719364</v>
      </c>
      <c r="T11" s="47">
        <v>422472</v>
      </c>
      <c r="U11" s="49">
        <v>164893</v>
      </c>
      <c r="V11" s="49">
        <v>5038</v>
      </c>
      <c r="W11" s="49">
        <v>0</v>
      </c>
      <c r="X11" s="45">
        <v>592403</v>
      </c>
      <c r="Y11" s="47">
        <v>433396</v>
      </c>
      <c r="Z11" s="49">
        <v>207919</v>
      </c>
      <c r="AA11" s="49">
        <v>10620</v>
      </c>
      <c r="AB11" s="49">
        <v>0</v>
      </c>
      <c r="AC11" s="45">
        <v>651935</v>
      </c>
      <c r="AD11" s="47">
        <v>434166</v>
      </c>
      <c r="AE11" s="49">
        <v>100853</v>
      </c>
      <c r="AF11" s="49">
        <v>3675</v>
      </c>
      <c r="AG11" s="49">
        <v>0</v>
      </c>
      <c r="AH11" s="45">
        <v>538694</v>
      </c>
      <c r="AI11" s="47">
        <v>474137</v>
      </c>
      <c r="AJ11" s="49">
        <v>102820</v>
      </c>
      <c r="AK11" s="49">
        <v>64166</v>
      </c>
      <c r="AL11" s="49">
        <v>0</v>
      </c>
      <c r="AM11" s="45">
        <v>641123</v>
      </c>
      <c r="AN11" s="47">
        <v>463240</v>
      </c>
      <c r="AO11" s="49">
        <v>212274</v>
      </c>
      <c r="AP11" s="49">
        <v>12822</v>
      </c>
      <c r="AQ11" s="49">
        <v>0</v>
      </c>
      <c r="AR11" s="45">
        <v>688336</v>
      </c>
      <c r="AS11" s="47">
        <v>515084</v>
      </c>
      <c r="AT11" s="49">
        <v>101716</v>
      </c>
      <c r="AU11" s="49">
        <v>16821</v>
      </c>
      <c r="AV11" s="49">
        <v>0</v>
      </c>
      <c r="AW11" s="45">
        <v>633621</v>
      </c>
      <c r="AX11" s="47">
        <v>522298</v>
      </c>
      <c r="AY11" s="49">
        <v>124859</v>
      </c>
      <c r="AZ11" s="49">
        <v>7670</v>
      </c>
      <c r="BA11" s="49">
        <v>0</v>
      </c>
      <c r="BB11" s="45">
        <v>654827</v>
      </c>
      <c r="BC11" s="47">
        <v>426523</v>
      </c>
      <c r="BD11" s="49">
        <v>244179</v>
      </c>
      <c r="BE11" s="49">
        <v>4645</v>
      </c>
      <c r="BF11" s="49">
        <v>0</v>
      </c>
      <c r="BG11" s="45">
        <v>675347</v>
      </c>
      <c r="BH11" s="47">
        <v>0</v>
      </c>
      <c r="BI11" s="49">
        <v>0</v>
      </c>
      <c r="BJ11" s="49">
        <v>0</v>
      </c>
      <c r="BK11" s="49">
        <v>0</v>
      </c>
      <c r="BL11" s="45">
        <v>0</v>
      </c>
      <c r="BM11" s="47">
        <v>0</v>
      </c>
      <c r="BN11" s="49">
        <v>0</v>
      </c>
      <c r="BO11" s="49">
        <v>0</v>
      </c>
      <c r="BP11" s="49">
        <v>0</v>
      </c>
      <c r="BQ11" s="45">
        <v>0</v>
      </c>
      <c r="BR11" s="47">
        <v>4623767</v>
      </c>
      <c r="BS11" s="78">
        <v>1885721</v>
      </c>
      <c r="BT11" s="49">
        <v>216290</v>
      </c>
      <c r="BU11" s="49">
        <v>0</v>
      </c>
      <c r="BV11" s="47">
        <v>6725778</v>
      </c>
      <c r="BW11" s="13"/>
      <c r="BX11" s="266"/>
      <c r="CA11" s="325"/>
      <c r="CB11" s="1"/>
    </row>
    <row r="12" spans="1:80" ht="13.5" x14ac:dyDescent="0.25">
      <c r="A12" s="262">
        <v>6</v>
      </c>
      <c r="B12" s="263" t="s">
        <v>193</v>
      </c>
      <c r="D12" s="264"/>
      <c r="E12" s="79">
        <v>5249060</v>
      </c>
      <c r="F12" s="78">
        <v>914879</v>
      </c>
      <c r="G12" s="78">
        <v>151029</v>
      </c>
      <c r="H12" s="78">
        <v>0</v>
      </c>
      <c r="I12" s="45">
        <v>6314968</v>
      </c>
      <c r="J12" s="47">
        <v>507360</v>
      </c>
      <c r="K12" s="49">
        <v>1819</v>
      </c>
      <c r="L12" s="49">
        <v>2339</v>
      </c>
      <c r="M12" s="49">
        <v>0</v>
      </c>
      <c r="N12" s="45">
        <v>511518</v>
      </c>
      <c r="O12" s="49">
        <v>410400</v>
      </c>
      <c r="P12" s="49">
        <v>531</v>
      </c>
      <c r="Q12" s="49">
        <v>9289</v>
      </c>
      <c r="R12" s="49">
        <v>0</v>
      </c>
      <c r="S12" s="45">
        <v>420220</v>
      </c>
      <c r="T12" s="47">
        <v>460311</v>
      </c>
      <c r="U12" s="49">
        <v>484367</v>
      </c>
      <c r="V12" s="49">
        <v>3611</v>
      </c>
      <c r="W12" s="49">
        <v>0</v>
      </c>
      <c r="X12" s="45">
        <v>948289</v>
      </c>
      <c r="Y12" s="47">
        <v>414377</v>
      </c>
      <c r="Z12" s="49">
        <v>1142</v>
      </c>
      <c r="AA12" s="49">
        <v>48378</v>
      </c>
      <c r="AB12" s="49">
        <v>0</v>
      </c>
      <c r="AC12" s="45">
        <v>463897</v>
      </c>
      <c r="AD12" s="47">
        <v>425690</v>
      </c>
      <c r="AE12" s="49">
        <v>4643</v>
      </c>
      <c r="AF12" s="49">
        <v>2918</v>
      </c>
      <c r="AG12" s="49">
        <v>0</v>
      </c>
      <c r="AH12" s="45">
        <v>433251</v>
      </c>
      <c r="AI12" s="47">
        <v>459991</v>
      </c>
      <c r="AJ12" s="49">
        <v>35246</v>
      </c>
      <c r="AK12" s="49">
        <v>2952</v>
      </c>
      <c r="AL12" s="49">
        <v>0</v>
      </c>
      <c r="AM12" s="45">
        <v>498189</v>
      </c>
      <c r="AN12" s="47">
        <v>490925</v>
      </c>
      <c r="AO12" s="49">
        <v>1585</v>
      </c>
      <c r="AP12" s="49">
        <v>3561</v>
      </c>
      <c r="AQ12" s="49">
        <v>815</v>
      </c>
      <c r="AR12" s="45">
        <v>496886</v>
      </c>
      <c r="AS12" s="47">
        <v>486129</v>
      </c>
      <c r="AT12" s="49">
        <v>111049</v>
      </c>
      <c r="AU12" s="49">
        <v>-41495</v>
      </c>
      <c r="AV12" s="49">
        <v>0</v>
      </c>
      <c r="AW12" s="45">
        <v>555683</v>
      </c>
      <c r="AX12" s="47">
        <v>367013</v>
      </c>
      <c r="AY12" s="49">
        <v>5760</v>
      </c>
      <c r="AZ12" s="49">
        <v>3628</v>
      </c>
      <c r="BA12" s="49">
        <v>0</v>
      </c>
      <c r="BB12" s="45">
        <v>376401</v>
      </c>
      <c r="BC12" s="47">
        <v>415064</v>
      </c>
      <c r="BD12" s="49">
        <v>5218</v>
      </c>
      <c r="BE12" s="49">
        <v>2756</v>
      </c>
      <c r="BF12" s="49">
        <v>3</v>
      </c>
      <c r="BG12" s="45">
        <v>423041</v>
      </c>
      <c r="BH12" s="47">
        <v>0</v>
      </c>
      <c r="BI12" s="49">
        <v>0</v>
      </c>
      <c r="BJ12" s="49">
        <v>0</v>
      </c>
      <c r="BK12" s="49">
        <v>0</v>
      </c>
      <c r="BL12" s="45">
        <v>0</v>
      </c>
      <c r="BM12" s="47">
        <v>0</v>
      </c>
      <c r="BN12" s="49">
        <v>0</v>
      </c>
      <c r="BO12" s="49">
        <v>0</v>
      </c>
      <c r="BP12" s="49">
        <v>0</v>
      </c>
      <c r="BQ12" s="45">
        <v>0</v>
      </c>
      <c r="BR12" s="47">
        <v>4437260</v>
      </c>
      <c r="BS12" s="78">
        <v>651360</v>
      </c>
      <c r="BT12" s="49">
        <v>37937</v>
      </c>
      <c r="BU12" s="49">
        <v>818</v>
      </c>
      <c r="BV12" s="47">
        <v>5127375</v>
      </c>
      <c r="BW12" s="13"/>
      <c r="BX12" s="268"/>
      <c r="CA12" s="325"/>
      <c r="CB12" s="1"/>
    </row>
    <row r="13" spans="1:80" ht="13.5" x14ac:dyDescent="0.25">
      <c r="A13" s="262">
        <v>7</v>
      </c>
      <c r="B13" s="263" t="s">
        <v>194</v>
      </c>
      <c r="D13" s="264"/>
      <c r="E13" s="79">
        <v>87477</v>
      </c>
      <c r="F13" s="78">
        <v>136498</v>
      </c>
      <c r="G13" s="78">
        <v>3432</v>
      </c>
      <c r="H13" s="78">
        <v>0</v>
      </c>
      <c r="I13" s="45">
        <v>227407</v>
      </c>
      <c r="J13" s="47">
        <v>6216</v>
      </c>
      <c r="K13" s="49">
        <v>6559</v>
      </c>
      <c r="L13" s="49">
        <v>0</v>
      </c>
      <c r="M13" s="49">
        <v>0</v>
      </c>
      <c r="N13" s="45">
        <v>12775</v>
      </c>
      <c r="O13" s="49">
        <v>6631</v>
      </c>
      <c r="P13" s="49">
        <v>7496</v>
      </c>
      <c r="Q13" s="49">
        <v>25</v>
      </c>
      <c r="R13" s="49"/>
      <c r="S13" s="45">
        <v>14152</v>
      </c>
      <c r="T13" s="47">
        <v>7658</v>
      </c>
      <c r="U13" s="49">
        <v>8478</v>
      </c>
      <c r="V13" s="49">
        <v>0</v>
      </c>
      <c r="W13" s="49">
        <v>0</v>
      </c>
      <c r="X13" s="45">
        <v>16136</v>
      </c>
      <c r="Y13" s="47">
        <v>7883</v>
      </c>
      <c r="Z13" s="49">
        <v>7515</v>
      </c>
      <c r="AA13" s="49">
        <v>1322</v>
      </c>
      <c r="AB13" s="49"/>
      <c r="AC13" s="45">
        <v>16720</v>
      </c>
      <c r="AD13" s="47">
        <v>6502</v>
      </c>
      <c r="AE13" s="49">
        <v>56</v>
      </c>
      <c r="AF13" s="49">
        <v>-335</v>
      </c>
      <c r="AG13" s="49">
        <v>0</v>
      </c>
      <c r="AH13" s="45">
        <v>6223</v>
      </c>
      <c r="AI13" s="47">
        <v>8895</v>
      </c>
      <c r="AJ13" s="49">
        <v>25026</v>
      </c>
      <c r="AK13" s="49">
        <v>47</v>
      </c>
      <c r="AL13" s="49">
        <v>0</v>
      </c>
      <c r="AM13" s="45">
        <v>33968</v>
      </c>
      <c r="AN13" s="47">
        <v>7579</v>
      </c>
      <c r="AO13" s="49">
        <v>11861</v>
      </c>
      <c r="AP13" s="49">
        <v>220</v>
      </c>
      <c r="AQ13" s="49">
        <v>0</v>
      </c>
      <c r="AR13" s="45">
        <v>19660</v>
      </c>
      <c r="AS13" s="47">
        <v>10009</v>
      </c>
      <c r="AT13" s="49">
        <v>12150</v>
      </c>
      <c r="AU13" s="49">
        <v>0</v>
      </c>
      <c r="AV13" s="49">
        <v>0</v>
      </c>
      <c r="AW13" s="45">
        <v>22159</v>
      </c>
      <c r="AX13" s="47">
        <v>8952</v>
      </c>
      <c r="AY13" s="49">
        <v>13074</v>
      </c>
      <c r="AZ13" s="49">
        <v>0</v>
      </c>
      <c r="BA13" s="49">
        <v>0</v>
      </c>
      <c r="BB13" s="45">
        <v>22026</v>
      </c>
      <c r="BC13" s="47">
        <v>5599</v>
      </c>
      <c r="BD13" s="49">
        <v>6770</v>
      </c>
      <c r="BE13" s="49">
        <v>0</v>
      </c>
      <c r="BF13" s="49">
        <v>0</v>
      </c>
      <c r="BG13" s="45">
        <v>12369</v>
      </c>
      <c r="BH13" s="47"/>
      <c r="BI13" s="49"/>
      <c r="BJ13" s="49"/>
      <c r="BK13" s="49"/>
      <c r="BL13" s="45"/>
      <c r="BM13" s="47"/>
      <c r="BN13" s="49"/>
      <c r="BO13" s="49"/>
      <c r="BP13" s="49"/>
      <c r="BQ13" s="45"/>
      <c r="BR13" s="47">
        <v>75924</v>
      </c>
      <c r="BS13" s="78">
        <v>98985</v>
      </c>
      <c r="BT13" s="49">
        <v>1279</v>
      </c>
      <c r="BU13" s="49">
        <v>0</v>
      </c>
      <c r="BV13" s="47">
        <v>176188</v>
      </c>
      <c r="BW13" s="13"/>
      <c r="BX13" s="266"/>
      <c r="CA13" s="325"/>
      <c r="CB13" s="1"/>
    </row>
    <row r="14" spans="1:80" ht="13.5" x14ac:dyDescent="0.25">
      <c r="A14" s="262">
        <v>8</v>
      </c>
      <c r="B14" s="263" t="s">
        <v>195</v>
      </c>
      <c r="D14" s="264"/>
      <c r="E14" s="79">
        <v>2288169</v>
      </c>
      <c r="F14" s="78">
        <v>24187924</v>
      </c>
      <c r="G14" s="78">
        <v>68574</v>
      </c>
      <c r="H14" s="78">
        <v>7981006</v>
      </c>
      <c r="I14" s="45">
        <v>34525673</v>
      </c>
      <c r="J14" s="47">
        <v>97620</v>
      </c>
      <c r="K14" s="49">
        <v>1328011</v>
      </c>
      <c r="L14" s="49">
        <v>0</v>
      </c>
      <c r="M14" s="49">
        <v>0</v>
      </c>
      <c r="N14" s="45">
        <v>1425631</v>
      </c>
      <c r="O14" s="49">
        <v>142170</v>
      </c>
      <c r="P14" s="49">
        <v>2198989</v>
      </c>
      <c r="Q14" s="49">
        <v>0</v>
      </c>
      <c r="R14" s="49">
        <v>0</v>
      </c>
      <c r="S14" s="45">
        <v>2341159</v>
      </c>
      <c r="T14" s="47">
        <v>187894</v>
      </c>
      <c r="U14" s="49">
        <v>1714217</v>
      </c>
      <c r="V14" s="49">
        <v>20517</v>
      </c>
      <c r="W14" s="49">
        <v>403307</v>
      </c>
      <c r="X14" s="45">
        <v>2325935</v>
      </c>
      <c r="Y14" s="47">
        <v>198302</v>
      </c>
      <c r="Z14" s="49">
        <v>2076439</v>
      </c>
      <c r="AA14" s="49">
        <v>627</v>
      </c>
      <c r="AB14" s="49">
        <v>27028</v>
      </c>
      <c r="AC14" s="45">
        <v>2302396</v>
      </c>
      <c r="AD14" s="47">
        <v>160989</v>
      </c>
      <c r="AE14" s="49">
        <v>2216846</v>
      </c>
      <c r="AF14" s="49">
        <v>2786</v>
      </c>
      <c r="AG14" s="49">
        <v>0</v>
      </c>
      <c r="AH14" s="45">
        <v>2380621</v>
      </c>
      <c r="AI14" s="47">
        <v>90905</v>
      </c>
      <c r="AJ14" s="49">
        <v>2094557</v>
      </c>
      <c r="AK14" s="49">
        <v>3662</v>
      </c>
      <c r="AL14" s="49">
        <v>2925634</v>
      </c>
      <c r="AM14" s="45">
        <v>5114758</v>
      </c>
      <c r="AN14" s="47">
        <v>233688</v>
      </c>
      <c r="AO14" s="49">
        <v>1576166</v>
      </c>
      <c r="AP14" s="49">
        <v>104</v>
      </c>
      <c r="AQ14" s="49">
        <v>0</v>
      </c>
      <c r="AR14" s="45">
        <v>1809958</v>
      </c>
      <c r="AS14" s="47">
        <v>152725</v>
      </c>
      <c r="AT14" s="49">
        <v>2165921</v>
      </c>
      <c r="AU14" s="49">
        <v>1792</v>
      </c>
      <c r="AV14" s="49">
        <v>95</v>
      </c>
      <c r="AW14" s="45">
        <v>2320533</v>
      </c>
      <c r="AX14" s="47">
        <v>142686</v>
      </c>
      <c r="AY14" s="49">
        <v>1797684</v>
      </c>
      <c r="AZ14" s="49">
        <v>926</v>
      </c>
      <c r="BA14" s="49">
        <v>5115550</v>
      </c>
      <c r="BB14" s="45">
        <v>7056846</v>
      </c>
      <c r="BC14" s="47">
        <v>120707</v>
      </c>
      <c r="BD14" s="49">
        <v>1716791</v>
      </c>
      <c r="BE14" s="49">
        <v>417</v>
      </c>
      <c r="BF14" s="49">
        <v>0</v>
      </c>
      <c r="BG14" s="45">
        <v>1837915</v>
      </c>
      <c r="BH14" s="47">
        <v>0</v>
      </c>
      <c r="BI14" s="49">
        <v>0</v>
      </c>
      <c r="BJ14" s="49">
        <v>0</v>
      </c>
      <c r="BK14" s="49">
        <v>0</v>
      </c>
      <c r="BL14" s="45">
        <v>0</v>
      </c>
      <c r="BM14" s="47">
        <v>0</v>
      </c>
      <c r="BN14" s="49">
        <v>0</v>
      </c>
      <c r="BO14" s="49">
        <v>0</v>
      </c>
      <c r="BP14" s="49">
        <v>0</v>
      </c>
      <c r="BQ14" s="45">
        <v>0</v>
      </c>
      <c r="BR14" s="47">
        <v>1527686</v>
      </c>
      <c r="BS14" s="78">
        <v>18885621</v>
      </c>
      <c r="BT14" s="49">
        <v>30831</v>
      </c>
      <c r="BU14" s="49">
        <v>8471614</v>
      </c>
      <c r="BV14" s="47">
        <v>28915752</v>
      </c>
      <c r="BW14" s="13"/>
      <c r="BX14" s="268"/>
      <c r="CA14" s="325"/>
      <c r="CB14" s="1"/>
    </row>
    <row r="15" spans="1:80" ht="13.5" x14ac:dyDescent="0.25">
      <c r="A15" s="262">
        <v>9</v>
      </c>
      <c r="B15" s="263" t="s">
        <v>196</v>
      </c>
      <c r="D15" s="269"/>
      <c r="E15" s="79">
        <v>396387</v>
      </c>
      <c r="F15" s="78">
        <v>236</v>
      </c>
      <c r="G15" s="78">
        <v>3347</v>
      </c>
      <c r="H15" s="78">
        <v>4</v>
      </c>
      <c r="I15" s="45">
        <v>399974</v>
      </c>
      <c r="J15" s="47">
        <v>25273</v>
      </c>
      <c r="K15" s="49">
        <v>0</v>
      </c>
      <c r="L15" s="49">
        <v>0</v>
      </c>
      <c r="M15" s="49">
        <v>0</v>
      </c>
      <c r="N15" s="45">
        <v>25273</v>
      </c>
      <c r="O15" s="49">
        <v>26963</v>
      </c>
      <c r="P15" s="49">
        <v>65</v>
      </c>
      <c r="Q15" s="49">
        <v>145</v>
      </c>
      <c r="R15" s="49">
        <v>0</v>
      </c>
      <c r="S15" s="45">
        <v>27173</v>
      </c>
      <c r="T15" s="47">
        <v>27187</v>
      </c>
      <c r="U15" s="49">
        <v>74</v>
      </c>
      <c r="V15" s="49">
        <v>1852</v>
      </c>
      <c r="W15" s="49">
        <v>4</v>
      </c>
      <c r="X15" s="45">
        <v>29117</v>
      </c>
      <c r="Y15" s="47">
        <v>29249</v>
      </c>
      <c r="Z15" s="49">
        <v>29</v>
      </c>
      <c r="AA15" s="49">
        <v>287</v>
      </c>
      <c r="AB15" s="49">
        <v>0</v>
      </c>
      <c r="AC15" s="45">
        <v>29565</v>
      </c>
      <c r="AD15" s="47">
        <v>27878</v>
      </c>
      <c r="AE15" s="49">
        <v>66</v>
      </c>
      <c r="AF15" s="49">
        <v>172</v>
      </c>
      <c r="AG15" s="49">
        <v>0</v>
      </c>
      <c r="AH15" s="45">
        <v>28116</v>
      </c>
      <c r="AI15" s="47">
        <v>30272</v>
      </c>
      <c r="AJ15" s="49">
        <v>78</v>
      </c>
      <c r="AK15" s="49">
        <v>371</v>
      </c>
      <c r="AL15" s="49">
        <v>0</v>
      </c>
      <c r="AM15" s="45">
        <v>30721</v>
      </c>
      <c r="AN15" s="47">
        <v>27709</v>
      </c>
      <c r="AO15" s="49">
        <v>0</v>
      </c>
      <c r="AP15" s="49">
        <v>19</v>
      </c>
      <c r="AQ15" s="49">
        <v>0</v>
      </c>
      <c r="AR15" s="45">
        <v>27728</v>
      </c>
      <c r="AS15" s="47">
        <v>38151</v>
      </c>
      <c r="AT15" s="49">
        <v>8</v>
      </c>
      <c r="AU15" s="49">
        <v>103</v>
      </c>
      <c r="AV15" s="49">
        <v>0</v>
      </c>
      <c r="AW15" s="45">
        <v>38262</v>
      </c>
      <c r="AX15" s="47">
        <v>36313</v>
      </c>
      <c r="AY15" s="49">
        <v>13</v>
      </c>
      <c r="AZ15" s="49">
        <v>67</v>
      </c>
      <c r="BA15" s="49">
        <v>0</v>
      </c>
      <c r="BB15" s="45">
        <v>36393</v>
      </c>
      <c r="BC15" s="47">
        <v>27624</v>
      </c>
      <c r="BD15" s="49">
        <v>0</v>
      </c>
      <c r="BE15" s="49">
        <v>62</v>
      </c>
      <c r="BF15" s="49">
        <v>0</v>
      </c>
      <c r="BG15" s="45">
        <v>27686</v>
      </c>
      <c r="BH15" s="47">
        <v>0</v>
      </c>
      <c r="BI15" s="49">
        <v>0</v>
      </c>
      <c r="BJ15" s="49">
        <v>0</v>
      </c>
      <c r="BK15" s="49">
        <v>0</v>
      </c>
      <c r="BL15" s="45">
        <v>0</v>
      </c>
      <c r="BM15" s="47">
        <v>0</v>
      </c>
      <c r="BN15" s="49">
        <v>0</v>
      </c>
      <c r="BO15" s="49">
        <v>0</v>
      </c>
      <c r="BP15" s="49">
        <v>0</v>
      </c>
      <c r="BQ15" s="45">
        <v>0</v>
      </c>
      <c r="BR15" s="47">
        <v>296619</v>
      </c>
      <c r="BS15" s="78">
        <v>333</v>
      </c>
      <c r="BT15" s="49">
        <v>3078</v>
      </c>
      <c r="BU15" s="49">
        <v>4</v>
      </c>
      <c r="BV15" s="47">
        <v>300034</v>
      </c>
      <c r="BW15" s="13"/>
      <c r="BX15" s="266"/>
      <c r="CA15" s="325"/>
      <c r="CB15" s="1"/>
    </row>
    <row r="16" spans="1:80" ht="13.5" x14ac:dyDescent="0.25">
      <c r="A16" s="262">
        <v>10</v>
      </c>
      <c r="B16" s="270" t="s">
        <v>197</v>
      </c>
      <c r="D16" s="269"/>
      <c r="E16" s="79">
        <v>261874</v>
      </c>
      <c r="F16" s="78">
        <v>168</v>
      </c>
      <c r="G16" s="78">
        <v>3516</v>
      </c>
      <c r="H16" s="78">
        <v>77341348</v>
      </c>
      <c r="I16" s="45">
        <v>77606906</v>
      </c>
      <c r="J16" s="47">
        <v>13997</v>
      </c>
      <c r="K16" s="49">
        <v>2</v>
      </c>
      <c r="L16" s="49">
        <v>14</v>
      </c>
      <c r="M16" s="49">
        <v>0</v>
      </c>
      <c r="N16" s="45">
        <v>14013</v>
      </c>
      <c r="O16" s="49">
        <v>15331</v>
      </c>
      <c r="P16" s="49">
        <v>149</v>
      </c>
      <c r="Q16" s="49">
        <v>308</v>
      </c>
      <c r="R16" s="49">
        <v>1000000</v>
      </c>
      <c r="S16" s="45">
        <v>1015788</v>
      </c>
      <c r="T16" s="47">
        <v>24169</v>
      </c>
      <c r="U16" s="49">
        <v>0</v>
      </c>
      <c r="V16" s="49">
        <v>339</v>
      </c>
      <c r="W16" s="49">
        <v>72000</v>
      </c>
      <c r="X16" s="45">
        <v>96508</v>
      </c>
      <c r="Y16" s="47">
        <v>36884</v>
      </c>
      <c r="Z16" s="49">
        <v>0</v>
      </c>
      <c r="AA16" s="49">
        <v>1260</v>
      </c>
      <c r="AB16" s="49">
        <v>3779311</v>
      </c>
      <c r="AC16" s="45">
        <v>3817455</v>
      </c>
      <c r="AD16" s="47">
        <v>6775</v>
      </c>
      <c r="AE16" s="49">
        <v>0</v>
      </c>
      <c r="AF16" s="49">
        <v>23</v>
      </c>
      <c r="AG16" s="49">
        <v>5000000</v>
      </c>
      <c r="AH16" s="45">
        <v>5006798</v>
      </c>
      <c r="AI16" s="47">
        <v>15744</v>
      </c>
      <c r="AJ16" s="49">
        <v>0</v>
      </c>
      <c r="AK16" s="49">
        <v>834</v>
      </c>
      <c r="AL16" s="49">
        <v>89606</v>
      </c>
      <c r="AM16" s="45">
        <v>106184</v>
      </c>
      <c r="AN16" s="47">
        <v>16005</v>
      </c>
      <c r="AO16" s="49">
        <v>124</v>
      </c>
      <c r="AP16" s="49">
        <v>44</v>
      </c>
      <c r="AQ16" s="49">
        <v>2000000</v>
      </c>
      <c r="AR16" s="45">
        <v>2016173</v>
      </c>
      <c r="AS16" s="47">
        <v>15502</v>
      </c>
      <c r="AT16" s="49">
        <v>36</v>
      </c>
      <c r="AU16" s="49">
        <v>348</v>
      </c>
      <c r="AV16" s="49">
        <v>3771000</v>
      </c>
      <c r="AW16" s="45">
        <v>3786886</v>
      </c>
      <c r="AX16" s="47">
        <v>16744</v>
      </c>
      <c r="AY16" s="49">
        <v>0</v>
      </c>
      <c r="AZ16" s="49">
        <v>107</v>
      </c>
      <c r="BA16" s="49">
        <v>11572123</v>
      </c>
      <c r="BB16" s="45">
        <v>11588974</v>
      </c>
      <c r="BC16" s="47">
        <v>14604</v>
      </c>
      <c r="BD16" s="49">
        <v>484</v>
      </c>
      <c r="BE16" s="49">
        <v>0</v>
      </c>
      <c r="BF16" s="49">
        <v>30300008</v>
      </c>
      <c r="BG16" s="45">
        <v>30315096</v>
      </c>
      <c r="BH16" s="47">
        <v>0</v>
      </c>
      <c r="BI16" s="49">
        <v>0</v>
      </c>
      <c r="BJ16" s="49">
        <v>0</v>
      </c>
      <c r="BK16" s="49">
        <v>0</v>
      </c>
      <c r="BL16" s="45">
        <v>0</v>
      </c>
      <c r="BM16" s="47">
        <v>0</v>
      </c>
      <c r="BN16" s="49">
        <v>0</v>
      </c>
      <c r="BO16" s="49">
        <v>0</v>
      </c>
      <c r="BP16" s="49">
        <v>0</v>
      </c>
      <c r="BQ16" s="45">
        <v>0</v>
      </c>
      <c r="BR16" s="47">
        <v>175755</v>
      </c>
      <c r="BS16" s="78">
        <v>795</v>
      </c>
      <c r="BT16" s="49">
        <v>3277</v>
      </c>
      <c r="BU16" s="49">
        <v>57584048</v>
      </c>
      <c r="BV16" s="47">
        <v>57763875</v>
      </c>
      <c r="BW16" s="13"/>
      <c r="BX16" s="266"/>
      <c r="CA16" s="325"/>
      <c r="CB16" s="1"/>
    </row>
    <row r="17" spans="1:80" ht="13.5" x14ac:dyDescent="0.25">
      <c r="A17" s="262">
        <v>11</v>
      </c>
      <c r="B17" s="263" t="s">
        <v>198</v>
      </c>
      <c r="D17" s="267"/>
      <c r="E17" s="79">
        <v>426306</v>
      </c>
      <c r="F17" s="78">
        <v>37799</v>
      </c>
      <c r="G17" s="78">
        <v>4790</v>
      </c>
      <c r="H17" s="78">
        <v>0</v>
      </c>
      <c r="I17" s="45">
        <v>468895</v>
      </c>
      <c r="J17" s="47">
        <v>23789</v>
      </c>
      <c r="K17" s="49">
        <v>2431</v>
      </c>
      <c r="L17" s="49">
        <v>0</v>
      </c>
      <c r="M17" s="49">
        <v>0</v>
      </c>
      <c r="N17" s="45">
        <v>26220</v>
      </c>
      <c r="O17" s="49">
        <v>37006</v>
      </c>
      <c r="P17" s="49">
        <v>2880</v>
      </c>
      <c r="Q17" s="49">
        <v>79</v>
      </c>
      <c r="R17" s="49">
        <v>0</v>
      </c>
      <c r="S17" s="45">
        <v>39965</v>
      </c>
      <c r="T17" s="47">
        <v>27759</v>
      </c>
      <c r="U17" s="49">
        <v>2885</v>
      </c>
      <c r="V17" s="49">
        <v>29</v>
      </c>
      <c r="W17" s="49">
        <v>0</v>
      </c>
      <c r="X17" s="45">
        <v>30673</v>
      </c>
      <c r="Y17" s="47">
        <v>30348</v>
      </c>
      <c r="Z17" s="49">
        <v>5627</v>
      </c>
      <c r="AA17" s="49">
        <v>0</v>
      </c>
      <c r="AB17" s="49">
        <v>0</v>
      </c>
      <c r="AC17" s="45">
        <v>35975</v>
      </c>
      <c r="AD17" s="47">
        <v>40785</v>
      </c>
      <c r="AE17" s="49">
        <v>2560</v>
      </c>
      <c r="AF17" s="49">
        <v>310</v>
      </c>
      <c r="AG17" s="49">
        <v>0</v>
      </c>
      <c r="AH17" s="45">
        <v>43655</v>
      </c>
      <c r="AI17" s="47">
        <v>26108</v>
      </c>
      <c r="AJ17" s="49">
        <v>4134</v>
      </c>
      <c r="AK17" s="49">
        <v>201</v>
      </c>
      <c r="AL17" s="49">
        <v>0</v>
      </c>
      <c r="AM17" s="45">
        <v>30443</v>
      </c>
      <c r="AN17" s="47">
        <v>40149</v>
      </c>
      <c r="AO17" s="49">
        <v>2188</v>
      </c>
      <c r="AP17" s="49">
        <v>30</v>
      </c>
      <c r="AQ17" s="49">
        <v>0</v>
      </c>
      <c r="AR17" s="45">
        <v>42367</v>
      </c>
      <c r="AS17" s="47">
        <v>27972</v>
      </c>
      <c r="AT17" s="49">
        <v>6026</v>
      </c>
      <c r="AU17" s="49">
        <v>160</v>
      </c>
      <c r="AV17" s="49">
        <v>0</v>
      </c>
      <c r="AW17" s="45">
        <v>34158</v>
      </c>
      <c r="AX17" s="47">
        <v>27308</v>
      </c>
      <c r="AY17" s="49">
        <v>3246</v>
      </c>
      <c r="AZ17" s="49">
        <v>-10</v>
      </c>
      <c r="BA17" s="49">
        <v>0</v>
      </c>
      <c r="BB17" s="45">
        <v>30544</v>
      </c>
      <c r="BC17" s="47">
        <v>36817</v>
      </c>
      <c r="BD17" s="49">
        <v>2236</v>
      </c>
      <c r="BE17" s="49">
        <v>416</v>
      </c>
      <c r="BF17" s="49">
        <v>0</v>
      </c>
      <c r="BG17" s="45">
        <v>39469</v>
      </c>
      <c r="BH17" s="47">
        <v>0</v>
      </c>
      <c r="BI17" s="49">
        <v>0</v>
      </c>
      <c r="BJ17" s="49">
        <v>0</v>
      </c>
      <c r="BK17" s="49">
        <v>0</v>
      </c>
      <c r="BL17" s="45">
        <v>0</v>
      </c>
      <c r="BM17" s="47">
        <v>0</v>
      </c>
      <c r="BN17" s="49">
        <v>0</v>
      </c>
      <c r="BO17" s="49">
        <v>0</v>
      </c>
      <c r="BP17" s="49">
        <v>0</v>
      </c>
      <c r="BQ17" s="45">
        <v>0</v>
      </c>
      <c r="BR17" s="47">
        <v>318041</v>
      </c>
      <c r="BS17" s="78">
        <v>34213</v>
      </c>
      <c r="BT17" s="49">
        <v>1215</v>
      </c>
      <c r="BU17" s="49">
        <v>0</v>
      </c>
      <c r="BV17" s="47">
        <v>353469</v>
      </c>
      <c r="BW17" s="13"/>
      <c r="BX17" s="266"/>
      <c r="CA17" s="325"/>
      <c r="CB17" s="1"/>
    </row>
    <row r="18" spans="1:80" ht="13.5" x14ac:dyDescent="0.25">
      <c r="A18" s="262">
        <v>12</v>
      </c>
      <c r="B18" s="240" t="s">
        <v>199</v>
      </c>
      <c r="D18" s="264"/>
      <c r="E18" s="79">
        <v>272248</v>
      </c>
      <c r="F18" s="78">
        <v>498</v>
      </c>
      <c r="G18" s="78">
        <v>1034</v>
      </c>
      <c r="H18" s="78">
        <v>0</v>
      </c>
      <c r="I18" s="45">
        <v>273780</v>
      </c>
      <c r="J18" s="47">
        <v>17330</v>
      </c>
      <c r="K18" s="49">
        <v>0</v>
      </c>
      <c r="L18" s="49">
        <v>8</v>
      </c>
      <c r="M18" s="49">
        <v>0</v>
      </c>
      <c r="N18" s="45">
        <v>17338</v>
      </c>
      <c r="O18" s="49">
        <v>21158</v>
      </c>
      <c r="P18" s="49">
        <v>127</v>
      </c>
      <c r="Q18" s="49">
        <v>22</v>
      </c>
      <c r="R18" s="49">
        <v>0</v>
      </c>
      <c r="S18" s="45">
        <v>21307</v>
      </c>
      <c r="T18" s="47">
        <v>19149</v>
      </c>
      <c r="U18" s="49">
        <v>0</v>
      </c>
      <c r="V18" s="49">
        <v>244</v>
      </c>
      <c r="W18" s="49">
        <v>0</v>
      </c>
      <c r="X18" s="45">
        <v>19393</v>
      </c>
      <c r="Y18" s="47">
        <v>21544</v>
      </c>
      <c r="Z18" s="49">
        <v>13</v>
      </c>
      <c r="AA18" s="49">
        <v>39</v>
      </c>
      <c r="AB18" s="49">
        <v>0</v>
      </c>
      <c r="AC18" s="45">
        <v>21596</v>
      </c>
      <c r="AD18" s="47">
        <v>22178</v>
      </c>
      <c r="AE18" s="49">
        <v>104</v>
      </c>
      <c r="AF18" s="49">
        <v>265</v>
      </c>
      <c r="AG18" s="49">
        <v>0</v>
      </c>
      <c r="AH18" s="45">
        <v>22547</v>
      </c>
      <c r="AI18" s="47">
        <v>20797</v>
      </c>
      <c r="AJ18" s="49">
        <v>95</v>
      </c>
      <c r="AK18" s="49">
        <v>355</v>
      </c>
      <c r="AL18" s="49">
        <v>0</v>
      </c>
      <c r="AM18" s="45">
        <v>21247</v>
      </c>
      <c r="AN18" s="47">
        <v>23648</v>
      </c>
      <c r="AO18" s="49">
        <v>455</v>
      </c>
      <c r="AP18" s="49">
        <v>110</v>
      </c>
      <c r="AQ18" s="49">
        <v>0</v>
      </c>
      <c r="AR18" s="45">
        <v>24213</v>
      </c>
      <c r="AS18" s="47">
        <v>19325</v>
      </c>
      <c r="AT18" s="49">
        <v>247</v>
      </c>
      <c r="AU18" s="49">
        <v>2864</v>
      </c>
      <c r="AV18" s="49">
        <v>0</v>
      </c>
      <c r="AW18" s="45">
        <v>22436</v>
      </c>
      <c r="AX18" s="47">
        <v>20891</v>
      </c>
      <c r="AY18" s="49">
        <v>0</v>
      </c>
      <c r="AZ18" s="49">
        <v>70</v>
      </c>
      <c r="BA18" s="49">
        <v>0</v>
      </c>
      <c r="BB18" s="45">
        <v>20961</v>
      </c>
      <c r="BC18" s="47">
        <v>17556</v>
      </c>
      <c r="BD18" s="49">
        <v>581</v>
      </c>
      <c r="BE18" s="49">
        <v>29</v>
      </c>
      <c r="BF18" s="49">
        <v>0</v>
      </c>
      <c r="BG18" s="45">
        <v>18166</v>
      </c>
      <c r="BH18" s="47">
        <v>0</v>
      </c>
      <c r="BI18" s="49">
        <v>0</v>
      </c>
      <c r="BJ18" s="49">
        <v>0</v>
      </c>
      <c r="BK18" s="49">
        <v>0</v>
      </c>
      <c r="BL18" s="45">
        <v>0</v>
      </c>
      <c r="BM18" s="47">
        <v>0</v>
      </c>
      <c r="BN18" s="49">
        <v>0</v>
      </c>
      <c r="BO18" s="49">
        <v>0</v>
      </c>
      <c r="BP18" s="49">
        <v>0</v>
      </c>
      <c r="BQ18" s="45">
        <v>0</v>
      </c>
      <c r="BR18" s="47">
        <v>203576</v>
      </c>
      <c r="BS18" s="78">
        <v>1622</v>
      </c>
      <c r="BT18" s="49">
        <v>4006</v>
      </c>
      <c r="BU18" s="49">
        <v>0</v>
      </c>
      <c r="BV18" s="47">
        <v>209204</v>
      </c>
      <c r="BW18" s="13"/>
      <c r="BX18" s="266"/>
      <c r="CA18" s="325"/>
      <c r="CB18" s="1"/>
    </row>
    <row r="19" spans="1:80" ht="13.5" x14ac:dyDescent="0.25">
      <c r="A19" s="262">
        <v>13</v>
      </c>
      <c r="B19" s="240" t="s">
        <v>200</v>
      </c>
      <c r="D19" s="264"/>
      <c r="E19" s="79">
        <v>924895</v>
      </c>
      <c r="F19" s="78">
        <v>6788737</v>
      </c>
      <c r="G19" s="78">
        <v>10747</v>
      </c>
      <c r="H19" s="78">
        <v>0</v>
      </c>
      <c r="I19" s="45">
        <v>7724379</v>
      </c>
      <c r="J19" s="47">
        <v>53437</v>
      </c>
      <c r="K19" s="49">
        <v>1418670</v>
      </c>
      <c r="L19" s="49">
        <v>2</v>
      </c>
      <c r="M19" s="49">
        <v>0</v>
      </c>
      <c r="N19" s="45">
        <v>1472109</v>
      </c>
      <c r="O19" s="49">
        <v>44492</v>
      </c>
      <c r="P19" s="49">
        <v>138060</v>
      </c>
      <c r="Q19" s="49">
        <v>16</v>
      </c>
      <c r="R19" s="49"/>
      <c r="S19" s="45">
        <v>182568</v>
      </c>
      <c r="T19" s="47">
        <v>49357</v>
      </c>
      <c r="U19" s="49">
        <v>143523</v>
      </c>
      <c r="V19" s="49">
        <v>66</v>
      </c>
      <c r="W19" s="49"/>
      <c r="X19" s="45">
        <v>192946</v>
      </c>
      <c r="Y19" s="47">
        <v>52009</v>
      </c>
      <c r="Z19" s="49">
        <v>1101032</v>
      </c>
      <c r="AA19" s="49">
        <v>121</v>
      </c>
      <c r="AB19" s="49"/>
      <c r="AC19" s="45">
        <v>1153162</v>
      </c>
      <c r="AD19" s="47">
        <v>71641</v>
      </c>
      <c r="AE19" s="49">
        <v>304539</v>
      </c>
      <c r="AF19" s="49">
        <v>712</v>
      </c>
      <c r="AG19" s="49">
        <v>0</v>
      </c>
      <c r="AH19" s="45">
        <v>376892</v>
      </c>
      <c r="AI19" s="47">
        <v>60660</v>
      </c>
      <c r="AJ19" s="49">
        <v>203771</v>
      </c>
      <c r="AK19" s="49">
        <v>225</v>
      </c>
      <c r="AL19" s="49">
        <v>0</v>
      </c>
      <c r="AM19" s="45">
        <v>264656</v>
      </c>
      <c r="AN19" s="47">
        <v>56838</v>
      </c>
      <c r="AO19" s="49">
        <v>1307639</v>
      </c>
      <c r="AP19" s="49">
        <v>448</v>
      </c>
      <c r="AQ19" s="49">
        <v>0</v>
      </c>
      <c r="AR19" s="45">
        <v>1364925</v>
      </c>
      <c r="AS19" s="47">
        <v>59973</v>
      </c>
      <c r="AT19" s="49">
        <v>221375</v>
      </c>
      <c r="AU19" s="49">
        <v>-296</v>
      </c>
      <c r="AV19" s="49">
        <v>0</v>
      </c>
      <c r="AW19" s="45">
        <v>281052</v>
      </c>
      <c r="AX19" s="47">
        <v>63569</v>
      </c>
      <c r="AY19" s="49">
        <v>231114</v>
      </c>
      <c r="AZ19" s="49">
        <v>86</v>
      </c>
      <c r="BA19" s="49">
        <v>0</v>
      </c>
      <c r="BB19" s="45">
        <v>294769</v>
      </c>
      <c r="BC19" s="47">
        <v>45399</v>
      </c>
      <c r="BD19" s="49">
        <v>106613</v>
      </c>
      <c r="BE19" s="49">
        <v>13</v>
      </c>
      <c r="BF19" s="49"/>
      <c r="BG19" s="45">
        <v>152025</v>
      </c>
      <c r="BH19" s="47"/>
      <c r="BI19" s="49"/>
      <c r="BJ19" s="49"/>
      <c r="BK19" s="49"/>
      <c r="BL19" s="45"/>
      <c r="BM19" s="47"/>
      <c r="BN19" s="49"/>
      <c r="BO19" s="49"/>
      <c r="BP19" s="49"/>
      <c r="BQ19" s="45"/>
      <c r="BR19" s="47">
        <v>557375</v>
      </c>
      <c r="BS19" s="78">
        <v>5176336</v>
      </c>
      <c r="BT19" s="49">
        <v>1393</v>
      </c>
      <c r="BU19" s="49">
        <v>0</v>
      </c>
      <c r="BV19" s="47">
        <v>5735104</v>
      </c>
      <c r="BW19" s="13"/>
      <c r="BX19" s="266"/>
      <c r="CA19" s="325"/>
      <c r="CB19" s="1"/>
    </row>
    <row r="20" spans="1:80" ht="13.5" x14ac:dyDescent="0.25">
      <c r="A20" s="262">
        <v>14</v>
      </c>
      <c r="B20" s="263" t="s">
        <v>201</v>
      </c>
      <c r="D20" s="267"/>
      <c r="E20" s="79">
        <v>2810535</v>
      </c>
      <c r="F20" s="78">
        <v>6490</v>
      </c>
      <c r="G20" s="78">
        <v>314548</v>
      </c>
      <c r="H20" s="78">
        <v>0</v>
      </c>
      <c r="I20" s="45">
        <v>3131573</v>
      </c>
      <c r="J20" s="47">
        <v>135367</v>
      </c>
      <c r="K20" s="49">
        <v>0</v>
      </c>
      <c r="L20" s="49">
        <v>21881</v>
      </c>
      <c r="M20" s="49">
        <v>0</v>
      </c>
      <c r="N20" s="45">
        <v>157248</v>
      </c>
      <c r="O20" s="49">
        <v>140643</v>
      </c>
      <c r="P20" s="49">
        <v>5487</v>
      </c>
      <c r="Q20" s="49">
        <v>21894</v>
      </c>
      <c r="R20" s="49">
        <v>0</v>
      </c>
      <c r="S20" s="45">
        <v>168024</v>
      </c>
      <c r="T20" s="47">
        <v>137614</v>
      </c>
      <c r="U20" s="49">
        <v>53</v>
      </c>
      <c r="V20" s="49">
        <v>24192</v>
      </c>
      <c r="W20" s="49">
        <v>0</v>
      </c>
      <c r="X20" s="45">
        <v>161859</v>
      </c>
      <c r="Y20" s="47">
        <v>155245</v>
      </c>
      <c r="Z20" s="49">
        <v>6</v>
      </c>
      <c r="AA20" s="49">
        <v>22088</v>
      </c>
      <c r="AB20" s="49">
        <v>0</v>
      </c>
      <c r="AC20" s="45">
        <v>177339</v>
      </c>
      <c r="AD20" s="47">
        <v>178565</v>
      </c>
      <c r="AE20" s="49">
        <v>752</v>
      </c>
      <c r="AF20" s="49">
        <v>25970</v>
      </c>
      <c r="AG20" s="49">
        <v>0</v>
      </c>
      <c r="AH20" s="45">
        <v>205287</v>
      </c>
      <c r="AI20" s="47">
        <v>208686</v>
      </c>
      <c r="AJ20" s="49">
        <v>111</v>
      </c>
      <c r="AK20" s="49">
        <v>24989</v>
      </c>
      <c r="AL20" s="49">
        <v>0</v>
      </c>
      <c r="AM20" s="45">
        <v>233786</v>
      </c>
      <c r="AN20" s="47">
        <v>142374</v>
      </c>
      <c r="AO20" s="49">
        <v>332</v>
      </c>
      <c r="AP20" s="49">
        <v>36851</v>
      </c>
      <c r="AQ20" s="49">
        <v>0</v>
      </c>
      <c r="AR20" s="45">
        <v>179557</v>
      </c>
      <c r="AS20" s="47">
        <v>166932</v>
      </c>
      <c r="AT20" s="49">
        <v>336</v>
      </c>
      <c r="AU20" s="49">
        <v>22607</v>
      </c>
      <c r="AV20" s="49">
        <v>0</v>
      </c>
      <c r="AW20" s="45">
        <v>189875</v>
      </c>
      <c r="AX20" s="47">
        <v>154379</v>
      </c>
      <c r="AY20" s="49">
        <v>367</v>
      </c>
      <c r="AZ20" s="49">
        <v>22067</v>
      </c>
      <c r="BA20" s="49">
        <v>0</v>
      </c>
      <c r="BB20" s="45">
        <v>176813</v>
      </c>
      <c r="BC20" s="47">
        <v>141133</v>
      </c>
      <c r="BD20" s="49">
        <v>483</v>
      </c>
      <c r="BE20" s="49">
        <v>25521</v>
      </c>
      <c r="BF20" s="49">
        <v>0</v>
      </c>
      <c r="BG20" s="45">
        <v>167137</v>
      </c>
      <c r="BH20" s="47">
        <v>0</v>
      </c>
      <c r="BI20" s="49">
        <v>0</v>
      </c>
      <c r="BJ20" s="49">
        <v>0</v>
      </c>
      <c r="BK20" s="49">
        <v>0</v>
      </c>
      <c r="BL20" s="45">
        <v>0</v>
      </c>
      <c r="BM20" s="47">
        <v>0</v>
      </c>
      <c r="BN20" s="49">
        <v>0</v>
      </c>
      <c r="BO20" s="49">
        <v>0</v>
      </c>
      <c r="BP20" s="49">
        <v>0</v>
      </c>
      <c r="BQ20" s="45">
        <v>0</v>
      </c>
      <c r="BR20" s="47">
        <v>1560938</v>
      </c>
      <c r="BS20" s="78">
        <v>7927</v>
      </c>
      <c r="BT20" s="49">
        <v>248060</v>
      </c>
      <c r="BU20" s="49">
        <v>0</v>
      </c>
      <c r="BV20" s="47">
        <v>1816925</v>
      </c>
      <c r="BW20" s="13"/>
      <c r="BX20" s="266"/>
      <c r="CA20" s="325"/>
      <c r="CB20" s="1"/>
    </row>
    <row r="21" spans="1:80" ht="13.5" x14ac:dyDescent="0.25">
      <c r="A21" s="262">
        <v>15</v>
      </c>
      <c r="B21" s="263" t="s">
        <v>202</v>
      </c>
      <c r="D21" s="267"/>
      <c r="E21" s="79">
        <v>112772</v>
      </c>
      <c r="F21" s="78">
        <v>46058</v>
      </c>
      <c r="G21" s="78">
        <v>2855</v>
      </c>
      <c r="H21" s="78">
        <v>0</v>
      </c>
      <c r="I21" s="45">
        <v>161685</v>
      </c>
      <c r="J21" s="47">
        <v>7125</v>
      </c>
      <c r="K21" s="49">
        <v>11929</v>
      </c>
      <c r="L21" s="49">
        <v>63</v>
      </c>
      <c r="M21" s="49">
        <v>0</v>
      </c>
      <c r="N21" s="45">
        <v>19117</v>
      </c>
      <c r="O21" s="49">
        <v>6020</v>
      </c>
      <c r="P21" s="49">
        <v>9</v>
      </c>
      <c r="Q21" s="49">
        <v>51</v>
      </c>
      <c r="R21" s="49"/>
      <c r="S21" s="45">
        <v>6080</v>
      </c>
      <c r="T21" s="47">
        <v>5988</v>
      </c>
      <c r="U21" s="49">
        <v>0</v>
      </c>
      <c r="V21" s="49">
        <v>50</v>
      </c>
      <c r="W21" s="49">
        <v>0</v>
      </c>
      <c r="X21" s="45">
        <v>6038</v>
      </c>
      <c r="Y21" s="47">
        <v>6671</v>
      </c>
      <c r="Z21" s="49">
        <v>11912</v>
      </c>
      <c r="AA21" s="49">
        <v>62</v>
      </c>
      <c r="AB21" s="49"/>
      <c r="AC21" s="45">
        <v>18645</v>
      </c>
      <c r="AD21" s="47">
        <v>6661</v>
      </c>
      <c r="AE21" s="49">
        <v>0</v>
      </c>
      <c r="AF21" s="49">
        <v>49</v>
      </c>
      <c r="AG21" s="49">
        <v>0</v>
      </c>
      <c r="AH21" s="45">
        <v>6710</v>
      </c>
      <c r="AI21" s="47">
        <v>7707</v>
      </c>
      <c r="AJ21" s="49">
        <v>2</v>
      </c>
      <c r="AK21" s="49">
        <v>49</v>
      </c>
      <c r="AL21" s="49">
        <v>0</v>
      </c>
      <c r="AM21" s="45">
        <v>7758</v>
      </c>
      <c r="AN21" s="47">
        <v>7614</v>
      </c>
      <c r="AO21" s="49">
        <v>10</v>
      </c>
      <c r="AP21" s="49">
        <v>0</v>
      </c>
      <c r="AQ21" s="49">
        <v>0</v>
      </c>
      <c r="AR21" s="45">
        <v>7624</v>
      </c>
      <c r="AS21" s="47">
        <v>6786</v>
      </c>
      <c r="AT21" s="49">
        <v>11915</v>
      </c>
      <c r="AU21" s="49">
        <v>98</v>
      </c>
      <c r="AV21" s="49">
        <v>0</v>
      </c>
      <c r="AW21" s="45">
        <v>18799</v>
      </c>
      <c r="AX21" s="47">
        <v>7998</v>
      </c>
      <c r="AY21" s="49">
        <v>1087</v>
      </c>
      <c r="AZ21" s="49">
        <v>429</v>
      </c>
      <c r="BA21" s="49">
        <v>0</v>
      </c>
      <c r="BB21" s="45">
        <v>9514</v>
      </c>
      <c r="BC21" s="47">
        <v>7050</v>
      </c>
      <c r="BD21" s="49">
        <v>10300</v>
      </c>
      <c r="BE21" s="49">
        <v>54</v>
      </c>
      <c r="BF21" s="49"/>
      <c r="BG21" s="45">
        <v>17404</v>
      </c>
      <c r="BH21" s="47"/>
      <c r="BI21" s="49"/>
      <c r="BJ21" s="49"/>
      <c r="BK21" s="49"/>
      <c r="BL21" s="45"/>
      <c r="BM21" s="47"/>
      <c r="BN21" s="49"/>
      <c r="BO21" s="49"/>
      <c r="BP21" s="49"/>
      <c r="BQ21" s="45"/>
      <c r="BR21" s="47">
        <v>69620</v>
      </c>
      <c r="BS21" s="78">
        <v>47164</v>
      </c>
      <c r="BT21" s="49">
        <v>905</v>
      </c>
      <c r="BU21" s="49">
        <v>0</v>
      </c>
      <c r="BV21" s="47">
        <v>117689</v>
      </c>
      <c r="BW21" s="13"/>
      <c r="BX21" s="266"/>
      <c r="CA21" s="325"/>
      <c r="CB21" s="1"/>
    </row>
    <row r="22" spans="1:80" ht="13.5" x14ac:dyDescent="0.25">
      <c r="A22" s="262">
        <v>16</v>
      </c>
      <c r="B22" s="263" t="s">
        <v>203</v>
      </c>
      <c r="D22" s="264"/>
      <c r="E22" s="79">
        <v>2347809</v>
      </c>
      <c r="F22" s="78">
        <v>18794943</v>
      </c>
      <c r="G22" s="78">
        <v>2252220</v>
      </c>
      <c r="H22" s="78">
        <v>0</v>
      </c>
      <c r="I22" s="45">
        <v>23394972</v>
      </c>
      <c r="J22" s="47">
        <v>57684</v>
      </c>
      <c r="K22" s="49">
        <v>3109719</v>
      </c>
      <c r="L22" s="49">
        <v>8522</v>
      </c>
      <c r="M22" s="49">
        <v>0</v>
      </c>
      <c r="N22" s="45">
        <v>3175925</v>
      </c>
      <c r="O22" s="49">
        <v>65633</v>
      </c>
      <c r="P22" s="49">
        <v>3568074</v>
      </c>
      <c r="Q22" s="49">
        <v>4480</v>
      </c>
      <c r="R22" s="49">
        <v>0</v>
      </c>
      <c r="S22" s="45">
        <v>3638187</v>
      </c>
      <c r="T22" s="47">
        <v>68020</v>
      </c>
      <c r="U22" s="49">
        <v>722524</v>
      </c>
      <c r="V22" s="49">
        <v>16584</v>
      </c>
      <c r="W22" s="49">
        <v>0</v>
      </c>
      <c r="X22" s="45">
        <v>807128</v>
      </c>
      <c r="Y22" s="47">
        <v>102392</v>
      </c>
      <c r="Z22" s="49">
        <v>1439251</v>
      </c>
      <c r="AA22" s="49">
        <v>2348</v>
      </c>
      <c r="AB22" s="49">
        <v>0</v>
      </c>
      <c r="AC22" s="45">
        <v>1543991</v>
      </c>
      <c r="AD22" s="47">
        <v>104252</v>
      </c>
      <c r="AE22" s="49">
        <v>2486319</v>
      </c>
      <c r="AF22" s="49">
        <v>16033</v>
      </c>
      <c r="AG22" s="49">
        <v>0</v>
      </c>
      <c r="AH22" s="45">
        <v>2606604</v>
      </c>
      <c r="AI22" s="47">
        <v>497990</v>
      </c>
      <c r="AJ22" s="49">
        <v>568575</v>
      </c>
      <c r="AK22" s="49">
        <v>12138</v>
      </c>
      <c r="AL22" s="49">
        <v>181</v>
      </c>
      <c r="AM22" s="45">
        <v>1078884</v>
      </c>
      <c r="AN22" s="47">
        <v>162767</v>
      </c>
      <c r="AO22" s="49">
        <v>1275278</v>
      </c>
      <c r="AP22" s="49">
        <v>324702</v>
      </c>
      <c r="AQ22" s="49">
        <v>1</v>
      </c>
      <c r="AR22" s="45">
        <v>1762748</v>
      </c>
      <c r="AS22" s="47">
        <v>190512</v>
      </c>
      <c r="AT22" s="49">
        <v>1992545</v>
      </c>
      <c r="AU22" s="49">
        <v>151348</v>
      </c>
      <c r="AV22" s="49">
        <v>211</v>
      </c>
      <c r="AW22" s="45">
        <v>2334616</v>
      </c>
      <c r="AX22" s="47">
        <v>656287</v>
      </c>
      <c r="AY22" s="49">
        <v>729858</v>
      </c>
      <c r="AZ22" s="49">
        <v>69042</v>
      </c>
      <c r="BA22" s="49">
        <v>9</v>
      </c>
      <c r="BB22" s="45">
        <v>1455196</v>
      </c>
      <c r="BC22" s="47">
        <v>67001</v>
      </c>
      <c r="BD22" s="49">
        <v>2753472</v>
      </c>
      <c r="BE22" s="49">
        <v>69735</v>
      </c>
      <c r="BF22" s="49">
        <v>0</v>
      </c>
      <c r="BG22" s="45">
        <v>2890208</v>
      </c>
      <c r="BH22" s="47">
        <v>0</v>
      </c>
      <c r="BI22" s="49">
        <v>0</v>
      </c>
      <c r="BJ22" s="49">
        <v>0</v>
      </c>
      <c r="BK22" s="49">
        <v>0</v>
      </c>
      <c r="BL22" s="45">
        <v>0</v>
      </c>
      <c r="BM22" s="47">
        <v>0</v>
      </c>
      <c r="BN22" s="49">
        <v>0</v>
      </c>
      <c r="BO22" s="49">
        <v>0</v>
      </c>
      <c r="BP22" s="49">
        <v>0</v>
      </c>
      <c r="BQ22" s="45">
        <v>0</v>
      </c>
      <c r="BR22" s="47">
        <v>1972538</v>
      </c>
      <c r="BS22" s="78">
        <v>18645615</v>
      </c>
      <c r="BT22" s="49">
        <v>674932</v>
      </c>
      <c r="BU22" s="49">
        <v>402</v>
      </c>
      <c r="BV22" s="47">
        <v>21293487</v>
      </c>
      <c r="BW22" s="13"/>
      <c r="BX22" s="266"/>
      <c r="CA22" s="325"/>
      <c r="CB22" s="1"/>
    </row>
    <row r="23" spans="1:80" ht="13.5" x14ac:dyDescent="0.25">
      <c r="A23" s="262">
        <v>17</v>
      </c>
      <c r="B23" s="263" t="s">
        <v>204</v>
      </c>
      <c r="D23" s="264"/>
      <c r="E23" s="79">
        <v>10079650</v>
      </c>
      <c r="F23" s="78">
        <v>83992019</v>
      </c>
      <c r="G23" s="78">
        <v>23275</v>
      </c>
      <c r="H23" s="78">
        <v>0</v>
      </c>
      <c r="I23" s="45">
        <v>94094944</v>
      </c>
      <c r="J23" s="47">
        <v>700086</v>
      </c>
      <c r="K23" s="49">
        <v>18750650</v>
      </c>
      <c r="L23" s="49">
        <v>12</v>
      </c>
      <c r="M23" s="49">
        <v>0</v>
      </c>
      <c r="N23" s="45">
        <v>19450748</v>
      </c>
      <c r="O23" s="49">
        <v>714467</v>
      </c>
      <c r="P23" s="49">
        <v>10026372</v>
      </c>
      <c r="Q23" s="49">
        <v>5494</v>
      </c>
      <c r="R23" s="49">
        <v>0</v>
      </c>
      <c r="S23" s="45">
        <v>10746333</v>
      </c>
      <c r="T23" s="47">
        <v>713268</v>
      </c>
      <c r="U23" s="49">
        <v>7889601</v>
      </c>
      <c r="V23" s="49">
        <v>685</v>
      </c>
      <c r="W23" s="49">
        <v>0</v>
      </c>
      <c r="X23" s="45">
        <v>8603554</v>
      </c>
      <c r="Y23" s="47">
        <v>732364</v>
      </c>
      <c r="Z23" s="49">
        <v>197468</v>
      </c>
      <c r="AA23" s="49">
        <v>1171</v>
      </c>
      <c r="AB23" s="49">
        <v>0</v>
      </c>
      <c r="AC23" s="45">
        <v>931003</v>
      </c>
      <c r="AD23" s="47">
        <v>739254</v>
      </c>
      <c r="AE23" s="49">
        <v>20754593</v>
      </c>
      <c r="AF23" s="49">
        <v>-3945</v>
      </c>
      <c r="AG23" s="49">
        <v>0</v>
      </c>
      <c r="AH23" s="45">
        <v>21489902</v>
      </c>
      <c r="AI23" s="47">
        <v>843420</v>
      </c>
      <c r="AJ23" s="49">
        <v>11829174</v>
      </c>
      <c r="AK23" s="49">
        <v>-551</v>
      </c>
      <c r="AL23" s="49">
        <v>2</v>
      </c>
      <c r="AM23" s="45">
        <v>12672045</v>
      </c>
      <c r="AN23" s="47">
        <v>723492</v>
      </c>
      <c r="AO23" s="49">
        <v>5551232</v>
      </c>
      <c r="AP23" s="49">
        <v>1021</v>
      </c>
      <c r="AQ23" s="49">
        <v>0</v>
      </c>
      <c r="AR23" s="45">
        <v>6275745</v>
      </c>
      <c r="AS23" s="47">
        <v>754890</v>
      </c>
      <c r="AT23" s="49">
        <v>5384260</v>
      </c>
      <c r="AU23" s="49">
        <v>529</v>
      </c>
      <c r="AV23" s="49">
        <v>0</v>
      </c>
      <c r="AW23" s="45">
        <v>6139679</v>
      </c>
      <c r="AX23" s="47">
        <v>882226</v>
      </c>
      <c r="AY23" s="49">
        <v>221355</v>
      </c>
      <c r="AZ23" s="49">
        <v>231</v>
      </c>
      <c r="BA23" s="49">
        <v>0</v>
      </c>
      <c r="BB23" s="45">
        <v>1103812</v>
      </c>
      <c r="BC23" s="47">
        <v>711134</v>
      </c>
      <c r="BD23" s="49">
        <v>1808230</v>
      </c>
      <c r="BE23" s="49">
        <v>190</v>
      </c>
      <c r="BF23" s="49">
        <v>0</v>
      </c>
      <c r="BG23" s="45">
        <v>2519554</v>
      </c>
      <c r="BH23" s="47">
        <v>0</v>
      </c>
      <c r="BI23" s="49">
        <v>0</v>
      </c>
      <c r="BJ23" s="49">
        <v>0</v>
      </c>
      <c r="BK23" s="49">
        <v>0</v>
      </c>
      <c r="BL23" s="45">
        <v>0</v>
      </c>
      <c r="BM23" s="47">
        <v>0</v>
      </c>
      <c r="BN23" s="49">
        <v>0</v>
      </c>
      <c r="BO23" s="49">
        <v>0</v>
      </c>
      <c r="BP23" s="49">
        <v>0</v>
      </c>
      <c r="BQ23" s="45">
        <v>0</v>
      </c>
      <c r="BR23" s="47">
        <v>7514601</v>
      </c>
      <c r="BS23" s="78">
        <v>82412935</v>
      </c>
      <c r="BT23" s="49">
        <v>4837</v>
      </c>
      <c r="BU23" s="49">
        <v>2</v>
      </c>
      <c r="BV23" s="47">
        <v>89932375</v>
      </c>
      <c r="BW23" s="13"/>
      <c r="BX23" s="266"/>
      <c r="CA23" s="325"/>
      <c r="CB23" s="1"/>
    </row>
    <row r="24" spans="1:80" ht="13.5" x14ac:dyDescent="0.25">
      <c r="A24" s="262">
        <v>18</v>
      </c>
      <c r="B24" s="263" t="s">
        <v>205</v>
      </c>
      <c r="D24" s="269"/>
      <c r="E24" s="79">
        <v>3090429</v>
      </c>
      <c r="F24" s="78">
        <v>54166534</v>
      </c>
      <c r="G24" s="78">
        <v>795633</v>
      </c>
      <c r="H24" s="78">
        <v>0</v>
      </c>
      <c r="I24" s="45">
        <v>58052596</v>
      </c>
      <c r="J24" s="47">
        <v>160993</v>
      </c>
      <c r="K24" s="49">
        <v>5064136</v>
      </c>
      <c r="L24" s="49">
        <v>41738</v>
      </c>
      <c r="M24" s="49">
        <v>0</v>
      </c>
      <c r="N24" s="45">
        <v>5266867</v>
      </c>
      <c r="O24" s="49">
        <v>214485</v>
      </c>
      <c r="P24" s="49">
        <v>3604496</v>
      </c>
      <c r="Q24" s="49">
        <v>406945</v>
      </c>
      <c r="R24" s="49">
        <v>0</v>
      </c>
      <c r="S24" s="45">
        <v>4225926</v>
      </c>
      <c r="T24" s="47">
        <v>151588</v>
      </c>
      <c r="U24" s="49">
        <v>3760201</v>
      </c>
      <c r="V24" s="49">
        <v>-330458</v>
      </c>
      <c r="W24" s="49">
        <v>0</v>
      </c>
      <c r="X24" s="45">
        <v>3581331</v>
      </c>
      <c r="Y24" s="47">
        <v>253655</v>
      </c>
      <c r="Z24" s="49">
        <v>5610378</v>
      </c>
      <c r="AA24" s="49">
        <v>217497</v>
      </c>
      <c r="AB24" s="49">
        <v>0</v>
      </c>
      <c r="AC24" s="45">
        <v>6081530</v>
      </c>
      <c r="AD24" s="47">
        <v>161946</v>
      </c>
      <c r="AE24" s="49">
        <v>4026359</v>
      </c>
      <c r="AF24" s="49">
        <v>49127</v>
      </c>
      <c r="AG24" s="49">
        <v>0</v>
      </c>
      <c r="AH24" s="45">
        <v>4237432</v>
      </c>
      <c r="AI24" s="47">
        <v>199306</v>
      </c>
      <c r="AJ24" s="49">
        <v>3846099</v>
      </c>
      <c r="AK24" s="49">
        <v>14444</v>
      </c>
      <c r="AL24" s="49">
        <v>0</v>
      </c>
      <c r="AM24" s="45">
        <v>4059849</v>
      </c>
      <c r="AN24" s="47">
        <v>160032</v>
      </c>
      <c r="AO24" s="49">
        <v>5995795</v>
      </c>
      <c r="AP24" s="49">
        <v>38207</v>
      </c>
      <c r="AQ24" s="49">
        <v>0</v>
      </c>
      <c r="AR24" s="45">
        <v>6194034</v>
      </c>
      <c r="AS24" s="47">
        <v>273288</v>
      </c>
      <c r="AT24" s="49">
        <v>3960471</v>
      </c>
      <c r="AU24" s="49">
        <v>127610</v>
      </c>
      <c r="AV24" s="49">
        <v>0</v>
      </c>
      <c r="AW24" s="45">
        <v>4361369</v>
      </c>
      <c r="AX24" s="47">
        <v>140230</v>
      </c>
      <c r="AY24" s="49">
        <v>4081249</v>
      </c>
      <c r="AZ24" s="49">
        <v>65124</v>
      </c>
      <c r="BA24" s="49">
        <v>0</v>
      </c>
      <c r="BB24" s="45">
        <v>4286603</v>
      </c>
      <c r="BC24" s="47">
        <v>194221</v>
      </c>
      <c r="BD24" s="49">
        <v>6328023</v>
      </c>
      <c r="BE24" s="49">
        <v>5768</v>
      </c>
      <c r="BF24" s="49">
        <v>0</v>
      </c>
      <c r="BG24" s="45">
        <v>6528012</v>
      </c>
      <c r="BH24" s="47">
        <v>0</v>
      </c>
      <c r="BI24" s="49">
        <v>0</v>
      </c>
      <c r="BJ24" s="49">
        <v>0</v>
      </c>
      <c r="BK24" s="49">
        <v>0</v>
      </c>
      <c r="BL24" s="45">
        <v>0</v>
      </c>
      <c r="BM24" s="47">
        <v>0</v>
      </c>
      <c r="BN24" s="49">
        <v>0</v>
      </c>
      <c r="BO24" s="49">
        <v>0</v>
      </c>
      <c r="BP24" s="49">
        <v>0</v>
      </c>
      <c r="BQ24" s="45">
        <v>0</v>
      </c>
      <c r="BR24" s="47">
        <v>1909744</v>
      </c>
      <c r="BS24" s="78">
        <v>46277207</v>
      </c>
      <c r="BT24" s="49">
        <v>636002</v>
      </c>
      <c r="BU24" s="49">
        <v>0</v>
      </c>
      <c r="BV24" s="47">
        <v>48822953</v>
      </c>
      <c r="BW24" s="13"/>
      <c r="BX24" s="268"/>
      <c r="CA24" s="325"/>
      <c r="CB24" s="1"/>
    </row>
    <row r="25" spans="1:80" ht="13.5" x14ac:dyDescent="0.25">
      <c r="A25" s="271">
        <v>19</v>
      </c>
      <c r="B25" s="272" t="s">
        <v>206</v>
      </c>
      <c r="D25" s="267" t="s">
        <v>62</v>
      </c>
      <c r="E25" s="79">
        <v>999530</v>
      </c>
      <c r="F25" s="78">
        <v>229795842</v>
      </c>
      <c r="G25" s="78">
        <v>11926</v>
      </c>
      <c r="H25" s="78">
        <v>0</v>
      </c>
      <c r="I25" s="45">
        <v>230807298</v>
      </c>
      <c r="J25" s="47">
        <v>43998</v>
      </c>
      <c r="K25" s="49">
        <v>855041</v>
      </c>
      <c r="L25" s="49">
        <v>0</v>
      </c>
      <c r="M25" s="49">
        <v>0</v>
      </c>
      <c r="N25" s="45">
        <v>899039</v>
      </c>
      <c r="O25" s="49">
        <v>60471</v>
      </c>
      <c r="P25" s="49">
        <v>21334558</v>
      </c>
      <c r="Q25" s="49">
        <v>85</v>
      </c>
      <c r="R25" s="49">
        <v>0</v>
      </c>
      <c r="S25" s="45">
        <v>21395114</v>
      </c>
      <c r="T25" s="47">
        <v>56813</v>
      </c>
      <c r="U25" s="49">
        <v>21174112</v>
      </c>
      <c r="V25" s="49">
        <v>627</v>
      </c>
      <c r="W25" s="49">
        <v>0</v>
      </c>
      <c r="X25" s="45">
        <v>21231552</v>
      </c>
      <c r="Y25" s="47">
        <v>61229</v>
      </c>
      <c r="Z25" s="49">
        <v>33784073</v>
      </c>
      <c r="AA25" s="49">
        <v>1609</v>
      </c>
      <c r="AB25" s="49">
        <v>0</v>
      </c>
      <c r="AC25" s="45">
        <v>33846911</v>
      </c>
      <c r="AD25" s="47">
        <v>56306</v>
      </c>
      <c r="AE25" s="49">
        <v>12761046</v>
      </c>
      <c r="AF25" s="49">
        <v>222</v>
      </c>
      <c r="AG25" s="49">
        <v>0</v>
      </c>
      <c r="AH25" s="45">
        <v>12817574</v>
      </c>
      <c r="AI25" s="47">
        <v>52085</v>
      </c>
      <c r="AJ25" s="49">
        <v>22290720</v>
      </c>
      <c r="AK25" s="49">
        <v>214</v>
      </c>
      <c r="AL25" s="49">
        <v>0</v>
      </c>
      <c r="AM25" s="45">
        <v>22343019</v>
      </c>
      <c r="AN25" s="47">
        <v>74574</v>
      </c>
      <c r="AO25" s="49">
        <v>26846364</v>
      </c>
      <c r="AP25" s="49">
        <v>3777</v>
      </c>
      <c r="AQ25" s="49">
        <v>0</v>
      </c>
      <c r="AR25" s="45">
        <v>26924715</v>
      </c>
      <c r="AS25" s="47">
        <v>65296</v>
      </c>
      <c r="AT25" s="49">
        <v>18551837</v>
      </c>
      <c r="AU25" s="49">
        <v>215</v>
      </c>
      <c r="AV25" s="49">
        <v>0</v>
      </c>
      <c r="AW25" s="45">
        <v>18617348</v>
      </c>
      <c r="AX25" s="47">
        <v>75099</v>
      </c>
      <c r="AY25" s="49">
        <v>18047499</v>
      </c>
      <c r="AZ25" s="49">
        <v>-219</v>
      </c>
      <c r="BA25" s="49">
        <v>0</v>
      </c>
      <c r="BB25" s="45">
        <v>18122379</v>
      </c>
      <c r="BC25" s="47">
        <v>63379</v>
      </c>
      <c r="BD25" s="49">
        <v>18508528</v>
      </c>
      <c r="BE25" s="49">
        <v>466</v>
      </c>
      <c r="BF25" s="49">
        <v>0</v>
      </c>
      <c r="BG25" s="45">
        <v>18572373</v>
      </c>
      <c r="BH25" s="47">
        <v>0</v>
      </c>
      <c r="BI25" s="49">
        <v>0</v>
      </c>
      <c r="BJ25" s="49">
        <v>0</v>
      </c>
      <c r="BK25" s="49">
        <v>0</v>
      </c>
      <c r="BL25" s="45">
        <v>0</v>
      </c>
      <c r="BM25" s="47">
        <v>0</v>
      </c>
      <c r="BN25" s="49">
        <v>0</v>
      </c>
      <c r="BO25" s="49">
        <v>0</v>
      </c>
      <c r="BP25" s="49">
        <v>0</v>
      </c>
      <c r="BQ25" s="45">
        <v>0</v>
      </c>
      <c r="BR25" s="47">
        <v>609250</v>
      </c>
      <c r="BS25" s="78">
        <v>194153778</v>
      </c>
      <c r="BT25" s="49">
        <v>6996</v>
      </c>
      <c r="BU25" s="49">
        <v>0</v>
      </c>
      <c r="BV25" s="47">
        <v>194770024</v>
      </c>
      <c r="BW25" s="13"/>
      <c r="BX25" s="268"/>
      <c r="CA25" s="325"/>
      <c r="CB25" s="1"/>
    </row>
    <row r="26" spans="1:80" ht="13.5" x14ac:dyDescent="0.25">
      <c r="A26" s="271">
        <v>20</v>
      </c>
      <c r="B26" s="273" t="s">
        <v>207</v>
      </c>
      <c r="C26" s="273"/>
      <c r="D26" s="264"/>
      <c r="E26" s="79">
        <v>170642</v>
      </c>
      <c r="F26" s="78">
        <v>446653</v>
      </c>
      <c r="G26" s="78">
        <v>3681</v>
      </c>
      <c r="H26" s="78">
        <v>0</v>
      </c>
      <c r="I26" s="45">
        <v>620976</v>
      </c>
      <c r="J26" s="47">
        <v>11804</v>
      </c>
      <c r="K26" s="49">
        <v>7489</v>
      </c>
      <c r="L26" s="49">
        <v>2</v>
      </c>
      <c r="M26" s="49">
        <v>0</v>
      </c>
      <c r="N26" s="45">
        <v>19295</v>
      </c>
      <c r="O26" s="49">
        <v>10986</v>
      </c>
      <c r="P26" s="49">
        <v>127530</v>
      </c>
      <c r="Q26" s="49">
        <v>11</v>
      </c>
      <c r="R26" s="49"/>
      <c r="S26" s="45">
        <v>138527</v>
      </c>
      <c r="T26" s="47">
        <v>10312</v>
      </c>
      <c r="U26" s="49">
        <v>7489</v>
      </c>
      <c r="V26" s="49">
        <v>154</v>
      </c>
      <c r="W26" s="49">
        <v>0</v>
      </c>
      <c r="X26" s="45">
        <v>17955</v>
      </c>
      <c r="Y26" s="47">
        <v>9799</v>
      </c>
      <c r="Z26" s="49">
        <v>7601</v>
      </c>
      <c r="AA26" s="49">
        <v>22</v>
      </c>
      <c r="AB26" s="49"/>
      <c r="AC26" s="45">
        <v>17422</v>
      </c>
      <c r="AD26" s="47">
        <v>11235</v>
      </c>
      <c r="AE26" s="49">
        <v>127489</v>
      </c>
      <c r="AF26" s="49">
        <v>1210</v>
      </c>
      <c r="AG26" s="49">
        <v>0</v>
      </c>
      <c r="AH26" s="45">
        <v>139934</v>
      </c>
      <c r="AI26" s="47">
        <v>11159</v>
      </c>
      <c r="AJ26" s="49">
        <v>-7489</v>
      </c>
      <c r="AK26" s="49">
        <v>48</v>
      </c>
      <c r="AL26" s="49">
        <v>0</v>
      </c>
      <c r="AM26" s="45">
        <v>3718</v>
      </c>
      <c r="AN26" s="47">
        <v>12503</v>
      </c>
      <c r="AO26" s="49">
        <v>6371</v>
      </c>
      <c r="AP26" s="49">
        <v>11</v>
      </c>
      <c r="AQ26" s="49">
        <v>0</v>
      </c>
      <c r="AR26" s="45">
        <v>18885</v>
      </c>
      <c r="AS26" s="47">
        <v>16210</v>
      </c>
      <c r="AT26" s="49">
        <v>119093</v>
      </c>
      <c r="AU26" s="49">
        <v>183</v>
      </c>
      <c r="AV26" s="49">
        <v>0</v>
      </c>
      <c r="AW26" s="45">
        <v>135486</v>
      </c>
      <c r="AX26" s="47">
        <v>14570</v>
      </c>
      <c r="AY26" s="49">
        <v>6108</v>
      </c>
      <c r="AZ26" s="49">
        <v>7</v>
      </c>
      <c r="BA26" s="49">
        <v>0</v>
      </c>
      <c r="BB26" s="45">
        <v>20685</v>
      </c>
      <c r="BC26" s="47">
        <v>10405</v>
      </c>
      <c r="BD26" s="49">
        <v>6108</v>
      </c>
      <c r="BE26" s="49">
        <v>13</v>
      </c>
      <c r="BF26" s="49"/>
      <c r="BG26" s="45">
        <v>16526</v>
      </c>
      <c r="BH26" s="47"/>
      <c r="BI26" s="49"/>
      <c r="BJ26" s="49"/>
      <c r="BK26" s="49"/>
      <c r="BL26" s="45"/>
      <c r="BM26" s="47"/>
      <c r="BN26" s="49"/>
      <c r="BO26" s="49"/>
      <c r="BP26" s="49"/>
      <c r="BQ26" s="45"/>
      <c r="BR26" s="47">
        <v>118983</v>
      </c>
      <c r="BS26" s="78">
        <v>407789</v>
      </c>
      <c r="BT26" s="49">
        <v>1661</v>
      </c>
      <c r="BU26" s="49">
        <v>0</v>
      </c>
      <c r="BV26" s="47">
        <v>528433</v>
      </c>
      <c r="BW26" s="13"/>
      <c r="BX26" s="268"/>
      <c r="CA26" s="325"/>
      <c r="CB26" s="1"/>
    </row>
    <row r="27" spans="1:80" ht="13.5" x14ac:dyDescent="0.25">
      <c r="A27" s="271">
        <v>21</v>
      </c>
      <c r="B27" s="274" t="s">
        <v>208</v>
      </c>
      <c r="C27" s="274"/>
      <c r="D27" s="264"/>
      <c r="E27" s="79">
        <v>135009</v>
      </c>
      <c r="F27" s="78">
        <v>688</v>
      </c>
      <c r="G27" s="78">
        <v>1471</v>
      </c>
      <c r="H27" s="78">
        <v>0</v>
      </c>
      <c r="I27" s="45">
        <v>137168</v>
      </c>
      <c r="J27" s="47">
        <v>8666</v>
      </c>
      <c r="K27" s="49">
        <v>14</v>
      </c>
      <c r="L27" s="49">
        <v>0</v>
      </c>
      <c r="M27" s="49">
        <v>0</v>
      </c>
      <c r="N27" s="45">
        <v>8680</v>
      </c>
      <c r="O27" s="49">
        <v>9183</v>
      </c>
      <c r="P27" s="49">
        <v>292</v>
      </c>
      <c r="Q27" s="49">
        <v>14</v>
      </c>
      <c r="R27" s="49">
        <v>0</v>
      </c>
      <c r="S27" s="45">
        <v>9489</v>
      </c>
      <c r="T27" s="47">
        <v>8188</v>
      </c>
      <c r="U27" s="49">
        <v>171</v>
      </c>
      <c r="V27" s="49">
        <v>14</v>
      </c>
      <c r="W27" s="49">
        <v>0</v>
      </c>
      <c r="X27" s="45">
        <v>8373</v>
      </c>
      <c r="Y27" s="47">
        <v>9578</v>
      </c>
      <c r="Z27" s="49">
        <v>0</v>
      </c>
      <c r="AA27" s="49">
        <v>29</v>
      </c>
      <c r="AB27" s="49">
        <v>0</v>
      </c>
      <c r="AC27" s="45">
        <v>9607</v>
      </c>
      <c r="AD27" s="47">
        <v>8960</v>
      </c>
      <c r="AE27" s="49">
        <v>0</v>
      </c>
      <c r="AF27" s="49">
        <v>15</v>
      </c>
      <c r="AG27" s="49">
        <v>0</v>
      </c>
      <c r="AH27" s="45">
        <v>8975</v>
      </c>
      <c r="AI27" s="47">
        <v>8958</v>
      </c>
      <c r="AJ27" s="49">
        <v>0</v>
      </c>
      <c r="AK27" s="49">
        <v>24</v>
      </c>
      <c r="AL27" s="49">
        <v>0</v>
      </c>
      <c r="AM27" s="45">
        <v>8982</v>
      </c>
      <c r="AN27" s="47">
        <v>10083</v>
      </c>
      <c r="AO27" s="49">
        <v>19</v>
      </c>
      <c r="AP27" s="49">
        <v>14</v>
      </c>
      <c r="AQ27" s="49">
        <v>0</v>
      </c>
      <c r="AR27" s="45">
        <v>10116</v>
      </c>
      <c r="AS27" s="47">
        <v>13298</v>
      </c>
      <c r="AT27" s="49">
        <v>2</v>
      </c>
      <c r="AU27" s="49">
        <v>874</v>
      </c>
      <c r="AV27" s="49">
        <v>0</v>
      </c>
      <c r="AW27" s="45">
        <v>14174</v>
      </c>
      <c r="AX27" s="47">
        <v>10894</v>
      </c>
      <c r="AY27" s="49">
        <v>172</v>
      </c>
      <c r="AZ27" s="49">
        <v>14</v>
      </c>
      <c r="BA27" s="49">
        <v>0</v>
      </c>
      <c r="BB27" s="45">
        <v>11080</v>
      </c>
      <c r="BC27" s="47">
        <v>8886</v>
      </c>
      <c r="BD27" s="49"/>
      <c r="BE27" s="49">
        <v>22</v>
      </c>
      <c r="BF27" s="49"/>
      <c r="BG27" s="45">
        <v>8908</v>
      </c>
      <c r="BH27" s="47"/>
      <c r="BI27" s="49"/>
      <c r="BJ27" s="49"/>
      <c r="BK27" s="49"/>
      <c r="BL27" s="45"/>
      <c r="BM27" s="47"/>
      <c r="BN27" s="49"/>
      <c r="BO27" s="49"/>
      <c r="BP27" s="49"/>
      <c r="BQ27" s="45"/>
      <c r="BR27" s="47">
        <v>96694</v>
      </c>
      <c r="BS27" s="78">
        <v>670</v>
      </c>
      <c r="BT27" s="49">
        <v>1020</v>
      </c>
      <c r="BU27" s="49">
        <v>0</v>
      </c>
      <c r="BV27" s="47">
        <v>98384</v>
      </c>
      <c r="BW27" s="13"/>
      <c r="BX27" s="266"/>
      <c r="CA27" s="325"/>
      <c r="CB27" s="1"/>
    </row>
    <row r="28" spans="1:80" ht="13.5" x14ac:dyDescent="0.25">
      <c r="A28" s="262">
        <v>22</v>
      </c>
      <c r="B28" s="263" t="s">
        <v>209</v>
      </c>
      <c r="D28" s="275"/>
      <c r="E28" s="79">
        <v>23835465</v>
      </c>
      <c r="F28" s="78">
        <v>1040581</v>
      </c>
      <c r="G28" s="78">
        <v>720791</v>
      </c>
      <c r="H28" s="78">
        <v>0</v>
      </c>
      <c r="I28" s="45">
        <v>25596837</v>
      </c>
      <c r="J28" s="47">
        <v>1623163</v>
      </c>
      <c r="K28" s="49">
        <v>12933</v>
      </c>
      <c r="L28" s="49">
        <v>778</v>
      </c>
      <c r="M28" s="49">
        <v>0</v>
      </c>
      <c r="N28" s="45">
        <v>1636874</v>
      </c>
      <c r="O28" s="49">
        <v>1869662</v>
      </c>
      <c r="P28" s="49">
        <v>53298</v>
      </c>
      <c r="Q28" s="49">
        <v>2364</v>
      </c>
      <c r="R28" s="49">
        <v>0</v>
      </c>
      <c r="S28" s="45">
        <v>1925324</v>
      </c>
      <c r="T28" s="47">
        <v>1900184</v>
      </c>
      <c r="U28" s="49">
        <v>67576</v>
      </c>
      <c r="V28" s="49">
        <v>53474</v>
      </c>
      <c r="W28" s="49">
        <v>0</v>
      </c>
      <c r="X28" s="45">
        <v>2021234</v>
      </c>
      <c r="Y28" s="47">
        <v>2047080</v>
      </c>
      <c r="Z28" s="49">
        <v>58734</v>
      </c>
      <c r="AA28" s="49">
        <v>15675</v>
      </c>
      <c r="AB28" s="49">
        <v>0</v>
      </c>
      <c r="AC28" s="45">
        <v>2121489</v>
      </c>
      <c r="AD28" s="47">
        <v>2048652</v>
      </c>
      <c r="AE28" s="49">
        <v>88791</v>
      </c>
      <c r="AF28" s="49">
        <v>10397</v>
      </c>
      <c r="AG28" s="49">
        <v>0</v>
      </c>
      <c r="AH28" s="45">
        <v>2147840</v>
      </c>
      <c r="AI28" s="47">
        <v>2122651</v>
      </c>
      <c r="AJ28" s="49">
        <v>90376</v>
      </c>
      <c r="AK28" s="49">
        <v>29586</v>
      </c>
      <c r="AL28" s="49">
        <v>0</v>
      </c>
      <c r="AM28" s="45">
        <v>2242613</v>
      </c>
      <c r="AN28" s="47">
        <v>2074895</v>
      </c>
      <c r="AO28" s="49">
        <v>70578</v>
      </c>
      <c r="AP28" s="49">
        <v>19778</v>
      </c>
      <c r="AQ28" s="49">
        <v>0</v>
      </c>
      <c r="AR28" s="45">
        <v>2165251</v>
      </c>
      <c r="AS28" s="47">
        <v>1961137</v>
      </c>
      <c r="AT28" s="49">
        <v>24713</v>
      </c>
      <c r="AU28" s="49">
        <v>11271</v>
      </c>
      <c r="AV28" s="49">
        <v>0</v>
      </c>
      <c r="AW28" s="45">
        <v>1997121</v>
      </c>
      <c r="AX28" s="47">
        <v>1922089</v>
      </c>
      <c r="AY28" s="49">
        <v>112641</v>
      </c>
      <c r="AZ28" s="49">
        <v>12920</v>
      </c>
      <c r="BA28" s="49">
        <v>0</v>
      </c>
      <c r="BB28" s="45">
        <v>2047650</v>
      </c>
      <c r="BC28" s="47">
        <v>1741195</v>
      </c>
      <c r="BD28" s="49">
        <v>18602</v>
      </c>
      <c r="BE28" s="49">
        <v>7813</v>
      </c>
      <c r="BF28" s="49">
        <v>0</v>
      </c>
      <c r="BG28" s="45">
        <v>1767610</v>
      </c>
      <c r="BH28" s="47">
        <v>0</v>
      </c>
      <c r="BI28" s="49">
        <v>0</v>
      </c>
      <c r="BJ28" s="49">
        <v>0</v>
      </c>
      <c r="BK28" s="49">
        <v>0</v>
      </c>
      <c r="BL28" s="45">
        <v>0</v>
      </c>
      <c r="BM28" s="47">
        <v>0</v>
      </c>
      <c r="BN28" s="49">
        <v>0</v>
      </c>
      <c r="BO28" s="49">
        <v>0</v>
      </c>
      <c r="BP28" s="49">
        <v>0</v>
      </c>
      <c r="BQ28" s="45">
        <v>0</v>
      </c>
      <c r="BR28" s="47">
        <v>19310708</v>
      </c>
      <c r="BS28" s="78">
        <v>598242</v>
      </c>
      <c r="BT28" s="49">
        <v>164056</v>
      </c>
      <c r="BU28" s="49">
        <v>0</v>
      </c>
      <c r="BV28" s="47">
        <v>20073006</v>
      </c>
      <c r="BW28" s="13"/>
      <c r="BX28" s="266"/>
      <c r="CA28" s="325"/>
      <c r="CB28" s="1"/>
    </row>
    <row r="29" spans="1:80" ht="13.5" x14ac:dyDescent="0.25">
      <c r="A29" s="262">
        <v>23</v>
      </c>
      <c r="B29" s="263" t="s">
        <v>210</v>
      </c>
      <c r="D29" s="264"/>
      <c r="E29" s="79">
        <v>46146842</v>
      </c>
      <c r="F29" s="78">
        <v>6835869</v>
      </c>
      <c r="G29" s="78">
        <v>1218576</v>
      </c>
      <c r="H29" s="78">
        <v>0</v>
      </c>
      <c r="I29" s="45">
        <v>54201287</v>
      </c>
      <c r="J29" s="47">
        <v>2933087</v>
      </c>
      <c r="K29" s="49">
        <v>678492</v>
      </c>
      <c r="L29" s="49">
        <v>10249</v>
      </c>
      <c r="M29" s="49">
        <v>0</v>
      </c>
      <c r="N29" s="45">
        <v>3621828</v>
      </c>
      <c r="O29" s="49">
        <v>4068881</v>
      </c>
      <c r="P29" s="49">
        <v>495981</v>
      </c>
      <c r="Q29" s="49">
        <v>138137</v>
      </c>
      <c r="R29" s="49">
        <v>0</v>
      </c>
      <c r="S29" s="45">
        <v>4702999</v>
      </c>
      <c r="T29" s="47">
        <v>3355923</v>
      </c>
      <c r="U29" s="49">
        <v>426125</v>
      </c>
      <c r="V29" s="49">
        <v>74664</v>
      </c>
      <c r="W29" s="49">
        <v>0</v>
      </c>
      <c r="X29" s="45">
        <v>3856712</v>
      </c>
      <c r="Y29" s="47">
        <v>3594350</v>
      </c>
      <c r="Z29" s="49">
        <v>787951</v>
      </c>
      <c r="AA29" s="49">
        <v>15588</v>
      </c>
      <c r="AB29" s="49">
        <v>0</v>
      </c>
      <c r="AC29" s="45">
        <v>4397889</v>
      </c>
      <c r="AD29" s="47">
        <v>3890738</v>
      </c>
      <c r="AE29" s="49">
        <v>424547</v>
      </c>
      <c r="AF29" s="49">
        <v>194372</v>
      </c>
      <c r="AG29" s="49">
        <v>0</v>
      </c>
      <c r="AH29" s="45">
        <v>4509657</v>
      </c>
      <c r="AI29" s="47">
        <v>3794447</v>
      </c>
      <c r="AJ29" s="49">
        <v>402390</v>
      </c>
      <c r="AK29" s="49">
        <v>64987</v>
      </c>
      <c r="AL29" s="49">
        <v>0</v>
      </c>
      <c r="AM29" s="45">
        <v>4261824</v>
      </c>
      <c r="AN29" s="47">
        <v>4081025</v>
      </c>
      <c r="AO29" s="49">
        <v>763028</v>
      </c>
      <c r="AP29" s="49">
        <v>56314</v>
      </c>
      <c r="AQ29" s="49">
        <v>0</v>
      </c>
      <c r="AR29" s="45">
        <v>4900367</v>
      </c>
      <c r="AS29" s="47">
        <v>3472768</v>
      </c>
      <c r="AT29" s="49">
        <v>426151</v>
      </c>
      <c r="AU29" s="49">
        <v>40854</v>
      </c>
      <c r="AV29" s="49">
        <v>0</v>
      </c>
      <c r="AW29" s="45">
        <v>3939773</v>
      </c>
      <c r="AX29" s="47">
        <v>3438067</v>
      </c>
      <c r="AY29" s="49">
        <v>420481</v>
      </c>
      <c r="AZ29" s="49">
        <v>24866</v>
      </c>
      <c r="BA29" s="49">
        <v>0</v>
      </c>
      <c r="BB29" s="45">
        <v>3883414</v>
      </c>
      <c r="BC29" s="47">
        <v>3595147</v>
      </c>
      <c r="BD29" s="49">
        <v>712030</v>
      </c>
      <c r="BE29" s="49">
        <v>96614</v>
      </c>
      <c r="BF29" s="49">
        <v>0</v>
      </c>
      <c r="BG29" s="45">
        <v>4403791</v>
      </c>
      <c r="BH29" s="47">
        <v>0</v>
      </c>
      <c r="BI29" s="49">
        <v>0</v>
      </c>
      <c r="BJ29" s="49">
        <v>0</v>
      </c>
      <c r="BK29" s="49">
        <v>0</v>
      </c>
      <c r="BL29" s="45">
        <v>0</v>
      </c>
      <c r="BM29" s="47">
        <v>0</v>
      </c>
      <c r="BN29" s="49">
        <v>0</v>
      </c>
      <c r="BO29" s="49">
        <v>0</v>
      </c>
      <c r="BP29" s="49">
        <v>0</v>
      </c>
      <c r="BQ29" s="45">
        <v>0</v>
      </c>
      <c r="BR29" s="47">
        <v>36224433</v>
      </c>
      <c r="BS29" s="78">
        <v>5537176</v>
      </c>
      <c r="BT29" s="49">
        <v>716645</v>
      </c>
      <c r="BU29" s="49">
        <v>0</v>
      </c>
      <c r="BV29" s="47">
        <v>42478254</v>
      </c>
      <c r="BW29" s="13"/>
      <c r="BX29" s="266"/>
      <c r="CA29" s="325"/>
      <c r="CB29" s="1"/>
    </row>
    <row r="30" spans="1:80" ht="13.5" x14ac:dyDescent="0.25">
      <c r="A30" s="262">
        <v>24</v>
      </c>
      <c r="B30" s="263" t="s">
        <v>211</v>
      </c>
      <c r="D30" s="276"/>
      <c r="E30" s="79">
        <v>334662</v>
      </c>
      <c r="F30" s="78">
        <v>820</v>
      </c>
      <c r="G30" s="78">
        <v>5494</v>
      </c>
      <c r="H30" s="78">
        <v>0</v>
      </c>
      <c r="I30" s="45">
        <v>340976</v>
      </c>
      <c r="J30" s="47">
        <v>58387</v>
      </c>
      <c r="K30" s="49">
        <v>0</v>
      </c>
      <c r="L30" s="49">
        <v>2856</v>
      </c>
      <c r="M30" s="49">
        <v>0</v>
      </c>
      <c r="N30" s="45">
        <v>61243</v>
      </c>
      <c r="O30" s="49">
        <v>23209</v>
      </c>
      <c r="P30" s="49">
        <v>54</v>
      </c>
      <c r="Q30" s="49">
        <v>0</v>
      </c>
      <c r="R30" s="49">
        <v>0</v>
      </c>
      <c r="S30" s="45">
        <v>23263</v>
      </c>
      <c r="T30" s="47">
        <v>22095</v>
      </c>
      <c r="U30" s="49">
        <v>36</v>
      </c>
      <c r="V30" s="49">
        <v>0</v>
      </c>
      <c r="W30" s="49">
        <v>0</v>
      </c>
      <c r="X30" s="45">
        <v>22131</v>
      </c>
      <c r="Y30" s="47">
        <v>21325</v>
      </c>
      <c r="Z30" s="49">
        <v>1</v>
      </c>
      <c r="AA30" s="49">
        <v>0</v>
      </c>
      <c r="AB30" s="49">
        <v>0</v>
      </c>
      <c r="AC30" s="45">
        <v>21326</v>
      </c>
      <c r="AD30" s="47">
        <v>21927</v>
      </c>
      <c r="AE30" s="49">
        <v>750</v>
      </c>
      <c r="AF30" s="49">
        <v>32</v>
      </c>
      <c r="AG30" s="49">
        <v>0</v>
      </c>
      <c r="AH30" s="45">
        <v>22709</v>
      </c>
      <c r="AI30" s="47">
        <v>22356</v>
      </c>
      <c r="AJ30" s="49">
        <v>0</v>
      </c>
      <c r="AK30" s="49">
        <v>321</v>
      </c>
      <c r="AL30" s="49">
        <v>0</v>
      </c>
      <c r="AM30" s="45">
        <v>22677</v>
      </c>
      <c r="AN30" s="47">
        <v>28649</v>
      </c>
      <c r="AO30" s="49">
        <v>51</v>
      </c>
      <c r="AP30" s="49">
        <v>8</v>
      </c>
      <c r="AQ30" s="49">
        <v>0</v>
      </c>
      <c r="AR30" s="45">
        <v>28708</v>
      </c>
      <c r="AS30" s="47">
        <v>34658</v>
      </c>
      <c r="AT30" s="49">
        <v>1</v>
      </c>
      <c r="AU30" s="49">
        <v>0</v>
      </c>
      <c r="AV30" s="49">
        <v>0</v>
      </c>
      <c r="AW30" s="45">
        <v>34659</v>
      </c>
      <c r="AX30" s="47">
        <v>25493</v>
      </c>
      <c r="AY30" s="49">
        <v>137</v>
      </c>
      <c r="AZ30" s="49">
        <v>-23</v>
      </c>
      <c r="BA30" s="49">
        <v>0</v>
      </c>
      <c r="BB30" s="45">
        <v>25607</v>
      </c>
      <c r="BC30" s="47">
        <v>20084</v>
      </c>
      <c r="BD30" s="49">
        <v>37</v>
      </c>
      <c r="BE30" s="49">
        <v>0</v>
      </c>
      <c r="BF30" s="49">
        <v>0</v>
      </c>
      <c r="BG30" s="45">
        <v>20121</v>
      </c>
      <c r="BH30" s="47">
        <v>0</v>
      </c>
      <c r="BI30" s="49">
        <v>0</v>
      </c>
      <c r="BJ30" s="49">
        <v>0</v>
      </c>
      <c r="BK30" s="49">
        <v>0</v>
      </c>
      <c r="BL30" s="45">
        <v>0</v>
      </c>
      <c r="BM30" s="47">
        <v>0</v>
      </c>
      <c r="BN30" s="49">
        <v>0</v>
      </c>
      <c r="BO30" s="49">
        <v>0</v>
      </c>
      <c r="BP30" s="49">
        <v>0</v>
      </c>
      <c r="BQ30" s="45">
        <v>0</v>
      </c>
      <c r="BR30" s="47">
        <v>278183</v>
      </c>
      <c r="BS30" s="78">
        <v>1067</v>
      </c>
      <c r="BT30" s="49">
        <v>3194</v>
      </c>
      <c r="BU30" s="49">
        <v>0</v>
      </c>
      <c r="BV30" s="47">
        <v>282444</v>
      </c>
      <c r="BW30" s="13"/>
      <c r="BX30" s="268"/>
      <c r="CA30" s="325"/>
      <c r="CB30" s="1"/>
    </row>
    <row r="31" spans="1:80" ht="13.5" x14ac:dyDescent="0.25">
      <c r="A31" s="262">
        <v>25</v>
      </c>
      <c r="B31" s="263" t="s">
        <v>212</v>
      </c>
      <c r="D31" s="264"/>
      <c r="E31" s="79">
        <v>14842532</v>
      </c>
      <c r="F31" s="78">
        <v>2989640</v>
      </c>
      <c r="G31" s="78">
        <v>833523</v>
      </c>
      <c r="H31" s="78">
        <v>589</v>
      </c>
      <c r="I31" s="45">
        <v>18666284</v>
      </c>
      <c r="J31" s="47">
        <v>897125</v>
      </c>
      <c r="K31" s="49">
        <v>255458</v>
      </c>
      <c r="L31" s="49">
        <v>3066</v>
      </c>
      <c r="M31" s="49">
        <v>0</v>
      </c>
      <c r="N31" s="45">
        <v>1155649</v>
      </c>
      <c r="O31" s="49">
        <v>904840</v>
      </c>
      <c r="P31" s="49">
        <v>258171</v>
      </c>
      <c r="Q31" s="49">
        <v>162238</v>
      </c>
      <c r="R31" s="49">
        <v>294</v>
      </c>
      <c r="S31" s="45">
        <v>1325543</v>
      </c>
      <c r="T31" s="47">
        <v>898753</v>
      </c>
      <c r="U31" s="49">
        <v>258449</v>
      </c>
      <c r="V31" s="49">
        <v>11048</v>
      </c>
      <c r="W31" s="49">
        <v>0</v>
      </c>
      <c r="X31" s="45">
        <v>1168250</v>
      </c>
      <c r="Y31" s="47">
        <v>1036875</v>
      </c>
      <c r="Z31" s="49">
        <v>259193</v>
      </c>
      <c r="AA31" s="49">
        <v>23392</v>
      </c>
      <c r="AB31" s="49">
        <v>160</v>
      </c>
      <c r="AC31" s="45">
        <v>1319620</v>
      </c>
      <c r="AD31" s="47">
        <v>1105159</v>
      </c>
      <c r="AE31" s="49">
        <v>275831</v>
      </c>
      <c r="AF31" s="49">
        <v>17367</v>
      </c>
      <c r="AG31" s="49">
        <v>135</v>
      </c>
      <c r="AH31" s="45">
        <v>1398492</v>
      </c>
      <c r="AI31" s="47">
        <v>1089995</v>
      </c>
      <c r="AJ31" s="49">
        <v>258684</v>
      </c>
      <c r="AK31" s="49">
        <v>44576</v>
      </c>
      <c r="AL31" s="49">
        <v>22</v>
      </c>
      <c r="AM31" s="45">
        <v>1393277</v>
      </c>
      <c r="AN31" s="47">
        <v>1078416</v>
      </c>
      <c r="AO31" s="49">
        <v>259517</v>
      </c>
      <c r="AP31" s="49">
        <v>34788</v>
      </c>
      <c r="AQ31" s="49">
        <v>-19</v>
      </c>
      <c r="AR31" s="45">
        <v>1372702</v>
      </c>
      <c r="AS31" s="47">
        <v>1197347</v>
      </c>
      <c r="AT31" s="49">
        <v>262390</v>
      </c>
      <c r="AU31" s="49">
        <v>38570</v>
      </c>
      <c r="AV31" s="49">
        <v>0</v>
      </c>
      <c r="AW31" s="45">
        <v>1498307</v>
      </c>
      <c r="AX31" s="47">
        <v>1295748</v>
      </c>
      <c r="AY31" s="49">
        <v>276546</v>
      </c>
      <c r="AZ31" s="49">
        <v>26415</v>
      </c>
      <c r="BA31" s="49">
        <v>58</v>
      </c>
      <c r="BB31" s="45">
        <v>1598767</v>
      </c>
      <c r="BC31" s="47">
        <v>894233</v>
      </c>
      <c r="BD31" s="49">
        <v>264840</v>
      </c>
      <c r="BE31" s="49">
        <v>15674</v>
      </c>
      <c r="BF31" s="49">
        <v>0</v>
      </c>
      <c r="BG31" s="45">
        <v>1174747</v>
      </c>
      <c r="BH31" s="47">
        <v>0</v>
      </c>
      <c r="BI31" s="49">
        <v>0</v>
      </c>
      <c r="BJ31" s="49">
        <v>0</v>
      </c>
      <c r="BK31" s="49">
        <v>0</v>
      </c>
      <c r="BL31" s="45">
        <v>0</v>
      </c>
      <c r="BM31" s="47">
        <v>0</v>
      </c>
      <c r="BN31" s="49">
        <v>0</v>
      </c>
      <c r="BO31" s="49">
        <v>0</v>
      </c>
      <c r="BP31" s="49">
        <v>0</v>
      </c>
      <c r="BQ31" s="45">
        <v>0</v>
      </c>
      <c r="BR31" s="47">
        <v>10398491</v>
      </c>
      <c r="BS31" s="78">
        <v>2629079</v>
      </c>
      <c r="BT31" s="49">
        <v>377134</v>
      </c>
      <c r="BU31" s="49">
        <v>650</v>
      </c>
      <c r="BV31" s="47">
        <v>13405354</v>
      </c>
      <c r="BW31" s="13"/>
      <c r="BX31" s="266"/>
      <c r="CA31" s="325"/>
      <c r="CB31" s="1"/>
    </row>
    <row r="32" spans="1:80" ht="13.5" x14ac:dyDescent="0.25">
      <c r="A32" s="262">
        <v>26</v>
      </c>
      <c r="B32" s="263" t="s">
        <v>213</v>
      </c>
      <c r="D32" s="264"/>
      <c r="E32" s="79">
        <v>335889</v>
      </c>
      <c r="F32" s="78">
        <v>126653</v>
      </c>
      <c r="G32" s="78">
        <v>17800</v>
      </c>
      <c r="H32" s="78">
        <v>0</v>
      </c>
      <c r="I32" s="45">
        <v>480342</v>
      </c>
      <c r="J32" s="47">
        <v>11573</v>
      </c>
      <c r="K32" s="49">
        <v>1526</v>
      </c>
      <c r="L32" s="49">
        <v>39</v>
      </c>
      <c r="M32" s="49">
        <v>0</v>
      </c>
      <c r="N32" s="45">
        <v>13138</v>
      </c>
      <c r="O32" s="49">
        <v>11588</v>
      </c>
      <c r="P32" s="49">
        <v>1414</v>
      </c>
      <c r="Q32" s="49">
        <v>0</v>
      </c>
      <c r="R32" s="49">
        <v>0</v>
      </c>
      <c r="S32" s="45">
        <v>13002</v>
      </c>
      <c r="T32" s="47">
        <v>14811</v>
      </c>
      <c r="U32" s="49">
        <v>3519</v>
      </c>
      <c r="V32" s="49">
        <v>87</v>
      </c>
      <c r="W32" s="49">
        <v>0</v>
      </c>
      <c r="X32" s="45">
        <v>18417</v>
      </c>
      <c r="Y32" s="47">
        <v>16800</v>
      </c>
      <c r="Z32" s="49">
        <v>6209</v>
      </c>
      <c r="AA32" s="49">
        <v>137</v>
      </c>
      <c r="AB32" s="49"/>
      <c r="AC32" s="45">
        <v>23146</v>
      </c>
      <c r="AD32" s="47">
        <v>14775</v>
      </c>
      <c r="AE32" s="49">
        <v>5257</v>
      </c>
      <c r="AF32" s="49">
        <v>527</v>
      </c>
      <c r="AG32" s="49">
        <v>0</v>
      </c>
      <c r="AH32" s="45">
        <v>20559</v>
      </c>
      <c r="AI32" s="47">
        <v>25679</v>
      </c>
      <c r="AJ32" s="49">
        <v>8677</v>
      </c>
      <c r="AK32" s="49">
        <v>349</v>
      </c>
      <c r="AL32" s="49">
        <v>0</v>
      </c>
      <c r="AM32" s="45">
        <v>34705</v>
      </c>
      <c r="AN32" s="47">
        <v>36042</v>
      </c>
      <c r="AO32" s="49">
        <v>9047</v>
      </c>
      <c r="AP32" s="49">
        <v>-87</v>
      </c>
      <c r="AQ32" s="49">
        <v>0</v>
      </c>
      <c r="AR32" s="45">
        <v>45002</v>
      </c>
      <c r="AS32" s="47">
        <v>16993</v>
      </c>
      <c r="AT32" s="49">
        <v>9300</v>
      </c>
      <c r="AU32" s="49">
        <v>87</v>
      </c>
      <c r="AV32" s="49">
        <v>0</v>
      </c>
      <c r="AW32" s="45">
        <v>26380</v>
      </c>
      <c r="AX32" s="47">
        <v>36387</v>
      </c>
      <c r="AY32" s="49">
        <v>6746</v>
      </c>
      <c r="AZ32" s="49">
        <v>57</v>
      </c>
      <c r="BA32" s="49">
        <v>0</v>
      </c>
      <c r="BB32" s="45">
        <v>43190</v>
      </c>
      <c r="BC32" s="47">
        <v>18618</v>
      </c>
      <c r="BD32" s="49">
        <v>4986</v>
      </c>
      <c r="BE32" s="49">
        <v>-148</v>
      </c>
      <c r="BF32" s="49"/>
      <c r="BG32" s="45">
        <v>23456</v>
      </c>
      <c r="BH32" s="47"/>
      <c r="BI32" s="49"/>
      <c r="BJ32" s="49"/>
      <c r="BK32" s="49"/>
      <c r="BL32" s="45"/>
      <c r="BM32" s="47"/>
      <c r="BN32" s="49"/>
      <c r="BO32" s="49"/>
      <c r="BP32" s="49"/>
      <c r="BQ32" s="45"/>
      <c r="BR32" s="47">
        <v>203266</v>
      </c>
      <c r="BS32" s="78">
        <v>56681</v>
      </c>
      <c r="BT32" s="49">
        <v>1048</v>
      </c>
      <c r="BU32" s="49">
        <v>0</v>
      </c>
      <c r="BV32" s="47">
        <v>260995</v>
      </c>
      <c r="BW32" s="13"/>
      <c r="BX32" s="266"/>
      <c r="CA32" s="325"/>
      <c r="CB32" s="1"/>
    </row>
    <row r="33" spans="1:80" ht="13.5" x14ac:dyDescent="0.25">
      <c r="A33" s="262">
        <v>27</v>
      </c>
      <c r="B33" s="240" t="s">
        <v>214</v>
      </c>
      <c r="D33" s="264"/>
      <c r="E33" s="79">
        <v>1076504</v>
      </c>
      <c r="F33" s="78">
        <v>1416</v>
      </c>
      <c r="G33" s="78">
        <v>110201</v>
      </c>
      <c r="H33" s="78">
        <v>0</v>
      </c>
      <c r="I33" s="45">
        <v>1188121</v>
      </c>
      <c r="J33" s="47">
        <v>68062</v>
      </c>
      <c r="K33" s="49">
        <v>2</v>
      </c>
      <c r="L33" s="49">
        <v>1098</v>
      </c>
      <c r="M33" s="49">
        <v>0</v>
      </c>
      <c r="N33" s="45">
        <v>69162</v>
      </c>
      <c r="O33" s="49">
        <v>66302</v>
      </c>
      <c r="P33" s="49">
        <v>86</v>
      </c>
      <c r="Q33" s="49">
        <v>4854</v>
      </c>
      <c r="R33" s="49">
        <v>0</v>
      </c>
      <c r="S33" s="45">
        <v>71242</v>
      </c>
      <c r="T33" s="47">
        <v>72926</v>
      </c>
      <c r="U33" s="49">
        <v>34</v>
      </c>
      <c r="V33" s="49">
        <v>4497</v>
      </c>
      <c r="W33" s="49">
        <v>0</v>
      </c>
      <c r="X33" s="45">
        <v>77457</v>
      </c>
      <c r="Y33" s="47">
        <v>74721</v>
      </c>
      <c r="Z33" s="49">
        <v>95</v>
      </c>
      <c r="AA33" s="49">
        <v>6365</v>
      </c>
      <c r="AB33" s="49">
        <v>0</v>
      </c>
      <c r="AC33" s="45">
        <v>81181</v>
      </c>
      <c r="AD33" s="47">
        <v>74064</v>
      </c>
      <c r="AE33" s="49">
        <v>175</v>
      </c>
      <c r="AF33" s="49">
        <v>10873</v>
      </c>
      <c r="AG33" s="49">
        <v>0</v>
      </c>
      <c r="AH33" s="45">
        <v>85112</v>
      </c>
      <c r="AI33" s="47">
        <v>73247</v>
      </c>
      <c r="AJ33" s="49">
        <v>57</v>
      </c>
      <c r="AK33" s="49">
        <v>3347</v>
      </c>
      <c r="AL33" s="49">
        <v>0</v>
      </c>
      <c r="AM33" s="45">
        <v>76651</v>
      </c>
      <c r="AN33" s="47">
        <v>97757</v>
      </c>
      <c r="AO33" s="49">
        <v>236</v>
      </c>
      <c r="AP33" s="49">
        <v>17771</v>
      </c>
      <c r="AQ33" s="49">
        <v>0</v>
      </c>
      <c r="AR33" s="45">
        <v>115764</v>
      </c>
      <c r="AS33" s="47">
        <v>74695</v>
      </c>
      <c r="AT33" s="49">
        <v>505</v>
      </c>
      <c r="AU33" s="49">
        <v>5766</v>
      </c>
      <c r="AV33" s="49">
        <v>0</v>
      </c>
      <c r="AW33" s="45">
        <v>80966</v>
      </c>
      <c r="AX33" s="47">
        <v>83444</v>
      </c>
      <c r="AY33" s="49">
        <v>915</v>
      </c>
      <c r="AZ33" s="49">
        <v>7824</v>
      </c>
      <c r="BA33" s="49">
        <v>0</v>
      </c>
      <c r="BB33" s="45">
        <v>92183</v>
      </c>
      <c r="BC33" s="47">
        <v>71084</v>
      </c>
      <c r="BD33" s="49">
        <v>482</v>
      </c>
      <c r="BE33" s="49">
        <v>6441</v>
      </c>
      <c r="BF33" s="49">
        <v>0</v>
      </c>
      <c r="BG33" s="45">
        <v>78007</v>
      </c>
      <c r="BH33" s="47">
        <v>0</v>
      </c>
      <c r="BI33" s="49">
        <v>0</v>
      </c>
      <c r="BJ33" s="49">
        <v>0</v>
      </c>
      <c r="BK33" s="49">
        <v>0</v>
      </c>
      <c r="BL33" s="45">
        <v>0</v>
      </c>
      <c r="BM33" s="47">
        <v>0</v>
      </c>
      <c r="BN33" s="49">
        <v>0</v>
      </c>
      <c r="BO33" s="49">
        <v>0</v>
      </c>
      <c r="BP33" s="49">
        <v>0</v>
      </c>
      <c r="BQ33" s="45">
        <v>0</v>
      </c>
      <c r="BR33" s="47">
        <v>756302</v>
      </c>
      <c r="BS33" s="78">
        <v>2587</v>
      </c>
      <c r="BT33" s="49">
        <v>68836</v>
      </c>
      <c r="BU33" s="49">
        <v>0</v>
      </c>
      <c r="BV33" s="47">
        <v>827725</v>
      </c>
      <c r="BW33" s="13"/>
      <c r="BX33" s="266"/>
      <c r="CA33" s="325"/>
      <c r="CB33" s="1"/>
    </row>
    <row r="34" spans="1:80" ht="13.5" x14ac:dyDescent="0.25">
      <c r="A34" s="262">
        <v>28</v>
      </c>
      <c r="B34" s="263" t="s">
        <v>215</v>
      </c>
      <c r="D34" s="264"/>
      <c r="E34" s="79">
        <v>95366408</v>
      </c>
      <c r="F34" s="78">
        <v>1613719</v>
      </c>
      <c r="G34" s="78">
        <v>2580767</v>
      </c>
      <c r="H34" s="78">
        <v>0</v>
      </c>
      <c r="I34" s="45">
        <v>99560894</v>
      </c>
      <c r="J34" s="47">
        <v>8006135</v>
      </c>
      <c r="K34" s="49">
        <v>105447</v>
      </c>
      <c r="L34" s="49">
        <v>68895</v>
      </c>
      <c r="M34" s="49">
        <v>4803</v>
      </c>
      <c r="N34" s="45">
        <v>8185280</v>
      </c>
      <c r="O34" s="49">
        <v>7807331</v>
      </c>
      <c r="P34" s="49">
        <v>276535</v>
      </c>
      <c r="Q34" s="49">
        <v>32605</v>
      </c>
      <c r="R34" s="49">
        <v>3575</v>
      </c>
      <c r="S34" s="45">
        <v>8120046</v>
      </c>
      <c r="T34" s="47">
        <v>7592601</v>
      </c>
      <c r="U34" s="49">
        <v>30673</v>
      </c>
      <c r="V34" s="49">
        <v>24695</v>
      </c>
      <c r="W34" s="49">
        <v>530</v>
      </c>
      <c r="X34" s="45">
        <v>7648499</v>
      </c>
      <c r="Y34" s="47">
        <v>7395413</v>
      </c>
      <c r="Z34" s="49">
        <v>121985</v>
      </c>
      <c r="AA34" s="49">
        <v>42118</v>
      </c>
      <c r="AB34" s="49">
        <v>170</v>
      </c>
      <c r="AC34" s="45">
        <v>7559686</v>
      </c>
      <c r="AD34" s="47">
        <v>6881194</v>
      </c>
      <c r="AE34" s="49">
        <v>115713</v>
      </c>
      <c r="AF34" s="49">
        <v>142040</v>
      </c>
      <c r="AG34" s="49">
        <v>1686</v>
      </c>
      <c r="AH34" s="45">
        <v>7140633</v>
      </c>
      <c r="AI34" s="47">
        <v>7310264</v>
      </c>
      <c r="AJ34" s="49">
        <v>128067</v>
      </c>
      <c r="AK34" s="49">
        <v>293775</v>
      </c>
      <c r="AL34" s="49">
        <v>2698</v>
      </c>
      <c r="AM34" s="45">
        <v>7734804</v>
      </c>
      <c r="AN34" s="47">
        <v>7842543</v>
      </c>
      <c r="AO34" s="49">
        <v>91627</v>
      </c>
      <c r="AP34" s="49">
        <v>409366</v>
      </c>
      <c r="AQ34" s="49">
        <v>1860</v>
      </c>
      <c r="AR34" s="45">
        <v>8345396</v>
      </c>
      <c r="AS34" s="47">
        <v>7785828</v>
      </c>
      <c r="AT34" s="49">
        <v>141307</v>
      </c>
      <c r="AU34" s="49">
        <v>347818</v>
      </c>
      <c r="AV34" s="49">
        <v>10175</v>
      </c>
      <c r="AW34" s="45">
        <v>8285128</v>
      </c>
      <c r="AX34" s="47">
        <v>7201306</v>
      </c>
      <c r="AY34" s="49">
        <v>68411</v>
      </c>
      <c r="AZ34" s="49">
        <v>177375</v>
      </c>
      <c r="BA34" s="49">
        <v>296</v>
      </c>
      <c r="BB34" s="45">
        <v>7447388</v>
      </c>
      <c r="BC34" s="47">
        <v>7533142</v>
      </c>
      <c r="BD34" s="49">
        <v>190935</v>
      </c>
      <c r="BE34" s="49">
        <v>160840</v>
      </c>
      <c r="BF34" s="49">
        <v>1190</v>
      </c>
      <c r="BG34" s="45">
        <v>7886107</v>
      </c>
      <c r="BH34" s="47">
        <v>0</v>
      </c>
      <c r="BI34" s="49">
        <v>0</v>
      </c>
      <c r="BJ34" s="49">
        <v>0</v>
      </c>
      <c r="BK34" s="49">
        <v>0</v>
      </c>
      <c r="BL34" s="45">
        <v>0</v>
      </c>
      <c r="BM34" s="47">
        <v>0</v>
      </c>
      <c r="BN34" s="49">
        <v>0</v>
      </c>
      <c r="BO34" s="49">
        <v>0</v>
      </c>
      <c r="BP34" s="49">
        <v>0</v>
      </c>
      <c r="BQ34" s="45">
        <v>0</v>
      </c>
      <c r="BR34" s="47">
        <v>75355757</v>
      </c>
      <c r="BS34" s="78">
        <v>1270700</v>
      </c>
      <c r="BT34" s="49">
        <v>1699527</v>
      </c>
      <c r="BU34" s="49">
        <v>26983</v>
      </c>
      <c r="BV34" s="47">
        <v>78352967</v>
      </c>
      <c r="BW34" s="13"/>
      <c r="BX34" s="266"/>
      <c r="CA34" s="325"/>
      <c r="CB34" s="1"/>
    </row>
    <row r="35" spans="1:80" ht="13.5" x14ac:dyDescent="0.25">
      <c r="A35" s="262">
        <v>29</v>
      </c>
      <c r="B35" s="263" t="s">
        <v>216</v>
      </c>
      <c r="D35" s="264"/>
      <c r="E35" s="79">
        <v>7816104</v>
      </c>
      <c r="F35" s="78">
        <v>6738730</v>
      </c>
      <c r="G35" s="78">
        <v>692779</v>
      </c>
      <c r="H35" s="78">
        <v>0</v>
      </c>
      <c r="I35" s="45">
        <v>15247613</v>
      </c>
      <c r="J35" s="47">
        <v>337160</v>
      </c>
      <c r="K35" s="49">
        <v>323418</v>
      </c>
      <c r="L35" s="49">
        <v>1444</v>
      </c>
      <c r="M35" s="49">
        <v>0</v>
      </c>
      <c r="N35" s="45">
        <v>662022</v>
      </c>
      <c r="O35" s="49">
        <v>410703</v>
      </c>
      <c r="P35" s="49">
        <v>151301</v>
      </c>
      <c r="Q35" s="49">
        <v>9596</v>
      </c>
      <c r="R35" s="49">
        <v>0</v>
      </c>
      <c r="S35" s="45">
        <v>571600</v>
      </c>
      <c r="T35" s="47">
        <v>487250</v>
      </c>
      <c r="U35" s="49">
        <v>503816</v>
      </c>
      <c r="V35" s="49">
        <v>33663</v>
      </c>
      <c r="W35" s="49">
        <v>0</v>
      </c>
      <c r="X35" s="47">
        <v>1024729</v>
      </c>
      <c r="Y35" s="47">
        <v>389973</v>
      </c>
      <c r="Z35" s="49">
        <v>369974</v>
      </c>
      <c r="AA35" s="49">
        <v>33214</v>
      </c>
      <c r="AB35" s="49">
        <v>0</v>
      </c>
      <c r="AC35" s="45">
        <v>793161</v>
      </c>
      <c r="AD35" s="47">
        <v>550167</v>
      </c>
      <c r="AE35" s="49">
        <v>575937</v>
      </c>
      <c r="AF35" s="49">
        <v>44273</v>
      </c>
      <c r="AG35" s="49">
        <v>0</v>
      </c>
      <c r="AH35" s="45">
        <v>1170377</v>
      </c>
      <c r="AI35" s="47">
        <v>470760</v>
      </c>
      <c r="AJ35" s="49">
        <v>1123085</v>
      </c>
      <c r="AK35" s="49">
        <v>36736</v>
      </c>
      <c r="AL35" s="49">
        <v>46</v>
      </c>
      <c r="AM35" s="45">
        <v>1630627</v>
      </c>
      <c r="AN35" s="47">
        <v>936326</v>
      </c>
      <c r="AO35" s="49">
        <v>1108677</v>
      </c>
      <c r="AP35" s="49">
        <v>47363</v>
      </c>
      <c r="AQ35" s="49">
        <v>0</v>
      </c>
      <c r="AR35" s="45">
        <v>2092366</v>
      </c>
      <c r="AS35" s="47">
        <v>489997</v>
      </c>
      <c r="AT35" s="49">
        <v>314746</v>
      </c>
      <c r="AU35" s="49">
        <v>42363</v>
      </c>
      <c r="AV35" s="49">
        <v>0</v>
      </c>
      <c r="AW35" s="45">
        <v>847106</v>
      </c>
      <c r="AX35" s="47">
        <v>496186</v>
      </c>
      <c r="AY35" s="49">
        <v>408895</v>
      </c>
      <c r="AZ35" s="49">
        <v>62312</v>
      </c>
      <c r="BA35" s="49">
        <v>0</v>
      </c>
      <c r="BB35" s="45">
        <v>967393</v>
      </c>
      <c r="BC35" s="47">
        <v>398390</v>
      </c>
      <c r="BD35" s="49">
        <v>350334</v>
      </c>
      <c r="BE35" s="49">
        <v>-105</v>
      </c>
      <c r="BF35" s="49">
        <v>0</v>
      </c>
      <c r="BG35" s="45">
        <v>748619</v>
      </c>
      <c r="BH35" s="47">
        <v>0</v>
      </c>
      <c r="BI35" s="49">
        <v>0</v>
      </c>
      <c r="BJ35" s="49">
        <v>0</v>
      </c>
      <c r="BK35" s="49">
        <v>0</v>
      </c>
      <c r="BL35" s="45">
        <v>0</v>
      </c>
      <c r="BM35" s="47">
        <v>0</v>
      </c>
      <c r="BN35" s="49">
        <v>0</v>
      </c>
      <c r="BO35" s="49">
        <v>0</v>
      </c>
      <c r="BP35" s="49">
        <v>0</v>
      </c>
      <c r="BQ35" s="45">
        <v>0</v>
      </c>
      <c r="BR35" s="47">
        <v>4966912</v>
      </c>
      <c r="BS35" s="78">
        <v>5230183</v>
      </c>
      <c r="BT35" s="49">
        <v>310859</v>
      </c>
      <c r="BU35" s="49">
        <v>46</v>
      </c>
      <c r="BV35" s="47">
        <v>10508000</v>
      </c>
      <c r="BW35" s="13"/>
      <c r="BX35" s="266"/>
      <c r="CA35" s="325"/>
      <c r="CB35" s="1"/>
    </row>
    <row r="36" spans="1:80" ht="13.5" x14ac:dyDescent="0.25">
      <c r="A36" s="262">
        <v>30</v>
      </c>
      <c r="B36" s="263" t="s">
        <v>217</v>
      </c>
      <c r="D36" s="264"/>
      <c r="E36" s="79">
        <v>683786</v>
      </c>
      <c r="F36" s="78">
        <v>2565392</v>
      </c>
      <c r="G36" s="78">
        <v>31750</v>
      </c>
      <c r="H36" s="78">
        <v>0</v>
      </c>
      <c r="I36" s="45">
        <v>3280928</v>
      </c>
      <c r="J36" s="47">
        <v>25268</v>
      </c>
      <c r="K36" s="49">
        <v>0</v>
      </c>
      <c r="L36" s="49">
        <v>0</v>
      </c>
      <c r="M36" s="49">
        <v>27</v>
      </c>
      <c r="N36" s="45">
        <v>25295</v>
      </c>
      <c r="O36" s="49">
        <v>24248</v>
      </c>
      <c r="P36" s="49">
        <v>594685</v>
      </c>
      <c r="Q36" s="49">
        <v>0</v>
      </c>
      <c r="R36" s="49">
        <v>0</v>
      </c>
      <c r="S36" s="45">
        <v>618933</v>
      </c>
      <c r="T36" s="47">
        <v>31221</v>
      </c>
      <c r="U36" s="49">
        <v>118</v>
      </c>
      <c r="V36" s="49">
        <v>5293</v>
      </c>
      <c r="W36" s="49">
        <v>0</v>
      </c>
      <c r="X36" s="45">
        <v>36632</v>
      </c>
      <c r="Y36" s="47">
        <v>31653</v>
      </c>
      <c r="Z36" s="49">
        <v>115</v>
      </c>
      <c r="AA36" s="49">
        <v>251</v>
      </c>
      <c r="AB36" s="49">
        <v>0</v>
      </c>
      <c r="AC36" s="45">
        <v>32019</v>
      </c>
      <c r="AD36" s="47">
        <v>57688</v>
      </c>
      <c r="AE36" s="49">
        <v>403769</v>
      </c>
      <c r="AF36" s="49">
        <v>2330</v>
      </c>
      <c r="AG36" s="49">
        <v>0</v>
      </c>
      <c r="AH36" s="45">
        <v>463787</v>
      </c>
      <c r="AI36" s="47">
        <v>7912</v>
      </c>
      <c r="AJ36" s="49">
        <v>131435</v>
      </c>
      <c r="AK36" s="49">
        <v>426</v>
      </c>
      <c r="AL36" s="49">
        <v>0</v>
      </c>
      <c r="AM36" s="45">
        <v>139773</v>
      </c>
      <c r="AN36" s="47">
        <v>48433</v>
      </c>
      <c r="AO36" s="49">
        <v>632343</v>
      </c>
      <c r="AP36" s="49">
        <v>1548</v>
      </c>
      <c r="AQ36" s="49">
        <v>0</v>
      </c>
      <c r="AR36" s="45">
        <v>682324</v>
      </c>
      <c r="AS36" s="47">
        <v>43534</v>
      </c>
      <c r="AT36" s="49">
        <v>553</v>
      </c>
      <c r="AU36" s="49">
        <v>601</v>
      </c>
      <c r="AV36" s="49">
        <v>0</v>
      </c>
      <c r="AW36" s="45">
        <v>44688</v>
      </c>
      <c r="AX36" s="47">
        <v>41598</v>
      </c>
      <c r="AY36" s="49">
        <v>146</v>
      </c>
      <c r="AZ36" s="49">
        <v>328</v>
      </c>
      <c r="BA36" s="49">
        <v>0</v>
      </c>
      <c r="BB36" s="45">
        <v>42072</v>
      </c>
      <c r="BC36" s="47">
        <v>37784</v>
      </c>
      <c r="BD36" s="49">
        <v>403</v>
      </c>
      <c r="BE36" s="49">
        <v>401</v>
      </c>
      <c r="BF36" s="49">
        <v>0</v>
      </c>
      <c r="BG36" s="45">
        <v>38588</v>
      </c>
      <c r="BH36" s="47">
        <v>0</v>
      </c>
      <c r="BI36" s="49">
        <v>0</v>
      </c>
      <c r="BJ36" s="49">
        <v>0</v>
      </c>
      <c r="BK36" s="49">
        <v>0</v>
      </c>
      <c r="BL36" s="45">
        <v>0</v>
      </c>
      <c r="BM36" s="47">
        <v>0</v>
      </c>
      <c r="BN36" s="49">
        <v>0</v>
      </c>
      <c r="BO36" s="49">
        <v>0</v>
      </c>
      <c r="BP36" s="49">
        <v>0</v>
      </c>
      <c r="BQ36" s="45">
        <v>0</v>
      </c>
      <c r="BR36" s="47">
        <v>349339</v>
      </c>
      <c r="BS36" s="78">
        <v>1763567</v>
      </c>
      <c r="BT36" s="49">
        <v>11178</v>
      </c>
      <c r="BU36" s="49">
        <v>27</v>
      </c>
      <c r="BV36" s="47">
        <v>2124111</v>
      </c>
      <c r="BW36" s="13"/>
      <c r="BX36" s="266"/>
      <c r="CA36" s="325"/>
      <c r="CB36" s="1"/>
    </row>
    <row r="37" spans="1:80" ht="13.5" x14ac:dyDescent="0.25">
      <c r="A37" s="262">
        <v>31</v>
      </c>
      <c r="B37" s="263" t="s">
        <v>218</v>
      </c>
      <c r="D37" s="264"/>
      <c r="E37" s="79">
        <v>1942196</v>
      </c>
      <c r="F37" s="78">
        <v>1292282</v>
      </c>
      <c r="G37" s="78">
        <v>64827</v>
      </c>
      <c r="H37" s="78">
        <v>0</v>
      </c>
      <c r="I37" s="45">
        <v>3299305</v>
      </c>
      <c r="J37" s="47">
        <v>115225</v>
      </c>
      <c r="K37" s="49">
        <v>306678</v>
      </c>
      <c r="L37" s="49">
        <v>352</v>
      </c>
      <c r="M37" s="49">
        <v>0</v>
      </c>
      <c r="N37" s="45">
        <v>422255</v>
      </c>
      <c r="O37" s="49">
        <v>149897</v>
      </c>
      <c r="P37" s="49">
        <v>35228</v>
      </c>
      <c r="Q37" s="49">
        <v>0</v>
      </c>
      <c r="R37" s="49">
        <v>0</v>
      </c>
      <c r="S37" s="45">
        <v>185125</v>
      </c>
      <c r="T37" s="47">
        <v>130913</v>
      </c>
      <c r="U37" s="49">
        <v>8001</v>
      </c>
      <c r="V37" s="49">
        <v>30</v>
      </c>
      <c r="W37" s="49">
        <v>20</v>
      </c>
      <c r="X37" s="45">
        <v>138964</v>
      </c>
      <c r="Y37" s="47">
        <v>142056</v>
      </c>
      <c r="Z37" s="49">
        <v>35071</v>
      </c>
      <c r="AA37" s="49">
        <v>956</v>
      </c>
      <c r="AB37" s="49">
        <v>0</v>
      </c>
      <c r="AC37" s="45">
        <v>178083</v>
      </c>
      <c r="AD37" s="47">
        <v>158174</v>
      </c>
      <c r="AE37" s="49">
        <v>268748</v>
      </c>
      <c r="AF37" s="49">
        <v>881</v>
      </c>
      <c r="AG37" s="49">
        <v>0</v>
      </c>
      <c r="AH37" s="45">
        <v>427803</v>
      </c>
      <c r="AI37" s="47">
        <v>138936</v>
      </c>
      <c r="AJ37" s="49">
        <v>1105</v>
      </c>
      <c r="AK37" s="49">
        <v>3115</v>
      </c>
      <c r="AL37" s="49">
        <v>4</v>
      </c>
      <c r="AM37" s="45">
        <v>143160</v>
      </c>
      <c r="AN37" s="47">
        <v>162697</v>
      </c>
      <c r="AO37" s="49">
        <v>54255</v>
      </c>
      <c r="AP37" s="49">
        <v>5144</v>
      </c>
      <c r="AQ37" s="49">
        <v>31</v>
      </c>
      <c r="AR37" s="45">
        <v>222127</v>
      </c>
      <c r="AS37" s="47">
        <v>144996</v>
      </c>
      <c r="AT37" s="49">
        <v>252360</v>
      </c>
      <c r="AU37" s="49">
        <v>12094</v>
      </c>
      <c r="AV37" s="49">
        <v>2</v>
      </c>
      <c r="AW37" s="45">
        <v>409452</v>
      </c>
      <c r="AX37" s="47">
        <v>150119</v>
      </c>
      <c r="AY37" s="49">
        <v>38372</v>
      </c>
      <c r="AZ37" s="49">
        <v>15045</v>
      </c>
      <c r="BA37" s="49">
        <v>0</v>
      </c>
      <c r="BB37" s="45">
        <v>203536</v>
      </c>
      <c r="BC37" s="47">
        <v>127627</v>
      </c>
      <c r="BD37" s="49">
        <v>256125</v>
      </c>
      <c r="BE37" s="49">
        <v>40</v>
      </c>
      <c r="BF37" s="49">
        <v>0</v>
      </c>
      <c r="BG37" s="45">
        <v>383792</v>
      </c>
      <c r="BH37" s="47">
        <v>0</v>
      </c>
      <c r="BI37" s="49">
        <v>0</v>
      </c>
      <c r="BJ37" s="49">
        <v>0</v>
      </c>
      <c r="BK37" s="49">
        <v>0</v>
      </c>
      <c r="BL37" s="45">
        <v>0</v>
      </c>
      <c r="BM37" s="47">
        <v>0</v>
      </c>
      <c r="BN37" s="49">
        <v>0</v>
      </c>
      <c r="BO37" s="49">
        <v>0</v>
      </c>
      <c r="BP37" s="49">
        <v>0</v>
      </c>
      <c r="BQ37" s="45">
        <v>0</v>
      </c>
      <c r="BR37" s="47">
        <v>1420640</v>
      </c>
      <c r="BS37" s="78">
        <v>1255943</v>
      </c>
      <c r="BT37" s="49">
        <v>37657</v>
      </c>
      <c r="BU37" s="49">
        <v>57</v>
      </c>
      <c r="BV37" s="47">
        <v>2714297</v>
      </c>
      <c r="BW37" s="13"/>
      <c r="BX37" s="268"/>
      <c r="CA37" s="325"/>
      <c r="CB37" s="1"/>
    </row>
    <row r="38" spans="1:80" ht="13.5" x14ac:dyDescent="0.25">
      <c r="A38" s="262">
        <v>32</v>
      </c>
      <c r="B38" s="270" t="s">
        <v>219</v>
      </c>
      <c r="D38" s="264"/>
      <c r="E38" s="79">
        <v>6600377</v>
      </c>
      <c r="F38" s="78">
        <v>2935357</v>
      </c>
      <c r="G38" s="78">
        <v>402067</v>
      </c>
      <c r="H38" s="78">
        <v>0</v>
      </c>
      <c r="I38" s="45">
        <v>9937801</v>
      </c>
      <c r="J38" s="47">
        <v>225803</v>
      </c>
      <c r="K38" s="49">
        <v>153434</v>
      </c>
      <c r="L38" s="49">
        <v>152</v>
      </c>
      <c r="M38" s="49">
        <v>0</v>
      </c>
      <c r="N38" s="45">
        <v>379389</v>
      </c>
      <c r="O38" s="49">
        <v>473175</v>
      </c>
      <c r="P38" s="49">
        <v>109375</v>
      </c>
      <c r="Q38" s="49">
        <v>13208</v>
      </c>
      <c r="R38" s="49">
        <v>0</v>
      </c>
      <c r="S38" s="45">
        <v>595758</v>
      </c>
      <c r="T38" s="47">
        <v>370810</v>
      </c>
      <c r="U38" s="49">
        <v>58648</v>
      </c>
      <c r="V38" s="49">
        <v>30231</v>
      </c>
      <c r="W38" s="49">
        <v>0</v>
      </c>
      <c r="X38" s="45">
        <v>459689</v>
      </c>
      <c r="Y38" s="47">
        <v>319735</v>
      </c>
      <c r="Z38" s="49">
        <v>357030</v>
      </c>
      <c r="AA38" s="49">
        <v>17702</v>
      </c>
      <c r="AB38" s="49">
        <v>0</v>
      </c>
      <c r="AC38" s="45">
        <v>694467</v>
      </c>
      <c r="AD38" s="47">
        <v>519780</v>
      </c>
      <c r="AE38" s="49">
        <v>190750</v>
      </c>
      <c r="AF38" s="49">
        <v>19753</v>
      </c>
      <c r="AG38" s="49">
        <v>0</v>
      </c>
      <c r="AH38" s="45">
        <v>730283</v>
      </c>
      <c r="AI38" s="47">
        <v>302904</v>
      </c>
      <c r="AJ38" s="49">
        <v>213423</v>
      </c>
      <c r="AK38" s="49">
        <v>29019</v>
      </c>
      <c r="AL38" s="49">
        <v>0</v>
      </c>
      <c r="AM38" s="45">
        <v>545346</v>
      </c>
      <c r="AN38" s="47">
        <v>336489</v>
      </c>
      <c r="AO38" s="49">
        <v>465512</v>
      </c>
      <c r="AP38" s="49">
        <v>5922</v>
      </c>
      <c r="AQ38" s="49">
        <v>0</v>
      </c>
      <c r="AR38" s="45">
        <v>807923</v>
      </c>
      <c r="AS38" s="47">
        <v>507778</v>
      </c>
      <c r="AT38" s="49">
        <v>401311</v>
      </c>
      <c r="AU38" s="49">
        <v>18698</v>
      </c>
      <c r="AV38" s="49">
        <v>25</v>
      </c>
      <c r="AW38" s="45">
        <v>927812</v>
      </c>
      <c r="AX38" s="47">
        <v>510197</v>
      </c>
      <c r="AY38" s="49">
        <v>294705</v>
      </c>
      <c r="AZ38" s="49">
        <v>36968</v>
      </c>
      <c r="BA38" s="49">
        <v>0</v>
      </c>
      <c r="BB38" s="45">
        <v>841870</v>
      </c>
      <c r="BC38" s="47">
        <v>455959</v>
      </c>
      <c r="BD38" s="49">
        <v>256166</v>
      </c>
      <c r="BE38" s="49">
        <v>16266</v>
      </c>
      <c r="BF38" s="49">
        <v>0</v>
      </c>
      <c r="BG38" s="45">
        <v>728391</v>
      </c>
      <c r="BH38" s="47">
        <v>0</v>
      </c>
      <c r="BI38" s="49">
        <v>0</v>
      </c>
      <c r="BJ38" s="49">
        <v>0</v>
      </c>
      <c r="BK38" s="49">
        <v>0</v>
      </c>
      <c r="BL38" s="45">
        <v>0</v>
      </c>
      <c r="BM38" s="47">
        <v>0</v>
      </c>
      <c r="BN38" s="49">
        <v>0</v>
      </c>
      <c r="BO38" s="49">
        <v>0</v>
      </c>
      <c r="BP38" s="49">
        <v>0</v>
      </c>
      <c r="BQ38" s="45">
        <v>0</v>
      </c>
      <c r="BR38" s="47">
        <v>4022630</v>
      </c>
      <c r="BS38" s="78">
        <v>2500354</v>
      </c>
      <c r="BT38" s="49">
        <v>187919</v>
      </c>
      <c r="BU38" s="49">
        <v>25</v>
      </c>
      <c r="BV38" s="47">
        <v>6710928</v>
      </c>
      <c r="BW38" s="13"/>
      <c r="BX38" s="266"/>
      <c r="CA38" s="325"/>
      <c r="CB38" s="1"/>
    </row>
    <row r="39" spans="1:80" ht="13.5" x14ac:dyDescent="0.25">
      <c r="A39" s="271">
        <v>33</v>
      </c>
      <c r="B39" s="240" t="s">
        <v>220</v>
      </c>
      <c r="D39" s="277"/>
      <c r="E39" s="79">
        <v>851683</v>
      </c>
      <c r="F39" s="78">
        <v>28217470</v>
      </c>
      <c r="G39" s="78">
        <v>9866</v>
      </c>
      <c r="H39" s="78">
        <v>0</v>
      </c>
      <c r="I39" s="45">
        <v>29079019</v>
      </c>
      <c r="J39" s="47">
        <v>32666</v>
      </c>
      <c r="K39" s="49">
        <v>992442</v>
      </c>
      <c r="L39" s="49">
        <v>0</v>
      </c>
      <c r="M39" s="49">
        <v>0</v>
      </c>
      <c r="N39" s="45">
        <v>1025108</v>
      </c>
      <c r="O39" s="49">
        <v>33435</v>
      </c>
      <c r="P39" s="49">
        <v>1618754</v>
      </c>
      <c r="Q39" s="49">
        <v>86</v>
      </c>
      <c r="R39" s="49">
        <v>0</v>
      </c>
      <c r="S39" s="45">
        <v>1652275</v>
      </c>
      <c r="T39" s="47">
        <v>46418</v>
      </c>
      <c r="U39" s="49">
        <v>1572036</v>
      </c>
      <c r="V39" s="49">
        <v>620</v>
      </c>
      <c r="W39" s="49">
        <v>0</v>
      </c>
      <c r="X39" s="45">
        <v>1619074</v>
      </c>
      <c r="Y39" s="47">
        <v>45234</v>
      </c>
      <c r="Z39" s="49">
        <v>2833992</v>
      </c>
      <c r="AA39" s="49">
        <v>146</v>
      </c>
      <c r="AB39" s="49">
        <v>0</v>
      </c>
      <c r="AC39" s="45">
        <v>2879372</v>
      </c>
      <c r="AD39" s="47">
        <v>38469</v>
      </c>
      <c r="AE39" s="49">
        <v>1722425</v>
      </c>
      <c r="AF39" s="49">
        <v>323</v>
      </c>
      <c r="AG39" s="49">
        <v>3</v>
      </c>
      <c r="AH39" s="45">
        <v>1761220</v>
      </c>
      <c r="AI39" s="47">
        <v>47681</v>
      </c>
      <c r="AJ39" s="49">
        <v>1203873</v>
      </c>
      <c r="AK39" s="49">
        <v>796</v>
      </c>
      <c r="AL39" s="49">
        <v>0</v>
      </c>
      <c r="AM39" s="45">
        <v>1252350</v>
      </c>
      <c r="AN39" s="47">
        <v>68032</v>
      </c>
      <c r="AO39" s="49">
        <v>1774795</v>
      </c>
      <c r="AP39" s="49">
        <v>1640</v>
      </c>
      <c r="AQ39" s="49">
        <v>23</v>
      </c>
      <c r="AR39" s="45">
        <v>1844490</v>
      </c>
      <c r="AS39" s="47">
        <v>60357</v>
      </c>
      <c r="AT39" s="49">
        <v>4280349</v>
      </c>
      <c r="AU39" s="49">
        <v>1908</v>
      </c>
      <c r="AV39" s="49">
        <v>0</v>
      </c>
      <c r="AW39" s="45">
        <v>4342614</v>
      </c>
      <c r="AX39" s="47">
        <v>62002</v>
      </c>
      <c r="AY39" s="49">
        <v>1901347</v>
      </c>
      <c r="AZ39" s="49">
        <v>536</v>
      </c>
      <c r="BA39" s="49">
        <v>0</v>
      </c>
      <c r="BB39" s="45">
        <v>1963885</v>
      </c>
      <c r="BC39" s="47">
        <v>47615</v>
      </c>
      <c r="BD39" s="49">
        <v>1096395</v>
      </c>
      <c r="BE39" s="49">
        <v>278</v>
      </c>
      <c r="BF39" s="49">
        <v>0</v>
      </c>
      <c r="BG39" s="45">
        <v>1144288</v>
      </c>
      <c r="BH39" s="47">
        <v>0</v>
      </c>
      <c r="BI39" s="49">
        <v>0</v>
      </c>
      <c r="BJ39" s="49">
        <v>0</v>
      </c>
      <c r="BK39" s="49">
        <v>0</v>
      </c>
      <c r="BL39" s="45">
        <v>0</v>
      </c>
      <c r="BM39" s="47">
        <v>0</v>
      </c>
      <c r="BN39" s="49">
        <v>0</v>
      </c>
      <c r="BO39" s="49">
        <v>0</v>
      </c>
      <c r="BP39" s="49">
        <v>0</v>
      </c>
      <c r="BQ39" s="45">
        <v>0</v>
      </c>
      <c r="BR39" s="47">
        <v>481909</v>
      </c>
      <c r="BS39" s="78">
        <v>18996408</v>
      </c>
      <c r="BT39" s="49">
        <v>6333</v>
      </c>
      <c r="BU39" s="49">
        <v>26</v>
      </c>
      <c r="BV39" s="47">
        <v>19484676</v>
      </c>
      <c r="BW39" s="13"/>
      <c r="BX39" s="266"/>
      <c r="CA39" s="325"/>
      <c r="CB39" s="1"/>
    </row>
    <row r="40" spans="1:80" ht="13.5" x14ac:dyDescent="0.25">
      <c r="A40" s="262">
        <v>34</v>
      </c>
      <c r="B40" s="263" t="s">
        <v>221</v>
      </c>
      <c r="D40" s="264"/>
      <c r="E40" s="79">
        <v>1499015</v>
      </c>
      <c r="F40" s="78">
        <v>6049626</v>
      </c>
      <c r="G40" s="78">
        <v>18409</v>
      </c>
      <c r="H40" s="78">
        <v>0</v>
      </c>
      <c r="I40" s="45">
        <v>7567050</v>
      </c>
      <c r="J40" s="47">
        <v>95974</v>
      </c>
      <c r="K40" s="49">
        <v>644148</v>
      </c>
      <c r="L40" s="49">
        <v>89</v>
      </c>
      <c r="M40" s="49">
        <v>0</v>
      </c>
      <c r="N40" s="45">
        <v>740211</v>
      </c>
      <c r="O40" s="49">
        <v>110775</v>
      </c>
      <c r="P40" s="49">
        <v>97342</v>
      </c>
      <c r="Q40" s="49">
        <v>400</v>
      </c>
      <c r="R40" s="49">
        <v>0</v>
      </c>
      <c r="S40" s="45">
        <v>208517</v>
      </c>
      <c r="T40" s="47">
        <v>101866</v>
      </c>
      <c r="U40" s="49">
        <v>745555</v>
      </c>
      <c r="V40" s="49">
        <v>369</v>
      </c>
      <c r="W40" s="49">
        <v>0</v>
      </c>
      <c r="X40" s="45">
        <v>847790</v>
      </c>
      <c r="Y40" s="47">
        <v>108315</v>
      </c>
      <c r="Z40" s="49">
        <v>259529</v>
      </c>
      <c r="AA40" s="49">
        <v>375</v>
      </c>
      <c r="AB40" s="49">
        <v>0</v>
      </c>
      <c r="AC40" s="45">
        <v>368219</v>
      </c>
      <c r="AD40" s="47">
        <v>105876</v>
      </c>
      <c r="AE40" s="49">
        <v>1229322</v>
      </c>
      <c r="AF40" s="49">
        <v>2330</v>
      </c>
      <c r="AG40" s="49">
        <v>0</v>
      </c>
      <c r="AH40" s="45">
        <v>1337528</v>
      </c>
      <c r="AI40" s="47">
        <v>96302</v>
      </c>
      <c r="AJ40" s="49">
        <v>205214</v>
      </c>
      <c r="AK40" s="49">
        <v>46</v>
      </c>
      <c r="AL40" s="49">
        <v>0</v>
      </c>
      <c r="AM40" s="45">
        <v>301562</v>
      </c>
      <c r="AN40" s="47">
        <v>104096</v>
      </c>
      <c r="AO40" s="49">
        <v>653250</v>
      </c>
      <c r="AP40" s="49">
        <v>1054</v>
      </c>
      <c r="AQ40" s="49">
        <v>0</v>
      </c>
      <c r="AR40" s="45">
        <v>758400</v>
      </c>
      <c r="AS40" s="47">
        <v>102635</v>
      </c>
      <c r="AT40" s="49">
        <v>952745</v>
      </c>
      <c r="AU40" s="49">
        <v>672</v>
      </c>
      <c r="AV40" s="49">
        <v>0</v>
      </c>
      <c r="AW40" s="45">
        <v>1056052</v>
      </c>
      <c r="AX40" s="47">
        <v>100780</v>
      </c>
      <c r="AY40" s="49">
        <v>96450</v>
      </c>
      <c r="AZ40" s="49">
        <v>189</v>
      </c>
      <c r="BA40" s="49">
        <v>0</v>
      </c>
      <c r="BB40" s="45">
        <v>197419</v>
      </c>
      <c r="BC40" s="47">
        <v>87692</v>
      </c>
      <c r="BD40" s="49">
        <v>133584</v>
      </c>
      <c r="BE40" s="49">
        <v>-906</v>
      </c>
      <c r="BF40" s="49">
        <v>1457</v>
      </c>
      <c r="BG40" s="45">
        <v>221827</v>
      </c>
      <c r="BH40" s="47">
        <v>0</v>
      </c>
      <c r="BI40" s="49">
        <v>0</v>
      </c>
      <c r="BJ40" s="49">
        <v>0</v>
      </c>
      <c r="BK40" s="49">
        <v>0</v>
      </c>
      <c r="BL40" s="45">
        <v>0</v>
      </c>
      <c r="BM40" s="47">
        <v>0</v>
      </c>
      <c r="BN40" s="49">
        <v>0</v>
      </c>
      <c r="BO40" s="49">
        <v>0</v>
      </c>
      <c r="BP40" s="49">
        <v>0</v>
      </c>
      <c r="BQ40" s="45">
        <v>0</v>
      </c>
      <c r="BR40" s="47">
        <v>1014311</v>
      </c>
      <c r="BS40" s="78">
        <v>5017139</v>
      </c>
      <c r="BT40" s="49">
        <v>4618</v>
      </c>
      <c r="BU40" s="49">
        <v>1457</v>
      </c>
      <c r="BV40" s="47">
        <v>6037525</v>
      </c>
      <c r="BW40" s="13"/>
      <c r="BX40" s="268"/>
      <c r="CA40" s="325"/>
      <c r="CB40" s="1"/>
    </row>
    <row r="41" spans="1:80" ht="13.5" x14ac:dyDescent="0.25">
      <c r="A41" s="262">
        <v>35</v>
      </c>
      <c r="B41" s="263" t="s">
        <v>222</v>
      </c>
      <c r="D41" s="264"/>
      <c r="E41" s="79">
        <v>506974</v>
      </c>
      <c r="F41" s="78">
        <v>6767909</v>
      </c>
      <c r="G41" s="78">
        <v>3404</v>
      </c>
      <c r="H41" s="78">
        <v>0</v>
      </c>
      <c r="I41" s="45">
        <v>7278287</v>
      </c>
      <c r="J41" s="47">
        <v>28642</v>
      </c>
      <c r="K41" s="49">
        <v>907089</v>
      </c>
      <c r="L41" s="49">
        <v>149</v>
      </c>
      <c r="M41" s="49">
        <v>0</v>
      </c>
      <c r="N41" s="45">
        <v>935880</v>
      </c>
      <c r="O41" s="49">
        <v>26527</v>
      </c>
      <c r="P41" s="49">
        <v>49000</v>
      </c>
      <c r="Q41" s="49">
        <v>0</v>
      </c>
      <c r="R41" s="49">
        <v>0</v>
      </c>
      <c r="S41" s="45">
        <v>75527</v>
      </c>
      <c r="T41" s="47">
        <v>34234</v>
      </c>
      <c r="U41" s="49">
        <v>19668</v>
      </c>
      <c r="V41" s="49">
        <v>567</v>
      </c>
      <c r="W41" s="49">
        <v>0</v>
      </c>
      <c r="X41" s="45">
        <v>54469</v>
      </c>
      <c r="Y41" s="47">
        <v>31585</v>
      </c>
      <c r="Z41" s="49">
        <v>989667</v>
      </c>
      <c r="AA41" s="49">
        <v>200</v>
      </c>
      <c r="AB41" s="49">
        <v>0</v>
      </c>
      <c r="AC41" s="45">
        <v>1021452</v>
      </c>
      <c r="AD41" s="47">
        <v>38095</v>
      </c>
      <c r="AE41" s="49">
        <v>1283657</v>
      </c>
      <c r="AF41" s="49">
        <v>301</v>
      </c>
      <c r="AG41" s="49">
        <v>0</v>
      </c>
      <c r="AH41" s="45">
        <v>1322053</v>
      </c>
      <c r="AI41" s="47">
        <v>36997</v>
      </c>
      <c r="AJ41" s="49">
        <v>265718</v>
      </c>
      <c r="AK41" s="49">
        <v>-156</v>
      </c>
      <c r="AL41" s="49">
        <v>68</v>
      </c>
      <c r="AM41" s="45">
        <v>302627</v>
      </c>
      <c r="AN41" s="47">
        <v>36390</v>
      </c>
      <c r="AO41" s="49">
        <v>698426</v>
      </c>
      <c r="AP41" s="49">
        <v>21</v>
      </c>
      <c r="AQ41" s="49">
        <v>11</v>
      </c>
      <c r="AR41" s="45">
        <v>734848</v>
      </c>
      <c r="AS41" s="47">
        <v>33056</v>
      </c>
      <c r="AT41" s="49">
        <v>420973</v>
      </c>
      <c r="AU41" s="49">
        <v>2894</v>
      </c>
      <c r="AV41" s="49">
        <v>20</v>
      </c>
      <c r="AW41" s="45">
        <v>456943</v>
      </c>
      <c r="AX41" s="47">
        <v>45280</v>
      </c>
      <c r="AY41" s="49">
        <v>839762</v>
      </c>
      <c r="AZ41" s="49">
        <v>557</v>
      </c>
      <c r="BA41" s="49">
        <v>0</v>
      </c>
      <c r="BB41" s="45">
        <v>885599</v>
      </c>
      <c r="BC41" s="47">
        <v>32671</v>
      </c>
      <c r="BD41" s="49">
        <v>457085</v>
      </c>
      <c r="BE41" s="49">
        <v>104</v>
      </c>
      <c r="BF41" s="49">
        <v>0</v>
      </c>
      <c r="BG41" s="45">
        <v>489860</v>
      </c>
      <c r="BH41" s="47">
        <v>0</v>
      </c>
      <c r="BI41" s="49">
        <v>0</v>
      </c>
      <c r="BJ41" s="49">
        <v>0</v>
      </c>
      <c r="BK41" s="49">
        <v>0</v>
      </c>
      <c r="BL41" s="45">
        <v>0</v>
      </c>
      <c r="BM41" s="47">
        <v>0</v>
      </c>
      <c r="BN41" s="49">
        <v>0</v>
      </c>
      <c r="BO41" s="49">
        <v>0</v>
      </c>
      <c r="BP41" s="49">
        <v>0</v>
      </c>
      <c r="BQ41" s="45">
        <v>0</v>
      </c>
      <c r="BR41" s="47">
        <v>343477</v>
      </c>
      <c r="BS41" s="78">
        <v>5931045</v>
      </c>
      <c r="BT41" s="49">
        <v>4637</v>
      </c>
      <c r="BU41" s="49">
        <v>99</v>
      </c>
      <c r="BV41" s="47">
        <v>6279258</v>
      </c>
      <c r="BW41" s="13"/>
      <c r="BX41" s="268"/>
      <c r="CA41" s="325"/>
      <c r="CB41" s="1"/>
    </row>
    <row r="42" spans="1:80" ht="13.5" x14ac:dyDescent="0.25">
      <c r="A42" s="262">
        <v>36</v>
      </c>
      <c r="B42" s="240" t="s">
        <v>223</v>
      </c>
      <c r="D42" s="264"/>
      <c r="E42" s="79">
        <v>196051</v>
      </c>
      <c r="F42" s="78">
        <v>2077528</v>
      </c>
      <c r="G42" s="78">
        <v>4224</v>
      </c>
      <c r="H42" s="78">
        <v>0</v>
      </c>
      <c r="I42" s="45">
        <v>2277803</v>
      </c>
      <c r="J42" s="47">
        <v>13296</v>
      </c>
      <c r="K42" s="49">
        <v>94236</v>
      </c>
      <c r="L42" s="49">
        <v>331</v>
      </c>
      <c r="M42" s="49">
        <v>0</v>
      </c>
      <c r="N42" s="45">
        <v>107863</v>
      </c>
      <c r="O42" s="49">
        <v>15549</v>
      </c>
      <c r="P42" s="49">
        <v>502419</v>
      </c>
      <c r="Q42" s="49">
        <v>184</v>
      </c>
      <c r="R42" s="49">
        <v>0</v>
      </c>
      <c r="S42" s="45">
        <v>518152</v>
      </c>
      <c r="T42" s="47">
        <v>12426</v>
      </c>
      <c r="U42" s="49">
        <v>89876</v>
      </c>
      <c r="V42" s="49">
        <v>429</v>
      </c>
      <c r="W42" s="49">
        <v>0</v>
      </c>
      <c r="X42" s="45">
        <v>102731</v>
      </c>
      <c r="Y42" s="47">
        <v>11928</v>
      </c>
      <c r="Z42" s="49">
        <v>244226</v>
      </c>
      <c r="AA42" s="49">
        <v>418</v>
      </c>
      <c r="AB42" s="49">
        <v>0</v>
      </c>
      <c r="AC42" s="45">
        <v>256572</v>
      </c>
      <c r="AD42" s="47">
        <v>12624</v>
      </c>
      <c r="AE42" s="49">
        <v>548919</v>
      </c>
      <c r="AF42" s="49">
        <v>34</v>
      </c>
      <c r="AG42" s="49">
        <v>0</v>
      </c>
      <c r="AH42" s="45">
        <v>561577</v>
      </c>
      <c r="AI42" s="47">
        <v>21376</v>
      </c>
      <c r="AJ42" s="49">
        <v>183356</v>
      </c>
      <c r="AK42" s="49">
        <v>172</v>
      </c>
      <c r="AL42" s="49">
        <v>0</v>
      </c>
      <c r="AM42" s="45">
        <v>204904</v>
      </c>
      <c r="AN42" s="47">
        <v>15074</v>
      </c>
      <c r="AO42" s="49">
        <v>7647</v>
      </c>
      <c r="AP42" s="49">
        <v>173</v>
      </c>
      <c r="AQ42" s="49">
        <v>0</v>
      </c>
      <c r="AR42" s="45">
        <v>22894</v>
      </c>
      <c r="AS42" s="47">
        <v>15830</v>
      </c>
      <c r="AT42" s="49">
        <v>88657</v>
      </c>
      <c r="AU42" s="49">
        <v>482</v>
      </c>
      <c r="AV42" s="49">
        <v>0</v>
      </c>
      <c r="AW42" s="45">
        <v>104969</v>
      </c>
      <c r="AX42" s="47">
        <v>16023</v>
      </c>
      <c r="AY42" s="49">
        <v>170724</v>
      </c>
      <c r="AZ42" s="49">
        <v>331</v>
      </c>
      <c r="BA42" s="49">
        <v>0</v>
      </c>
      <c r="BB42" s="45">
        <v>187078</v>
      </c>
      <c r="BC42" s="47">
        <v>13181</v>
      </c>
      <c r="BD42" s="49">
        <v>71694</v>
      </c>
      <c r="BE42" s="49">
        <v>130</v>
      </c>
      <c r="BF42" s="49">
        <v>0</v>
      </c>
      <c r="BG42" s="45">
        <v>85005</v>
      </c>
      <c r="BH42" s="47">
        <v>0</v>
      </c>
      <c r="BI42" s="49">
        <v>0</v>
      </c>
      <c r="BJ42" s="49">
        <v>0</v>
      </c>
      <c r="BK42" s="49">
        <v>0</v>
      </c>
      <c r="BL42" s="45">
        <v>0</v>
      </c>
      <c r="BM42" s="47">
        <v>0</v>
      </c>
      <c r="BN42" s="49">
        <v>0</v>
      </c>
      <c r="BO42" s="49">
        <v>0</v>
      </c>
      <c r="BP42" s="49">
        <v>0</v>
      </c>
      <c r="BQ42" s="45">
        <v>0</v>
      </c>
      <c r="BR42" s="47">
        <v>147307</v>
      </c>
      <c r="BS42" s="78">
        <v>2001754</v>
      </c>
      <c r="BT42" s="49">
        <v>2684</v>
      </c>
      <c r="BU42" s="49">
        <v>0</v>
      </c>
      <c r="BV42" s="47">
        <v>2151745</v>
      </c>
      <c r="BW42" s="13"/>
      <c r="BX42" s="266"/>
      <c r="CA42" s="325"/>
      <c r="CB42" s="1"/>
    </row>
    <row r="43" spans="1:80" ht="13.5" x14ac:dyDescent="0.25">
      <c r="A43" s="262">
        <v>37</v>
      </c>
      <c r="B43" s="240" t="s">
        <v>224</v>
      </c>
      <c r="D43" s="276"/>
      <c r="E43" s="79">
        <v>850680</v>
      </c>
      <c r="F43" s="78">
        <v>4332970</v>
      </c>
      <c r="G43" s="78">
        <v>127088</v>
      </c>
      <c r="H43" s="78">
        <v>0</v>
      </c>
      <c r="I43" s="45">
        <v>5310738</v>
      </c>
      <c r="J43" s="47">
        <v>34632</v>
      </c>
      <c r="K43" s="49">
        <v>668650</v>
      </c>
      <c r="L43" s="49">
        <v>0</v>
      </c>
      <c r="M43" s="49">
        <v>0</v>
      </c>
      <c r="N43" s="45">
        <v>703282</v>
      </c>
      <c r="O43" s="49">
        <v>54736</v>
      </c>
      <c r="P43" s="49">
        <v>160450</v>
      </c>
      <c r="Q43" s="49">
        <v>0</v>
      </c>
      <c r="R43" s="49">
        <v>7</v>
      </c>
      <c r="S43" s="45">
        <v>215193</v>
      </c>
      <c r="T43" s="47">
        <v>93941</v>
      </c>
      <c r="U43" s="49">
        <v>51604</v>
      </c>
      <c r="V43" s="49">
        <v>491</v>
      </c>
      <c r="W43" s="49">
        <v>0</v>
      </c>
      <c r="X43" s="45">
        <v>146036</v>
      </c>
      <c r="Y43" s="47">
        <v>44933</v>
      </c>
      <c r="Z43" s="49">
        <v>825902</v>
      </c>
      <c r="AA43" s="49">
        <v>1653</v>
      </c>
      <c r="AB43" s="49">
        <v>0</v>
      </c>
      <c r="AC43" s="45">
        <v>872488</v>
      </c>
      <c r="AD43" s="47">
        <v>89369</v>
      </c>
      <c r="AE43" s="49">
        <v>40846</v>
      </c>
      <c r="AF43" s="49">
        <v>-47</v>
      </c>
      <c r="AG43" s="49">
        <v>7</v>
      </c>
      <c r="AH43" s="45">
        <v>130175</v>
      </c>
      <c r="AI43" s="47">
        <v>41967</v>
      </c>
      <c r="AJ43" s="49">
        <v>206222</v>
      </c>
      <c r="AK43" s="49">
        <v>5632</v>
      </c>
      <c r="AL43" s="49">
        <v>0</v>
      </c>
      <c r="AM43" s="45">
        <v>253821</v>
      </c>
      <c r="AN43" s="47">
        <v>51151</v>
      </c>
      <c r="AO43" s="49">
        <v>707456</v>
      </c>
      <c r="AP43" s="49">
        <v>13709</v>
      </c>
      <c r="AQ43" s="49">
        <v>0</v>
      </c>
      <c r="AR43" s="45">
        <v>772316</v>
      </c>
      <c r="AS43" s="47">
        <v>49339</v>
      </c>
      <c r="AT43" s="49">
        <v>390516</v>
      </c>
      <c r="AU43" s="49">
        <v>244</v>
      </c>
      <c r="AV43" s="49">
        <v>0</v>
      </c>
      <c r="AW43" s="45">
        <v>440099</v>
      </c>
      <c r="AX43" s="47">
        <v>63499</v>
      </c>
      <c r="AY43" s="49">
        <v>139524</v>
      </c>
      <c r="AZ43" s="49">
        <v>1856</v>
      </c>
      <c r="BA43" s="49">
        <v>0</v>
      </c>
      <c r="BB43" s="45">
        <v>204879</v>
      </c>
      <c r="BC43" s="47">
        <v>38139</v>
      </c>
      <c r="BD43" s="49">
        <v>570660</v>
      </c>
      <c r="BE43" s="49">
        <v>462</v>
      </c>
      <c r="BF43" s="49">
        <v>0</v>
      </c>
      <c r="BG43" s="45">
        <v>609261</v>
      </c>
      <c r="BH43" s="47">
        <v>0</v>
      </c>
      <c r="BI43" s="49">
        <v>0</v>
      </c>
      <c r="BJ43" s="49">
        <v>0</v>
      </c>
      <c r="BK43" s="49">
        <v>0</v>
      </c>
      <c r="BL43" s="45">
        <v>0</v>
      </c>
      <c r="BM43" s="47">
        <v>0</v>
      </c>
      <c r="BN43" s="49">
        <v>0</v>
      </c>
      <c r="BO43" s="49">
        <v>0</v>
      </c>
      <c r="BP43" s="49">
        <v>0</v>
      </c>
      <c r="BQ43" s="45">
        <v>0</v>
      </c>
      <c r="BR43" s="47">
        <v>561706</v>
      </c>
      <c r="BS43" s="78">
        <v>3761830</v>
      </c>
      <c r="BT43" s="49">
        <v>24000</v>
      </c>
      <c r="BU43" s="49">
        <v>14</v>
      </c>
      <c r="BV43" s="47">
        <v>4347550</v>
      </c>
      <c r="BW43" s="13"/>
      <c r="BX43" s="268"/>
      <c r="CA43" s="325"/>
      <c r="CB43" s="1"/>
    </row>
    <row r="44" spans="1:80" ht="13.5" x14ac:dyDescent="0.25">
      <c r="A44" s="262">
        <v>38</v>
      </c>
      <c r="B44" s="263" t="s">
        <v>225</v>
      </c>
      <c r="D44" s="264"/>
      <c r="E44" s="79">
        <v>949529</v>
      </c>
      <c r="F44" s="78">
        <v>473551</v>
      </c>
      <c r="G44" s="78">
        <v>3780</v>
      </c>
      <c r="H44" s="78">
        <v>0</v>
      </c>
      <c r="I44" s="45">
        <v>1426860</v>
      </c>
      <c r="J44" s="47">
        <v>46005</v>
      </c>
      <c r="K44" s="49">
        <v>11</v>
      </c>
      <c r="L44" s="49">
        <v>1072</v>
      </c>
      <c r="M44" s="49">
        <v>0</v>
      </c>
      <c r="N44" s="45">
        <v>47088</v>
      </c>
      <c r="O44" s="49">
        <v>59713</v>
      </c>
      <c r="P44" s="49">
        <v>143631</v>
      </c>
      <c r="Q44" s="49">
        <v>436</v>
      </c>
      <c r="R44" s="49">
        <v>0</v>
      </c>
      <c r="S44" s="45">
        <v>203780</v>
      </c>
      <c r="T44" s="47">
        <v>44346</v>
      </c>
      <c r="U44" s="49">
        <v>33191</v>
      </c>
      <c r="V44" s="49">
        <v>1249</v>
      </c>
      <c r="W44" s="49">
        <v>0</v>
      </c>
      <c r="X44" s="45">
        <v>78786</v>
      </c>
      <c r="Y44" s="47">
        <v>39142</v>
      </c>
      <c r="Z44" s="49">
        <v>98744</v>
      </c>
      <c r="AA44" s="49">
        <v>1629</v>
      </c>
      <c r="AB44" s="49">
        <v>0</v>
      </c>
      <c r="AC44" s="45">
        <v>139515</v>
      </c>
      <c r="AD44" s="47">
        <v>36557</v>
      </c>
      <c r="AE44" s="49">
        <v>141</v>
      </c>
      <c r="AF44" s="49">
        <v>783</v>
      </c>
      <c r="AG44" s="49">
        <v>0</v>
      </c>
      <c r="AH44" s="45">
        <v>37481</v>
      </c>
      <c r="AI44" s="47">
        <v>43258</v>
      </c>
      <c r="AJ44" s="49">
        <v>11</v>
      </c>
      <c r="AK44" s="49">
        <v>117</v>
      </c>
      <c r="AL44" s="49">
        <v>0</v>
      </c>
      <c r="AM44" s="45">
        <v>43386</v>
      </c>
      <c r="AN44" s="47">
        <v>43915</v>
      </c>
      <c r="AO44" s="49">
        <v>99876</v>
      </c>
      <c r="AP44" s="49">
        <v>510</v>
      </c>
      <c r="AQ44" s="49">
        <v>0</v>
      </c>
      <c r="AR44" s="45">
        <v>144301</v>
      </c>
      <c r="AS44" s="47">
        <v>54666</v>
      </c>
      <c r="AT44" s="49">
        <v>-1010</v>
      </c>
      <c r="AU44" s="49">
        <v>756</v>
      </c>
      <c r="AV44" s="49">
        <v>2</v>
      </c>
      <c r="AW44" s="45">
        <v>54414</v>
      </c>
      <c r="AX44" s="47">
        <v>47467</v>
      </c>
      <c r="AY44" s="49">
        <v>3425</v>
      </c>
      <c r="AZ44" s="49">
        <v>902</v>
      </c>
      <c r="BA44" s="49">
        <v>0</v>
      </c>
      <c r="BB44" s="45">
        <v>51794</v>
      </c>
      <c r="BC44" s="47">
        <v>35539</v>
      </c>
      <c r="BD44" s="49">
        <v>82784</v>
      </c>
      <c r="BE44" s="49">
        <v>125</v>
      </c>
      <c r="BF44" s="49">
        <v>0</v>
      </c>
      <c r="BG44" s="45">
        <v>118448</v>
      </c>
      <c r="BH44" s="47">
        <v>0</v>
      </c>
      <c r="BI44" s="49">
        <v>0</v>
      </c>
      <c r="BJ44" s="49">
        <v>0</v>
      </c>
      <c r="BK44" s="49">
        <v>0</v>
      </c>
      <c r="BL44" s="45">
        <v>0</v>
      </c>
      <c r="BM44" s="47">
        <v>0</v>
      </c>
      <c r="BN44" s="49">
        <v>0</v>
      </c>
      <c r="BO44" s="49">
        <v>0</v>
      </c>
      <c r="BP44" s="49">
        <v>0</v>
      </c>
      <c r="BQ44" s="45">
        <v>0</v>
      </c>
      <c r="BR44" s="47">
        <v>450608</v>
      </c>
      <c r="BS44" s="78">
        <v>460804</v>
      </c>
      <c r="BT44" s="49">
        <v>7579</v>
      </c>
      <c r="BU44" s="49">
        <v>2</v>
      </c>
      <c r="BV44" s="47">
        <v>918993</v>
      </c>
      <c r="BW44" s="13"/>
      <c r="BX44" s="266"/>
      <c r="CA44" s="325"/>
      <c r="CB44" s="1"/>
    </row>
    <row r="45" spans="1:80" ht="13.5" x14ac:dyDescent="0.25">
      <c r="A45" s="262">
        <v>39</v>
      </c>
      <c r="B45" s="263" t="s">
        <v>226</v>
      </c>
      <c r="D45" s="264"/>
      <c r="E45" s="79">
        <v>1759525</v>
      </c>
      <c r="F45" s="78">
        <v>7497018</v>
      </c>
      <c r="G45" s="78">
        <v>16729</v>
      </c>
      <c r="H45" s="78">
        <v>0</v>
      </c>
      <c r="I45" s="45">
        <v>9273272</v>
      </c>
      <c r="J45" s="47">
        <v>127284</v>
      </c>
      <c r="K45" s="49">
        <v>1011184</v>
      </c>
      <c r="L45" s="49">
        <v>0</v>
      </c>
      <c r="M45" s="49">
        <v>0</v>
      </c>
      <c r="N45" s="45">
        <v>1138468</v>
      </c>
      <c r="O45" s="49">
        <v>86935</v>
      </c>
      <c r="P45" s="49">
        <v>734162</v>
      </c>
      <c r="Q45" s="49">
        <v>0</v>
      </c>
      <c r="R45" s="49">
        <v>0</v>
      </c>
      <c r="S45" s="45">
        <v>821097</v>
      </c>
      <c r="T45" s="47">
        <v>114405</v>
      </c>
      <c r="U45" s="49">
        <v>571137</v>
      </c>
      <c r="V45" s="49">
        <v>5701</v>
      </c>
      <c r="W45" s="49">
        <v>0</v>
      </c>
      <c r="X45" s="45">
        <v>691243</v>
      </c>
      <c r="Y45" s="47">
        <v>139251</v>
      </c>
      <c r="Z45" s="49">
        <v>286148</v>
      </c>
      <c r="AA45" s="49">
        <v>311</v>
      </c>
      <c r="AB45" s="49">
        <v>0</v>
      </c>
      <c r="AC45" s="45">
        <v>425710</v>
      </c>
      <c r="AD45" s="47">
        <v>149611</v>
      </c>
      <c r="AE45" s="49">
        <v>203952</v>
      </c>
      <c r="AF45" s="49">
        <v>4921</v>
      </c>
      <c r="AG45" s="49">
        <v>0</v>
      </c>
      <c r="AH45" s="45">
        <v>358484</v>
      </c>
      <c r="AI45" s="47">
        <v>129839</v>
      </c>
      <c r="AJ45" s="49">
        <v>448715</v>
      </c>
      <c r="AK45" s="49">
        <v>280</v>
      </c>
      <c r="AL45" s="49">
        <v>0</v>
      </c>
      <c r="AM45" s="45">
        <v>578834</v>
      </c>
      <c r="AN45" s="47">
        <v>119656</v>
      </c>
      <c r="AO45" s="49">
        <v>181264</v>
      </c>
      <c r="AP45" s="49">
        <v>57</v>
      </c>
      <c r="AQ45" s="49">
        <v>0</v>
      </c>
      <c r="AR45" s="45">
        <v>300977</v>
      </c>
      <c r="AS45" s="47">
        <v>133399</v>
      </c>
      <c r="AT45" s="49">
        <v>168670</v>
      </c>
      <c r="AU45" s="49">
        <v>494</v>
      </c>
      <c r="AV45" s="49">
        <v>0</v>
      </c>
      <c r="AW45" s="45">
        <v>302563</v>
      </c>
      <c r="AX45" s="47">
        <v>112256</v>
      </c>
      <c r="AY45" s="49">
        <v>371390</v>
      </c>
      <c r="AZ45" s="49">
        <v>0</v>
      </c>
      <c r="BA45" s="49">
        <v>0</v>
      </c>
      <c r="BB45" s="45">
        <v>483646</v>
      </c>
      <c r="BC45" s="47">
        <v>116911</v>
      </c>
      <c r="BD45" s="49">
        <v>348822</v>
      </c>
      <c r="BE45" s="49">
        <v>640</v>
      </c>
      <c r="BF45" s="49">
        <v>0</v>
      </c>
      <c r="BG45" s="45">
        <v>466373</v>
      </c>
      <c r="BH45" s="47">
        <v>0</v>
      </c>
      <c r="BI45" s="49">
        <v>0</v>
      </c>
      <c r="BJ45" s="49">
        <v>0</v>
      </c>
      <c r="BK45" s="49">
        <v>0</v>
      </c>
      <c r="BL45" s="45">
        <v>0</v>
      </c>
      <c r="BM45" s="47">
        <v>0</v>
      </c>
      <c r="BN45" s="49">
        <v>0</v>
      </c>
      <c r="BO45" s="49">
        <v>0</v>
      </c>
      <c r="BP45" s="49">
        <v>0</v>
      </c>
      <c r="BQ45" s="45">
        <v>0</v>
      </c>
      <c r="BR45" s="47">
        <v>1229547</v>
      </c>
      <c r="BS45" s="78">
        <v>4325444</v>
      </c>
      <c r="BT45" s="49">
        <v>12404</v>
      </c>
      <c r="BU45" s="49">
        <v>0</v>
      </c>
      <c r="BV45" s="47">
        <v>5567395</v>
      </c>
      <c r="BW45" s="13"/>
      <c r="BX45" s="266"/>
      <c r="CA45" s="325"/>
      <c r="CB45" s="1"/>
    </row>
    <row r="46" spans="1:80" ht="12" customHeight="1" x14ac:dyDescent="0.25">
      <c r="A46" s="262">
        <v>40</v>
      </c>
      <c r="B46" s="263" t="s">
        <v>227</v>
      </c>
      <c r="D46" s="264"/>
      <c r="E46" s="79">
        <v>1386016</v>
      </c>
      <c r="F46" s="78">
        <v>53638692</v>
      </c>
      <c r="G46" s="78">
        <v>5277</v>
      </c>
      <c r="H46" s="78">
        <v>2324750</v>
      </c>
      <c r="I46" s="45">
        <v>57354735</v>
      </c>
      <c r="J46" s="47">
        <v>51967</v>
      </c>
      <c r="K46" s="49">
        <v>7903395</v>
      </c>
      <c r="L46" s="49">
        <v>0</v>
      </c>
      <c r="M46" s="49">
        <v>0</v>
      </c>
      <c r="N46" s="45">
        <v>7955362</v>
      </c>
      <c r="O46" s="49">
        <v>84343</v>
      </c>
      <c r="P46" s="49">
        <v>3302592</v>
      </c>
      <c r="Q46" s="49">
        <v>40</v>
      </c>
      <c r="R46" s="49">
        <v>0</v>
      </c>
      <c r="S46" s="45">
        <v>3386975</v>
      </c>
      <c r="T46" s="47">
        <v>63315</v>
      </c>
      <c r="U46" s="49">
        <v>1490693</v>
      </c>
      <c r="V46" s="49">
        <v>34</v>
      </c>
      <c r="W46" s="49">
        <v>0</v>
      </c>
      <c r="X46" s="45">
        <v>1554042</v>
      </c>
      <c r="Y46" s="47">
        <v>70005</v>
      </c>
      <c r="Z46" s="49">
        <v>8449559</v>
      </c>
      <c r="AA46" s="49">
        <v>52</v>
      </c>
      <c r="AB46" s="49">
        <v>0</v>
      </c>
      <c r="AC46" s="45">
        <v>8519616</v>
      </c>
      <c r="AD46" s="47">
        <v>112281</v>
      </c>
      <c r="AE46" s="49">
        <v>3566488</v>
      </c>
      <c r="AF46" s="49">
        <v>581</v>
      </c>
      <c r="AG46" s="49">
        <v>631</v>
      </c>
      <c r="AH46" s="45">
        <v>3679981</v>
      </c>
      <c r="AI46" s="47">
        <v>78163</v>
      </c>
      <c r="AJ46" s="49">
        <v>2426042</v>
      </c>
      <c r="AK46" s="49">
        <v>1466</v>
      </c>
      <c r="AL46" s="49">
        <v>0</v>
      </c>
      <c r="AM46" s="45">
        <v>2505671</v>
      </c>
      <c r="AN46" s="47">
        <v>84540</v>
      </c>
      <c r="AO46" s="49">
        <v>8643106</v>
      </c>
      <c r="AP46" s="49">
        <v>762</v>
      </c>
      <c r="AQ46" s="49">
        <v>0</v>
      </c>
      <c r="AR46" s="45">
        <v>8728408</v>
      </c>
      <c r="AS46" s="47">
        <v>80243</v>
      </c>
      <c r="AT46" s="49">
        <v>4756959</v>
      </c>
      <c r="AU46" s="49">
        <v>1316</v>
      </c>
      <c r="AV46" s="49">
        <v>0</v>
      </c>
      <c r="AW46" s="45">
        <v>4838518</v>
      </c>
      <c r="AX46" s="47">
        <v>91694</v>
      </c>
      <c r="AY46" s="49">
        <v>1138751</v>
      </c>
      <c r="AZ46" s="49">
        <v>648</v>
      </c>
      <c r="BA46" s="49">
        <v>0</v>
      </c>
      <c r="BB46" s="45">
        <v>1231093</v>
      </c>
      <c r="BC46" s="47">
        <v>58095</v>
      </c>
      <c r="BD46" s="49">
        <v>2970545</v>
      </c>
      <c r="BE46" s="49">
        <v>301</v>
      </c>
      <c r="BF46" s="49">
        <v>0</v>
      </c>
      <c r="BG46" s="45">
        <v>3028941</v>
      </c>
      <c r="BH46" s="47">
        <v>0</v>
      </c>
      <c r="BI46" s="49">
        <v>0</v>
      </c>
      <c r="BJ46" s="49">
        <v>0</v>
      </c>
      <c r="BK46" s="49">
        <v>0</v>
      </c>
      <c r="BL46" s="45">
        <v>0</v>
      </c>
      <c r="BM46" s="47">
        <v>0</v>
      </c>
      <c r="BN46" s="49">
        <v>0</v>
      </c>
      <c r="BO46" s="49">
        <v>0</v>
      </c>
      <c r="BP46" s="49">
        <v>0</v>
      </c>
      <c r="BQ46" s="45">
        <v>0</v>
      </c>
      <c r="BR46" s="47">
        <v>774646</v>
      </c>
      <c r="BS46" s="78">
        <v>44648130</v>
      </c>
      <c r="BT46" s="49">
        <v>5200</v>
      </c>
      <c r="BU46" s="49">
        <v>631</v>
      </c>
      <c r="BV46" s="47">
        <v>45428607</v>
      </c>
      <c r="BW46" s="13"/>
      <c r="BX46" s="268"/>
      <c r="CA46" s="325"/>
      <c r="CB46" s="1"/>
    </row>
    <row r="47" spans="1:80" ht="13.5" x14ac:dyDescent="0.25">
      <c r="A47" s="278">
        <v>41</v>
      </c>
      <c r="B47" s="279" t="s">
        <v>228</v>
      </c>
      <c r="C47" s="280"/>
      <c r="D47" s="281"/>
      <c r="E47" s="79">
        <v>3912007</v>
      </c>
      <c r="F47" s="78">
        <v>8832352</v>
      </c>
      <c r="G47" s="78">
        <v>4249932</v>
      </c>
      <c r="H47" s="78">
        <v>0</v>
      </c>
      <c r="I47" s="45">
        <v>16994291</v>
      </c>
      <c r="J47" s="47">
        <v>146563</v>
      </c>
      <c r="K47" s="49">
        <v>9809</v>
      </c>
      <c r="L47" s="49">
        <v>81382</v>
      </c>
      <c r="M47" s="49">
        <v>0</v>
      </c>
      <c r="N47" s="45">
        <v>237754</v>
      </c>
      <c r="O47" s="49">
        <v>256175</v>
      </c>
      <c r="P47" s="49">
        <v>770443</v>
      </c>
      <c r="Q47" s="49">
        <v>31191</v>
      </c>
      <c r="R47" s="49">
        <v>0</v>
      </c>
      <c r="S47" s="45">
        <v>1057809</v>
      </c>
      <c r="T47" s="47">
        <v>218438</v>
      </c>
      <c r="U47" s="49">
        <v>232244</v>
      </c>
      <c r="V47" s="49">
        <v>22379</v>
      </c>
      <c r="W47" s="49">
        <v>0</v>
      </c>
      <c r="X47" s="45">
        <v>473061</v>
      </c>
      <c r="Y47" s="47">
        <v>186291</v>
      </c>
      <c r="Z47" s="49">
        <v>1118178</v>
      </c>
      <c r="AA47" s="49">
        <v>47338</v>
      </c>
      <c r="AB47" s="49">
        <v>0</v>
      </c>
      <c r="AC47" s="45">
        <v>1351807</v>
      </c>
      <c r="AD47" s="47">
        <v>343660</v>
      </c>
      <c r="AE47" s="49">
        <v>501714</v>
      </c>
      <c r="AF47" s="49">
        <v>348689</v>
      </c>
      <c r="AG47" s="49">
        <v>0</v>
      </c>
      <c r="AH47" s="45">
        <v>1194063</v>
      </c>
      <c r="AI47" s="47">
        <v>346114</v>
      </c>
      <c r="AJ47" s="49">
        <v>1396184</v>
      </c>
      <c r="AK47" s="49">
        <v>225620</v>
      </c>
      <c r="AL47" s="49">
        <v>0</v>
      </c>
      <c r="AM47" s="45">
        <v>1967918</v>
      </c>
      <c r="AN47" s="47">
        <v>196418</v>
      </c>
      <c r="AO47" s="49">
        <v>530313</v>
      </c>
      <c r="AP47" s="49">
        <v>213219</v>
      </c>
      <c r="AQ47" s="49">
        <v>0</v>
      </c>
      <c r="AR47" s="45">
        <v>939950</v>
      </c>
      <c r="AS47" s="47">
        <v>346050</v>
      </c>
      <c r="AT47" s="49">
        <v>790036</v>
      </c>
      <c r="AU47" s="49">
        <v>67587</v>
      </c>
      <c r="AV47" s="49">
        <v>0</v>
      </c>
      <c r="AW47" s="45">
        <v>1203673</v>
      </c>
      <c r="AX47" s="47">
        <v>502868</v>
      </c>
      <c r="AY47" s="49">
        <v>647630</v>
      </c>
      <c r="AZ47" s="49">
        <v>229390</v>
      </c>
      <c r="BA47" s="49">
        <v>0</v>
      </c>
      <c r="BB47" s="45">
        <v>1379888</v>
      </c>
      <c r="BC47" s="47">
        <v>178445</v>
      </c>
      <c r="BD47" s="49">
        <v>182414</v>
      </c>
      <c r="BE47" s="49">
        <v>143338</v>
      </c>
      <c r="BF47" s="49">
        <v>0</v>
      </c>
      <c r="BG47" s="45">
        <v>504197</v>
      </c>
      <c r="BH47" s="47">
        <v>0</v>
      </c>
      <c r="BI47" s="49">
        <v>0</v>
      </c>
      <c r="BJ47" s="49">
        <v>0</v>
      </c>
      <c r="BK47" s="49">
        <v>0</v>
      </c>
      <c r="BL47" s="45">
        <v>0</v>
      </c>
      <c r="BM47" s="47">
        <v>0</v>
      </c>
      <c r="BN47" s="49">
        <v>0</v>
      </c>
      <c r="BO47" s="49">
        <v>0</v>
      </c>
      <c r="BP47" s="49">
        <v>0</v>
      </c>
      <c r="BQ47" s="45">
        <v>0</v>
      </c>
      <c r="BR47" s="47">
        <v>2721022</v>
      </c>
      <c r="BS47" s="78">
        <v>6178965</v>
      </c>
      <c r="BT47" s="49">
        <v>1410133</v>
      </c>
      <c r="BU47" s="49">
        <v>0</v>
      </c>
      <c r="BV47" s="47">
        <v>10310120</v>
      </c>
      <c r="BW47" s="13"/>
      <c r="BX47" s="266"/>
      <c r="CA47" s="325"/>
      <c r="CB47" s="1"/>
    </row>
    <row r="48" spans="1:80" x14ac:dyDescent="0.2">
      <c r="A48" s="259" t="s">
        <v>229</v>
      </c>
      <c r="B48" s="263"/>
      <c r="D48" s="282"/>
      <c r="E48" s="42">
        <v>254488165</v>
      </c>
      <c r="F48" s="41">
        <v>668378413</v>
      </c>
      <c r="G48" s="41">
        <v>14835462</v>
      </c>
      <c r="H48" s="41">
        <v>87647697</v>
      </c>
      <c r="I48" s="21">
        <v>1025349737</v>
      </c>
      <c r="J48" s="42">
        <v>17622572</v>
      </c>
      <c r="K48" s="41">
        <v>45213323</v>
      </c>
      <c r="L48" s="41">
        <v>324568</v>
      </c>
      <c r="M48" s="41">
        <v>4835</v>
      </c>
      <c r="N48" s="21">
        <v>63165298</v>
      </c>
      <c r="O48" s="41">
        <v>19267389</v>
      </c>
      <c r="P48" s="41">
        <v>50862165</v>
      </c>
      <c r="Q48" s="41">
        <v>861947</v>
      </c>
      <c r="R48" s="41">
        <v>1003876</v>
      </c>
      <c r="S48" s="21">
        <v>71995377</v>
      </c>
      <c r="T48" s="42">
        <v>18476452</v>
      </c>
      <c r="U48" s="41">
        <v>42244408</v>
      </c>
      <c r="V48" s="41">
        <v>15761</v>
      </c>
      <c r="W48" s="41">
        <v>475861</v>
      </c>
      <c r="X48" s="21">
        <v>61212482</v>
      </c>
      <c r="Y48" s="42">
        <v>18789001</v>
      </c>
      <c r="Z48" s="41">
        <v>95242085</v>
      </c>
      <c r="AA48" s="41">
        <v>518145</v>
      </c>
      <c r="AB48" s="41">
        <v>3806670</v>
      </c>
      <c r="AC48" s="21">
        <v>118355901</v>
      </c>
      <c r="AD48" s="42">
        <v>19456847</v>
      </c>
      <c r="AE48" s="41">
        <v>57620690</v>
      </c>
      <c r="AF48" s="41">
        <v>905002</v>
      </c>
      <c r="AG48" s="41">
        <v>5002462</v>
      </c>
      <c r="AH48" s="21">
        <v>82985001</v>
      </c>
      <c r="AI48" s="42">
        <v>19716963</v>
      </c>
      <c r="AJ48" s="41">
        <v>52080089</v>
      </c>
      <c r="AK48" s="41">
        <v>867648</v>
      </c>
      <c r="AL48" s="41">
        <v>3018261</v>
      </c>
      <c r="AM48" s="21">
        <v>75682961</v>
      </c>
      <c r="AN48" s="42">
        <v>20480283</v>
      </c>
      <c r="AO48" s="41">
        <v>60271078</v>
      </c>
      <c r="AP48" s="41">
        <v>1268269</v>
      </c>
      <c r="AQ48" s="41">
        <v>2002731</v>
      </c>
      <c r="AR48" s="21">
        <v>84022361</v>
      </c>
      <c r="AS48" s="42">
        <v>20140301</v>
      </c>
      <c r="AT48" s="41">
        <v>46929931</v>
      </c>
      <c r="AU48" s="41">
        <v>886111</v>
      </c>
      <c r="AV48" s="41">
        <v>3781537</v>
      </c>
      <c r="AW48" s="21">
        <v>71737880</v>
      </c>
      <c r="AX48" s="41">
        <v>19986153</v>
      </c>
      <c r="AY48" s="41">
        <v>65592854</v>
      </c>
      <c r="AZ48" s="41">
        <v>775078</v>
      </c>
      <c r="BA48" s="41">
        <v>16688036</v>
      </c>
      <c r="BB48" s="21">
        <v>103042121</v>
      </c>
      <c r="BC48" s="41">
        <v>18393853</v>
      </c>
      <c r="BD48" s="41">
        <v>39828146</v>
      </c>
      <c r="BE48" s="41">
        <v>568295</v>
      </c>
      <c r="BF48" s="41">
        <v>30302676</v>
      </c>
      <c r="BG48" s="21">
        <v>89092970</v>
      </c>
      <c r="BH48" s="42">
        <v>0</v>
      </c>
      <c r="BI48" s="41">
        <v>0</v>
      </c>
      <c r="BJ48" s="41">
        <v>0</v>
      </c>
      <c r="BK48" s="41">
        <v>0</v>
      </c>
      <c r="BL48" s="21">
        <v>0</v>
      </c>
      <c r="BM48" s="42">
        <v>0</v>
      </c>
      <c r="BN48" s="41">
        <v>0</v>
      </c>
      <c r="BO48" s="41">
        <v>0</v>
      </c>
      <c r="BP48" s="41">
        <v>0</v>
      </c>
      <c r="BQ48" s="21">
        <v>0</v>
      </c>
      <c r="BR48" s="42">
        <v>192329814</v>
      </c>
      <c r="BS48" s="41">
        <v>555884769</v>
      </c>
      <c r="BT48" s="41">
        <v>6990824</v>
      </c>
      <c r="BU48" s="41">
        <v>66086945</v>
      </c>
      <c r="BV48" s="21">
        <v>821292352</v>
      </c>
      <c r="BW48" s="13"/>
      <c r="BX48" s="268"/>
      <c r="BZ48" s="283"/>
    </row>
    <row r="49" spans="1:80" x14ac:dyDescent="0.2">
      <c r="A49" s="284" t="s">
        <v>230</v>
      </c>
      <c r="B49" s="263"/>
      <c r="D49" s="282"/>
      <c r="E49" s="65"/>
      <c r="F49" s="23"/>
      <c r="G49" s="23"/>
      <c r="H49" s="23"/>
      <c r="I49" s="66"/>
      <c r="J49" s="65"/>
      <c r="K49" s="23"/>
      <c r="L49" s="23"/>
      <c r="M49" s="23"/>
      <c r="N49" s="66"/>
      <c r="O49" s="23"/>
      <c r="P49" s="23"/>
      <c r="Q49" s="23"/>
      <c r="R49" s="23"/>
      <c r="S49" s="66"/>
      <c r="T49" s="65"/>
      <c r="U49" s="23"/>
      <c r="V49" s="23"/>
      <c r="W49" s="23"/>
      <c r="X49" s="66"/>
      <c r="Y49" s="65"/>
      <c r="Z49" s="23"/>
      <c r="AA49" s="23"/>
      <c r="AB49" s="23"/>
      <c r="AC49" s="66"/>
      <c r="AD49" s="65"/>
      <c r="AE49" s="23"/>
      <c r="AF49" s="23"/>
      <c r="AG49" s="23"/>
      <c r="AH49" s="66"/>
      <c r="AI49" s="65"/>
      <c r="AJ49" s="23"/>
      <c r="AK49" s="23"/>
      <c r="AL49" s="23"/>
      <c r="AM49" s="66"/>
      <c r="AN49" s="65"/>
      <c r="AO49" s="23"/>
      <c r="AP49" s="23"/>
      <c r="AQ49" s="23"/>
      <c r="AR49" s="66"/>
      <c r="AS49" s="65"/>
      <c r="AT49" s="23"/>
      <c r="AU49" s="23"/>
      <c r="AV49" s="23"/>
      <c r="AW49" s="66"/>
      <c r="AX49" s="23"/>
      <c r="AY49" s="23"/>
      <c r="AZ49" s="23"/>
      <c r="BA49" s="23"/>
      <c r="BB49" s="66"/>
      <c r="BC49" s="23"/>
      <c r="BD49" s="23"/>
      <c r="BE49" s="23"/>
      <c r="BF49" s="23"/>
      <c r="BG49" s="66"/>
      <c r="BH49" s="65"/>
      <c r="BI49" s="23"/>
      <c r="BJ49" s="23"/>
      <c r="BK49" s="23"/>
      <c r="BL49" s="66"/>
      <c r="BM49" s="65"/>
      <c r="BN49" s="23"/>
      <c r="BO49" s="23"/>
      <c r="BP49" s="23"/>
      <c r="BQ49" s="66"/>
      <c r="BR49" s="65"/>
      <c r="BS49" s="23"/>
      <c r="BT49" s="23"/>
      <c r="BU49" s="23"/>
      <c r="BV49" s="66"/>
      <c r="BW49" s="13"/>
      <c r="BX49" s="268"/>
      <c r="BY49" s="285"/>
      <c r="BZ49" s="283"/>
    </row>
    <row r="50" spans="1:80" x14ac:dyDescent="0.2">
      <c r="A50" s="259" t="s">
        <v>231</v>
      </c>
      <c r="D50" s="286"/>
      <c r="E50" s="62"/>
      <c r="F50" s="61"/>
      <c r="G50" s="61"/>
      <c r="H50" s="61"/>
      <c r="I50" s="66"/>
      <c r="J50" s="62"/>
      <c r="K50" s="61"/>
      <c r="L50" s="61"/>
      <c r="M50" s="61"/>
      <c r="N50" s="66"/>
      <c r="O50" s="61"/>
      <c r="P50" s="61"/>
      <c r="Q50" s="61"/>
      <c r="R50" s="61"/>
      <c r="S50" s="65"/>
      <c r="T50" s="62"/>
      <c r="U50" s="61"/>
      <c r="V50" s="61"/>
      <c r="W50" s="61"/>
      <c r="X50" s="65"/>
      <c r="Y50" s="62"/>
      <c r="Z50" s="61"/>
      <c r="AA50" s="61"/>
      <c r="AB50" s="61"/>
      <c r="AC50" s="65"/>
      <c r="AD50" s="62"/>
      <c r="AE50" s="61"/>
      <c r="AF50" s="61"/>
      <c r="AG50" s="61"/>
      <c r="AH50" s="65"/>
      <c r="AI50" s="62"/>
      <c r="AJ50" s="61"/>
      <c r="AK50" s="61"/>
      <c r="AL50" s="61"/>
      <c r="AM50" s="65"/>
      <c r="AN50" s="62"/>
      <c r="AO50" s="61"/>
      <c r="AP50" s="61"/>
      <c r="AQ50" s="61"/>
      <c r="AR50" s="66"/>
      <c r="AS50" s="61"/>
      <c r="AT50" s="61"/>
      <c r="AU50" s="61"/>
      <c r="AV50" s="61"/>
      <c r="AW50" s="66"/>
      <c r="AX50" s="61"/>
      <c r="AY50" s="61"/>
      <c r="AZ50" s="61"/>
      <c r="BA50" s="61"/>
      <c r="BB50" s="66"/>
      <c r="BC50" s="61"/>
      <c r="BD50" s="61"/>
      <c r="BE50" s="61"/>
      <c r="BF50" s="61"/>
      <c r="BG50" s="66"/>
      <c r="BH50" s="62"/>
      <c r="BI50" s="61"/>
      <c r="BJ50" s="61"/>
      <c r="BK50" s="61"/>
      <c r="BL50" s="66"/>
      <c r="BM50" s="62"/>
      <c r="BN50" s="61"/>
      <c r="BO50" s="61"/>
      <c r="BP50" s="61"/>
      <c r="BQ50" s="66"/>
      <c r="BR50" s="62"/>
      <c r="BS50" s="61"/>
      <c r="BT50" s="61"/>
      <c r="BU50" s="61"/>
      <c r="BV50" s="65"/>
      <c r="BW50" s="287"/>
      <c r="BX50" s="268"/>
      <c r="BY50" s="285"/>
      <c r="BZ50" s="283"/>
    </row>
    <row r="51" spans="1:80" x14ac:dyDescent="0.2">
      <c r="A51" s="262" t="s">
        <v>232</v>
      </c>
      <c r="B51" s="288"/>
      <c r="C51" s="288"/>
      <c r="D51" s="286"/>
      <c r="E51" s="78">
        <v>7715</v>
      </c>
      <c r="F51" s="78">
        <v>0</v>
      </c>
      <c r="G51" s="78">
        <v>0</v>
      </c>
      <c r="H51" s="78">
        <v>0</v>
      </c>
      <c r="I51" s="45">
        <v>7715</v>
      </c>
      <c r="J51" s="79">
        <v>475</v>
      </c>
      <c r="K51" s="78">
        <v>0</v>
      </c>
      <c r="L51" s="78">
        <v>0</v>
      </c>
      <c r="M51" s="78">
        <v>0</v>
      </c>
      <c r="N51" s="45">
        <v>475</v>
      </c>
      <c r="O51" s="78">
        <v>475</v>
      </c>
      <c r="P51" s="78">
        <v>0</v>
      </c>
      <c r="Q51" s="78">
        <v>0</v>
      </c>
      <c r="R51" s="78">
        <v>0</v>
      </c>
      <c r="S51" s="45">
        <v>475</v>
      </c>
      <c r="T51" s="78">
        <v>475</v>
      </c>
      <c r="U51" s="78">
        <v>0</v>
      </c>
      <c r="V51" s="78">
        <v>0</v>
      </c>
      <c r="W51" s="78">
        <v>0</v>
      </c>
      <c r="X51" s="45">
        <v>475</v>
      </c>
      <c r="Y51" s="78">
        <v>475</v>
      </c>
      <c r="Z51" s="78">
        <v>0</v>
      </c>
      <c r="AA51" s="78">
        <v>0</v>
      </c>
      <c r="AB51" s="78">
        <v>0</v>
      </c>
      <c r="AC51" s="45">
        <v>475</v>
      </c>
      <c r="AD51" s="78">
        <v>475</v>
      </c>
      <c r="AE51" s="78">
        <v>0</v>
      </c>
      <c r="AF51" s="78">
        <v>0</v>
      </c>
      <c r="AG51" s="78">
        <v>0</v>
      </c>
      <c r="AH51" s="45">
        <v>475</v>
      </c>
      <c r="AI51" s="78">
        <v>475</v>
      </c>
      <c r="AJ51" s="78">
        <v>0</v>
      </c>
      <c r="AK51" s="78">
        <v>0</v>
      </c>
      <c r="AL51" s="78">
        <v>0</v>
      </c>
      <c r="AM51" s="45">
        <v>475</v>
      </c>
      <c r="AN51" s="78">
        <v>475</v>
      </c>
      <c r="AO51" s="78">
        <v>0</v>
      </c>
      <c r="AP51" s="78">
        <v>0</v>
      </c>
      <c r="AQ51" s="78">
        <v>0</v>
      </c>
      <c r="AR51" s="45">
        <v>475</v>
      </c>
      <c r="AS51" s="78">
        <v>475</v>
      </c>
      <c r="AT51" s="78">
        <v>0</v>
      </c>
      <c r="AU51" s="78">
        <v>0</v>
      </c>
      <c r="AV51" s="78">
        <v>0</v>
      </c>
      <c r="AW51" s="45">
        <v>475</v>
      </c>
      <c r="AX51" s="78">
        <v>475</v>
      </c>
      <c r="AY51" s="78">
        <v>0</v>
      </c>
      <c r="AZ51" s="78">
        <v>0</v>
      </c>
      <c r="BA51" s="78">
        <v>0</v>
      </c>
      <c r="BB51" s="45">
        <v>475</v>
      </c>
      <c r="BC51" s="78">
        <v>475</v>
      </c>
      <c r="BD51" s="78">
        <v>0</v>
      </c>
      <c r="BE51" s="78">
        <v>0</v>
      </c>
      <c r="BF51" s="78">
        <v>0</v>
      </c>
      <c r="BG51" s="45">
        <v>475</v>
      </c>
      <c r="BH51" s="78">
        <v>0</v>
      </c>
      <c r="BI51" s="78">
        <v>0</v>
      </c>
      <c r="BJ51" s="78">
        <v>0</v>
      </c>
      <c r="BK51" s="78">
        <v>0</v>
      </c>
      <c r="BL51" s="45">
        <v>0</v>
      </c>
      <c r="BM51" s="78">
        <v>0</v>
      </c>
      <c r="BN51" s="78">
        <v>0</v>
      </c>
      <c r="BO51" s="78">
        <v>0</v>
      </c>
      <c r="BP51" s="78">
        <v>0</v>
      </c>
      <c r="BQ51" s="45">
        <v>0</v>
      </c>
      <c r="BR51" s="78">
        <v>4750</v>
      </c>
      <c r="BS51" s="78">
        <v>0</v>
      </c>
      <c r="BT51" s="78">
        <v>0</v>
      </c>
      <c r="BU51" s="78">
        <v>0</v>
      </c>
      <c r="BV51" s="45">
        <v>4750</v>
      </c>
      <c r="BW51" s="13"/>
      <c r="BX51" s="268"/>
      <c r="BZ51" s="289"/>
      <c r="CA51" s="326"/>
      <c r="CB51" s="291"/>
    </row>
    <row r="52" spans="1:80" x14ac:dyDescent="0.2">
      <c r="A52" s="262" t="s">
        <v>233</v>
      </c>
      <c r="B52" s="288"/>
      <c r="D52" s="282" t="s">
        <v>60</v>
      </c>
      <c r="E52" s="78">
        <v>476474</v>
      </c>
      <c r="F52" s="78">
        <v>0</v>
      </c>
      <c r="G52" s="78">
        <v>0</v>
      </c>
      <c r="H52" s="78">
        <v>0</v>
      </c>
      <c r="I52" s="45">
        <v>476474</v>
      </c>
      <c r="J52" s="79">
        <v>42263</v>
      </c>
      <c r="K52" s="78">
        <v>0</v>
      </c>
      <c r="L52" s="78">
        <v>0</v>
      </c>
      <c r="M52" s="78">
        <v>0</v>
      </c>
      <c r="N52" s="45">
        <v>42263</v>
      </c>
      <c r="O52" s="78">
        <v>42263</v>
      </c>
      <c r="P52" s="78">
        <v>0</v>
      </c>
      <c r="Q52" s="78">
        <v>0</v>
      </c>
      <c r="R52" s="78">
        <v>0</v>
      </c>
      <c r="S52" s="45">
        <v>42263</v>
      </c>
      <c r="T52" s="78">
        <v>42263</v>
      </c>
      <c r="U52" s="78">
        <v>0</v>
      </c>
      <c r="V52" s="78">
        <v>0</v>
      </c>
      <c r="W52" s="78">
        <v>0</v>
      </c>
      <c r="X52" s="45">
        <v>42263</v>
      </c>
      <c r="Y52" s="78">
        <v>42263</v>
      </c>
      <c r="Z52" s="78">
        <v>0</v>
      </c>
      <c r="AA52" s="78">
        <v>0</v>
      </c>
      <c r="AB52" s="78">
        <v>0</v>
      </c>
      <c r="AC52" s="45">
        <v>42263</v>
      </c>
      <c r="AD52" s="78">
        <v>42263</v>
      </c>
      <c r="AE52" s="78">
        <v>0</v>
      </c>
      <c r="AF52" s="78">
        <v>0</v>
      </c>
      <c r="AG52" s="78">
        <v>0</v>
      </c>
      <c r="AH52" s="45">
        <v>42263</v>
      </c>
      <c r="AI52" s="78">
        <v>42263</v>
      </c>
      <c r="AJ52" s="78">
        <v>0</v>
      </c>
      <c r="AK52" s="78">
        <v>0</v>
      </c>
      <c r="AL52" s="78">
        <v>0</v>
      </c>
      <c r="AM52" s="45">
        <v>42263</v>
      </c>
      <c r="AN52" s="78">
        <v>42263</v>
      </c>
      <c r="AO52" s="78">
        <v>0</v>
      </c>
      <c r="AP52" s="78">
        <v>0</v>
      </c>
      <c r="AQ52" s="78">
        <v>0</v>
      </c>
      <c r="AR52" s="45">
        <v>42263</v>
      </c>
      <c r="AS52" s="78">
        <v>42263</v>
      </c>
      <c r="AT52" s="78">
        <v>0</v>
      </c>
      <c r="AU52" s="78">
        <v>0</v>
      </c>
      <c r="AV52" s="78">
        <v>0</v>
      </c>
      <c r="AW52" s="45">
        <v>42263</v>
      </c>
      <c r="AX52" s="78">
        <v>42263</v>
      </c>
      <c r="AY52" s="78">
        <v>0</v>
      </c>
      <c r="AZ52" s="78">
        <v>0</v>
      </c>
      <c r="BA52" s="78">
        <v>0</v>
      </c>
      <c r="BB52" s="45">
        <v>42263</v>
      </c>
      <c r="BC52" s="78">
        <v>32263</v>
      </c>
      <c r="BD52" s="78">
        <v>0</v>
      </c>
      <c r="BE52" s="78">
        <v>0</v>
      </c>
      <c r="BF52" s="78">
        <v>0</v>
      </c>
      <c r="BG52" s="45">
        <v>32263</v>
      </c>
      <c r="BH52" s="78">
        <v>0</v>
      </c>
      <c r="BI52" s="78">
        <v>0</v>
      </c>
      <c r="BJ52" s="78">
        <v>0</v>
      </c>
      <c r="BK52" s="78">
        <v>0</v>
      </c>
      <c r="BL52" s="45">
        <v>0</v>
      </c>
      <c r="BM52" s="78">
        <v>0</v>
      </c>
      <c r="BN52" s="78">
        <v>0</v>
      </c>
      <c r="BO52" s="78">
        <v>0</v>
      </c>
      <c r="BP52" s="78">
        <v>0</v>
      </c>
      <c r="BQ52" s="45">
        <v>0</v>
      </c>
      <c r="BR52" s="78">
        <v>412630</v>
      </c>
      <c r="BS52" s="78">
        <v>0</v>
      </c>
      <c r="BT52" s="78">
        <v>0</v>
      </c>
      <c r="BU52" s="78">
        <v>0</v>
      </c>
      <c r="BV52" s="45">
        <v>412630</v>
      </c>
      <c r="BW52" s="13"/>
      <c r="BX52" s="268"/>
      <c r="BZ52" s="289"/>
      <c r="CA52" s="326"/>
      <c r="CB52" s="291"/>
    </row>
    <row r="53" spans="1:80" x14ac:dyDescent="0.2">
      <c r="A53" s="262" t="s">
        <v>234</v>
      </c>
      <c r="B53" s="288"/>
      <c r="D53" s="292"/>
      <c r="E53" s="78">
        <v>233027798</v>
      </c>
      <c r="F53" s="78">
        <v>0</v>
      </c>
      <c r="G53" s="78">
        <v>0</v>
      </c>
      <c r="H53" s="78">
        <v>0</v>
      </c>
      <c r="I53" s="45">
        <v>233027798</v>
      </c>
      <c r="J53" s="79">
        <v>4156462.4270000001</v>
      </c>
      <c r="K53" s="78">
        <v>0</v>
      </c>
      <c r="L53" s="78">
        <v>0</v>
      </c>
      <c r="M53" s="78">
        <v>0</v>
      </c>
      <c r="N53" s="45">
        <v>4156462.4270000001</v>
      </c>
      <c r="O53" s="78">
        <v>1746959.1300000001</v>
      </c>
      <c r="P53" s="78">
        <v>0</v>
      </c>
      <c r="Q53" s="78">
        <v>0</v>
      </c>
      <c r="R53" s="78">
        <v>0</v>
      </c>
      <c r="S53" s="45">
        <v>1746959.1300000001</v>
      </c>
      <c r="T53" s="78">
        <v>23287136</v>
      </c>
      <c r="U53" s="78">
        <v>0</v>
      </c>
      <c r="V53" s="78">
        <v>0</v>
      </c>
      <c r="W53" s="78">
        <v>0</v>
      </c>
      <c r="X53" s="45">
        <v>23287136</v>
      </c>
      <c r="Y53" s="78">
        <v>33793248</v>
      </c>
      <c r="Z53" s="78">
        <v>0</v>
      </c>
      <c r="AA53" s="78">
        <v>0</v>
      </c>
      <c r="AB53" s="78">
        <v>0</v>
      </c>
      <c r="AC53" s="45">
        <v>33793248</v>
      </c>
      <c r="AD53" s="78">
        <v>32588390.123</v>
      </c>
      <c r="AE53" s="78">
        <v>0</v>
      </c>
      <c r="AF53" s="78">
        <v>0</v>
      </c>
      <c r="AG53" s="78">
        <v>0</v>
      </c>
      <c r="AH53" s="45">
        <v>32588390.123</v>
      </c>
      <c r="AI53" s="78">
        <v>20719704.243000001</v>
      </c>
      <c r="AJ53" s="78">
        <v>0</v>
      </c>
      <c r="AK53" s="78">
        <v>0</v>
      </c>
      <c r="AL53" s="78">
        <v>0</v>
      </c>
      <c r="AM53" s="45">
        <v>20719704.243000001</v>
      </c>
      <c r="AN53" s="78">
        <v>3593963.963</v>
      </c>
      <c r="AO53" s="78">
        <v>0</v>
      </c>
      <c r="AP53" s="78">
        <v>0</v>
      </c>
      <c r="AQ53" s="78">
        <v>0</v>
      </c>
      <c r="AR53" s="76">
        <v>3593963.963</v>
      </c>
      <c r="AS53" s="78">
        <v>2242145.0050000004</v>
      </c>
      <c r="AT53" s="78">
        <v>0</v>
      </c>
      <c r="AU53" s="78">
        <v>0</v>
      </c>
      <c r="AV53" s="78">
        <v>0</v>
      </c>
      <c r="AW53" s="76">
        <v>2242145.0050000004</v>
      </c>
      <c r="AX53" s="78">
        <v>23505078</v>
      </c>
      <c r="AY53" s="78">
        <v>0</v>
      </c>
      <c r="AZ53" s="78">
        <v>0</v>
      </c>
      <c r="BA53" s="78">
        <v>0</v>
      </c>
      <c r="BB53" s="76">
        <v>23505078</v>
      </c>
      <c r="BC53" s="78">
        <v>33703384.236999996</v>
      </c>
      <c r="BD53" s="78">
        <v>0</v>
      </c>
      <c r="BE53" s="78">
        <v>0</v>
      </c>
      <c r="BF53" s="78">
        <v>0</v>
      </c>
      <c r="BG53" s="76">
        <v>33703384.236999996</v>
      </c>
      <c r="BH53" s="78">
        <v>0</v>
      </c>
      <c r="BI53" s="78">
        <v>0</v>
      </c>
      <c r="BJ53" s="78">
        <v>0</v>
      </c>
      <c r="BK53" s="78">
        <v>0</v>
      </c>
      <c r="BL53" s="76">
        <v>0</v>
      </c>
      <c r="BM53" s="78">
        <v>0</v>
      </c>
      <c r="BN53" s="78">
        <v>0</v>
      </c>
      <c r="BO53" s="78">
        <v>0</v>
      </c>
      <c r="BP53" s="78">
        <v>0</v>
      </c>
      <c r="BQ53" s="76">
        <v>0</v>
      </c>
      <c r="BR53" s="78">
        <v>179336471.12799999</v>
      </c>
      <c r="BS53" s="78">
        <v>0</v>
      </c>
      <c r="BT53" s="78">
        <v>0</v>
      </c>
      <c r="BU53" s="78">
        <v>0</v>
      </c>
      <c r="BV53" s="45">
        <v>179336471.12799999</v>
      </c>
      <c r="BW53" s="13"/>
      <c r="BX53" s="268"/>
      <c r="BZ53" s="289"/>
      <c r="CA53" s="326"/>
      <c r="CB53" s="291"/>
    </row>
    <row r="54" spans="1:80" s="294" customFormat="1" x14ac:dyDescent="0.2">
      <c r="A54" s="293" t="s">
        <v>105</v>
      </c>
      <c r="D54" s="292"/>
      <c r="E54" s="295">
        <v>232449798</v>
      </c>
      <c r="F54" s="295">
        <v>0</v>
      </c>
      <c r="G54" s="295">
        <v>0</v>
      </c>
      <c r="H54" s="295">
        <v>0</v>
      </c>
      <c r="I54" s="82">
        <v>232449798</v>
      </c>
      <c r="J54" s="296">
        <v>4134676.6850000001</v>
      </c>
      <c r="K54" s="295">
        <v>0</v>
      </c>
      <c r="L54" s="295">
        <v>0</v>
      </c>
      <c r="M54" s="295">
        <v>0</v>
      </c>
      <c r="N54" s="82">
        <v>4134676.6850000001</v>
      </c>
      <c r="O54" s="295">
        <v>1746663.6</v>
      </c>
      <c r="P54" s="295">
        <v>0</v>
      </c>
      <c r="Q54" s="295">
        <v>0</v>
      </c>
      <c r="R54" s="295">
        <v>0</v>
      </c>
      <c r="S54" s="82">
        <v>1746663.6</v>
      </c>
      <c r="T54" s="295">
        <v>23286764</v>
      </c>
      <c r="U54" s="295">
        <v>0</v>
      </c>
      <c r="V54" s="295">
        <v>0</v>
      </c>
      <c r="W54" s="295">
        <v>0</v>
      </c>
      <c r="X54" s="82">
        <v>23286764</v>
      </c>
      <c r="Y54" s="246">
        <v>33793154.909999996</v>
      </c>
      <c r="Z54" s="295">
        <v>0</v>
      </c>
      <c r="AA54" s="295">
        <v>0</v>
      </c>
      <c r="AB54" s="295">
        <v>0</v>
      </c>
      <c r="AC54" s="82">
        <v>33793154.909999996</v>
      </c>
      <c r="AD54" s="295">
        <v>32588003.640999999</v>
      </c>
      <c r="AE54" s="295">
        <v>0</v>
      </c>
      <c r="AF54" s="295">
        <v>0</v>
      </c>
      <c r="AG54" s="295">
        <v>0</v>
      </c>
      <c r="AH54" s="82">
        <v>32588003.640999999</v>
      </c>
      <c r="AI54" s="295">
        <v>20719641.107999999</v>
      </c>
      <c r="AJ54" s="295">
        <v>0</v>
      </c>
      <c r="AK54" s="295">
        <v>0</v>
      </c>
      <c r="AL54" s="295">
        <v>0</v>
      </c>
      <c r="AM54" s="82">
        <v>20719641.107999999</v>
      </c>
      <c r="AN54" s="295">
        <v>3229087.1039999998</v>
      </c>
      <c r="AO54" s="295">
        <v>0</v>
      </c>
      <c r="AP54" s="295">
        <v>0</v>
      </c>
      <c r="AQ54" s="295">
        <v>0</v>
      </c>
      <c r="AR54" s="82">
        <v>3229087.1039999998</v>
      </c>
      <c r="AS54" s="295">
        <v>2242055.5410000002</v>
      </c>
      <c r="AT54" s="295">
        <v>0</v>
      </c>
      <c r="AU54" s="295">
        <v>0</v>
      </c>
      <c r="AV54" s="295">
        <v>0</v>
      </c>
      <c r="AW54" s="82">
        <v>2242055.5410000002</v>
      </c>
      <c r="AX54" s="295">
        <v>23504930</v>
      </c>
      <c r="AY54" s="295">
        <v>0</v>
      </c>
      <c r="AZ54" s="295">
        <v>0</v>
      </c>
      <c r="BA54" s="295">
        <v>0</v>
      </c>
      <c r="BB54" s="82">
        <v>23504930</v>
      </c>
      <c r="BC54" s="295">
        <v>33703219.071999997</v>
      </c>
      <c r="BD54" s="295">
        <v>0</v>
      </c>
      <c r="BE54" s="295">
        <v>0</v>
      </c>
      <c r="BF54" s="295">
        <v>0</v>
      </c>
      <c r="BG54" s="82">
        <v>33703219.071999997</v>
      </c>
      <c r="BH54" s="295">
        <v>0</v>
      </c>
      <c r="BI54" s="295">
        <v>0</v>
      </c>
      <c r="BJ54" s="295">
        <v>0</v>
      </c>
      <c r="BK54" s="295">
        <v>0</v>
      </c>
      <c r="BL54" s="82">
        <v>0</v>
      </c>
      <c r="BM54" s="295">
        <v>0</v>
      </c>
      <c r="BN54" s="295">
        <v>0</v>
      </c>
      <c r="BO54" s="295">
        <v>0</v>
      </c>
      <c r="BP54" s="295">
        <v>0</v>
      </c>
      <c r="BQ54" s="82">
        <v>0</v>
      </c>
      <c r="BR54" s="295">
        <v>178948195.66099998</v>
      </c>
      <c r="BS54" s="295">
        <v>0</v>
      </c>
      <c r="BT54" s="295">
        <v>0</v>
      </c>
      <c r="BU54" s="295">
        <v>0</v>
      </c>
      <c r="BV54" s="82">
        <v>178948195.66099998</v>
      </c>
      <c r="BW54" s="50"/>
      <c r="BX54" s="268"/>
      <c r="BY54" s="239"/>
      <c r="BZ54" s="289"/>
      <c r="CA54" s="327"/>
      <c r="CB54" s="291"/>
    </row>
    <row r="55" spans="1:80" s="294" customFormat="1" x14ac:dyDescent="0.2">
      <c r="A55" s="293" t="s">
        <v>235</v>
      </c>
      <c r="D55" s="292"/>
      <c r="E55" s="295">
        <v>578000</v>
      </c>
      <c r="F55" s="295">
        <v>0</v>
      </c>
      <c r="G55" s="295">
        <v>0</v>
      </c>
      <c r="H55" s="295">
        <v>0</v>
      </c>
      <c r="I55" s="82">
        <v>578000</v>
      </c>
      <c r="J55" s="296">
        <v>21785.741999999998</v>
      </c>
      <c r="K55" s="295">
        <v>0</v>
      </c>
      <c r="L55" s="295">
        <v>0</v>
      </c>
      <c r="M55" s="295">
        <v>0</v>
      </c>
      <c r="N55" s="82">
        <v>21785.741999999998</v>
      </c>
      <c r="O55" s="295">
        <v>295.52999999999997</v>
      </c>
      <c r="P55" s="295">
        <v>0</v>
      </c>
      <c r="Q55" s="295">
        <v>0</v>
      </c>
      <c r="R55" s="295">
        <v>0</v>
      </c>
      <c r="S55" s="82">
        <v>295.52999999999997</v>
      </c>
      <c r="T55" s="295">
        <v>372</v>
      </c>
      <c r="U55" s="295">
        <v>0</v>
      </c>
      <c r="V55" s="295">
        <v>0</v>
      </c>
      <c r="W55" s="295">
        <v>0</v>
      </c>
      <c r="X55" s="82">
        <v>372</v>
      </c>
      <c r="Y55" s="246">
        <v>93.09</v>
      </c>
      <c r="Z55" s="295">
        <v>0</v>
      </c>
      <c r="AA55" s="295">
        <v>0</v>
      </c>
      <c r="AB55" s="295">
        <v>0</v>
      </c>
      <c r="AC55" s="45">
        <v>93.09</v>
      </c>
      <c r="AD55" s="295">
        <v>386.48200000000003</v>
      </c>
      <c r="AE55" s="295">
        <v>0</v>
      </c>
      <c r="AF55" s="295">
        <v>0</v>
      </c>
      <c r="AG55" s="295">
        <v>0</v>
      </c>
      <c r="AH55" s="82">
        <v>386.48200000000003</v>
      </c>
      <c r="AI55" s="295">
        <v>63.134999999999998</v>
      </c>
      <c r="AJ55" s="295">
        <v>0</v>
      </c>
      <c r="AK55" s="295">
        <v>0</v>
      </c>
      <c r="AL55" s="295">
        <v>0</v>
      </c>
      <c r="AM55" s="82">
        <v>63.134999999999998</v>
      </c>
      <c r="AN55" s="295">
        <v>364876.859</v>
      </c>
      <c r="AO55" s="295">
        <v>0</v>
      </c>
      <c r="AP55" s="295">
        <v>0</v>
      </c>
      <c r="AQ55" s="295">
        <v>0</v>
      </c>
      <c r="AR55" s="82">
        <v>364876.859</v>
      </c>
      <c r="AS55" s="295">
        <v>89.463999999999999</v>
      </c>
      <c r="AT55" s="295">
        <v>0</v>
      </c>
      <c r="AU55" s="295">
        <v>0</v>
      </c>
      <c r="AV55" s="295">
        <v>0</v>
      </c>
      <c r="AW55" s="82">
        <v>89.463999999999999</v>
      </c>
      <c r="AX55" s="295">
        <v>148</v>
      </c>
      <c r="AY55" s="295">
        <v>0</v>
      </c>
      <c r="AZ55" s="295">
        <v>0</v>
      </c>
      <c r="BA55" s="295">
        <v>0</v>
      </c>
      <c r="BB55" s="82">
        <v>148</v>
      </c>
      <c r="BC55" s="295">
        <v>165.16499999999999</v>
      </c>
      <c r="BD55" s="295">
        <v>0</v>
      </c>
      <c r="BE55" s="295">
        <v>0</v>
      </c>
      <c r="BF55" s="295">
        <v>0</v>
      </c>
      <c r="BG55" s="82">
        <v>165.16499999999999</v>
      </c>
      <c r="BH55" s="295">
        <v>0</v>
      </c>
      <c r="BI55" s="295">
        <v>0</v>
      </c>
      <c r="BJ55" s="295">
        <v>0</v>
      </c>
      <c r="BK55" s="295">
        <v>0</v>
      </c>
      <c r="BL55" s="82">
        <v>0</v>
      </c>
      <c r="BM55" s="295">
        <v>0</v>
      </c>
      <c r="BN55" s="295">
        <v>0</v>
      </c>
      <c r="BO55" s="295">
        <v>0</v>
      </c>
      <c r="BP55" s="295">
        <v>0</v>
      </c>
      <c r="BQ55" s="82">
        <v>0</v>
      </c>
      <c r="BR55" s="295">
        <v>388275.46699999995</v>
      </c>
      <c r="BS55" s="295">
        <v>0</v>
      </c>
      <c r="BT55" s="295">
        <v>0</v>
      </c>
      <c r="BU55" s="295">
        <v>0</v>
      </c>
      <c r="BV55" s="82">
        <v>388275.46699999995</v>
      </c>
      <c r="BW55" s="50"/>
      <c r="BX55" s="268"/>
      <c r="BY55" s="239"/>
      <c r="BZ55" s="289"/>
      <c r="CA55" s="326"/>
      <c r="CB55" s="291"/>
    </row>
    <row r="56" spans="1:80" x14ac:dyDescent="0.2">
      <c r="A56" s="262" t="s">
        <v>236</v>
      </c>
      <c r="B56" s="288"/>
      <c r="D56" s="282"/>
      <c r="E56" s="78">
        <v>0</v>
      </c>
      <c r="F56" s="295">
        <v>520717021</v>
      </c>
      <c r="G56" s="78">
        <v>0</v>
      </c>
      <c r="H56" s="78">
        <v>0</v>
      </c>
      <c r="I56" s="45">
        <v>520717021</v>
      </c>
      <c r="J56" s="79">
        <v>0</v>
      </c>
      <c r="K56" s="78">
        <v>44872627</v>
      </c>
      <c r="L56" s="78">
        <v>0</v>
      </c>
      <c r="M56" s="78">
        <v>0</v>
      </c>
      <c r="N56" s="45">
        <v>44872627</v>
      </c>
      <c r="O56" s="78">
        <v>0</v>
      </c>
      <c r="P56" s="78">
        <v>44872627</v>
      </c>
      <c r="Q56" s="78">
        <v>0</v>
      </c>
      <c r="R56" s="78">
        <v>0</v>
      </c>
      <c r="S56" s="45">
        <v>44872627</v>
      </c>
      <c r="T56" s="78">
        <v>0</v>
      </c>
      <c r="U56" s="78">
        <v>44872627</v>
      </c>
      <c r="V56" s="78">
        <v>0</v>
      </c>
      <c r="W56" s="78">
        <v>0</v>
      </c>
      <c r="X56" s="45">
        <v>44872627</v>
      </c>
      <c r="Y56" s="78">
        <v>0</v>
      </c>
      <c r="Z56" s="78">
        <v>44872627</v>
      </c>
      <c r="AA56" s="78">
        <v>0</v>
      </c>
      <c r="AB56" s="78">
        <v>0</v>
      </c>
      <c r="AC56" s="45">
        <v>44872627</v>
      </c>
      <c r="AD56" s="78">
        <v>0</v>
      </c>
      <c r="AE56" s="78">
        <v>44872627</v>
      </c>
      <c r="AF56" s="78">
        <v>0</v>
      </c>
      <c r="AG56" s="78">
        <v>0</v>
      </c>
      <c r="AH56" s="45">
        <v>44872627</v>
      </c>
      <c r="AI56" s="78">
        <v>0</v>
      </c>
      <c r="AJ56" s="78">
        <v>44872627</v>
      </c>
      <c r="AK56" s="78">
        <v>0</v>
      </c>
      <c r="AL56" s="78">
        <v>0</v>
      </c>
      <c r="AM56" s="45">
        <v>44872627</v>
      </c>
      <c r="AN56" s="78">
        <v>0</v>
      </c>
      <c r="AO56" s="78">
        <v>44872627</v>
      </c>
      <c r="AP56" s="78">
        <v>0</v>
      </c>
      <c r="AQ56" s="78">
        <v>0</v>
      </c>
      <c r="AR56" s="45">
        <v>44872627</v>
      </c>
      <c r="AS56" s="78">
        <v>0</v>
      </c>
      <c r="AT56" s="78">
        <v>44872626</v>
      </c>
      <c r="AU56" s="78">
        <v>0</v>
      </c>
      <c r="AV56" s="78">
        <v>0</v>
      </c>
      <c r="AW56" s="45">
        <v>44872626</v>
      </c>
      <c r="AX56" s="78">
        <v>0</v>
      </c>
      <c r="AY56" s="78">
        <v>44872625</v>
      </c>
      <c r="AZ56" s="78">
        <v>0</v>
      </c>
      <c r="BA56" s="78">
        <v>0</v>
      </c>
      <c r="BB56" s="45">
        <v>44872625</v>
      </c>
      <c r="BC56" s="78">
        <v>0</v>
      </c>
      <c r="BD56" s="78">
        <v>38954457</v>
      </c>
      <c r="BE56" s="78">
        <v>0</v>
      </c>
      <c r="BF56" s="78">
        <v>0</v>
      </c>
      <c r="BG56" s="45">
        <v>38954457</v>
      </c>
      <c r="BH56" s="78">
        <v>0</v>
      </c>
      <c r="BI56" s="78">
        <v>0</v>
      </c>
      <c r="BJ56" s="78">
        <v>0</v>
      </c>
      <c r="BK56" s="78">
        <v>0</v>
      </c>
      <c r="BL56" s="45">
        <v>0</v>
      </c>
      <c r="BM56" s="78">
        <v>0</v>
      </c>
      <c r="BN56" s="78">
        <v>0</v>
      </c>
      <c r="BO56" s="78">
        <v>0</v>
      </c>
      <c r="BP56" s="78">
        <v>0</v>
      </c>
      <c r="BQ56" s="45">
        <v>0</v>
      </c>
      <c r="BR56" s="78">
        <v>0</v>
      </c>
      <c r="BS56" s="78">
        <v>442808097</v>
      </c>
      <c r="BT56" s="78">
        <v>0</v>
      </c>
      <c r="BU56" s="78">
        <v>0</v>
      </c>
      <c r="BV56" s="45">
        <v>442808097</v>
      </c>
      <c r="BW56" s="13"/>
      <c r="BX56" s="268"/>
      <c r="BZ56" s="289"/>
      <c r="CA56" s="326"/>
      <c r="CB56" s="291"/>
    </row>
    <row r="57" spans="1:80" ht="13.5" customHeight="1" x14ac:dyDescent="0.2">
      <c r="A57" s="262" t="s">
        <v>237</v>
      </c>
      <c r="B57" s="288"/>
      <c r="D57" s="286"/>
      <c r="E57" s="78">
        <v>0</v>
      </c>
      <c r="F57" s="78">
        <v>14026878</v>
      </c>
      <c r="G57" s="78">
        <v>0</v>
      </c>
      <c r="H57" s="78">
        <v>0</v>
      </c>
      <c r="I57" s="45">
        <v>14026878</v>
      </c>
      <c r="J57" s="79">
        <v>0</v>
      </c>
      <c r="K57" s="78">
        <v>0</v>
      </c>
      <c r="L57" s="78">
        <v>0</v>
      </c>
      <c r="M57" s="78">
        <v>0</v>
      </c>
      <c r="N57" s="45">
        <v>0</v>
      </c>
      <c r="O57" s="78">
        <v>0</v>
      </c>
      <c r="P57" s="78">
        <v>0</v>
      </c>
      <c r="Q57" s="78">
        <v>0</v>
      </c>
      <c r="R57" s="78">
        <v>0</v>
      </c>
      <c r="S57" s="45">
        <v>0</v>
      </c>
      <c r="T57" s="78">
        <v>0</v>
      </c>
      <c r="U57" s="78">
        <v>0</v>
      </c>
      <c r="V57" s="78">
        <v>0</v>
      </c>
      <c r="W57" s="78">
        <v>0</v>
      </c>
      <c r="X57" s="45">
        <v>0</v>
      </c>
      <c r="Y57" s="78">
        <v>0</v>
      </c>
      <c r="Z57" s="78">
        <v>0</v>
      </c>
      <c r="AA57" s="78">
        <v>0</v>
      </c>
      <c r="AB57" s="78">
        <v>0</v>
      </c>
      <c r="AC57" s="45">
        <v>0</v>
      </c>
      <c r="AD57" s="78">
        <v>0</v>
      </c>
      <c r="AE57" s="78">
        <v>4675628</v>
      </c>
      <c r="AF57" s="78">
        <v>0</v>
      </c>
      <c r="AG57" s="78">
        <v>0</v>
      </c>
      <c r="AH57" s="45">
        <v>4675628</v>
      </c>
      <c r="AI57" s="78">
        <v>0</v>
      </c>
      <c r="AJ57" s="78">
        <v>0</v>
      </c>
      <c r="AK57" s="78">
        <v>0</v>
      </c>
      <c r="AL57" s="78">
        <v>0</v>
      </c>
      <c r="AM57" s="45">
        <v>0</v>
      </c>
      <c r="AN57" s="78">
        <v>0</v>
      </c>
      <c r="AO57" s="78">
        <v>0</v>
      </c>
      <c r="AP57" s="78">
        <v>0</v>
      </c>
      <c r="AQ57" s="78">
        <v>0</v>
      </c>
      <c r="AR57" s="45">
        <v>0</v>
      </c>
      <c r="AS57" s="78">
        <v>0</v>
      </c>
      <c r="AT57" s="78">
        <v>0</v>
      </c>
      <c r="AU57" s="78">
        <v>0</v>
      </c>
      <c r="AV57" s="78">
        <v>0</v>
      </c>
      <c r="AW57" s="45">
        <v>0</v>
      </c>
      <c r="AX57" s="78">
        <v>0</v>
      </c>
      <c r="AY57" s="78">
        <v>4675628</v>
      </c>
      <c r="AZ57" s="78">
        <v>0</v>
      </c>
      <c r="BA57" s="78">
        <v>0</v>
      </c>
      <c r="BB57" s="45">
        <v>4675628</v>
      </c>
      <c r="BC57" s="78">
        <v>0</v>
      </c>
      <c r="BD57" s="78">
        <v>0</v>
      </c>
      <c r="BE57" s="78">
        <v>0</v>
      </c>
      <c r="BF57" s="78">
        <v>0</v>
      </c>
      <c r="BG57" s="45">
        <v>0</v>
      </c>
      <c r="BH57" s="78">
        <v>0</v>
      </c>
      <c r="BI57" s="78">
        <v>0</v>
      </c>
      <c r="BJ57" s="78">
        <v>0</v>
      </c>
      <c r="BK57" s="78">
        <v>0</v>
      </c>
      <c r="BL57" s="45">
        <v>0</v>
      </c>
      <c r="BM57" s="78">
        <v>0</v>
      </c>
      <c r="BN57" s="78">
        <v>0</v>
      </c>
      <c r="BO57" s="78">
        <v>0</v>
      </c>
      <c r="BP57" s="78">
        <v>0</v>
      </c>
      <c r="BQ57" s="45">
        <v>0</v>
      </c>
      <c r="BR57" s="78">
        <v>0</v>
      </c>
      <c r="BS57" s="78">
        <v>9351256</v>
      </c>
      <c r="BT57" s="78">
        <v>0</v>
      </c>
      <c r="BU57" s="78">
        <v>0</v>
      </c>
      <c r="BV57" s="45">
        <v>9351256</v>
      </c>
      <c r="BW57" s="13"/>
      <c r="BX57" s="268"/>
      <c r="BZ57" s="289"/>
      <c r="CA57" s="326"/>
      <c r="CB57" s="291"/>
    </row>
    <row r="58" spans="1:80" ht="12" customHeight="1" x14ac:dyDescent="0.2">
      <c r="A58" s="262" t="s">
        <v>238</v>
      </c>
      <c r="B58" s="288"/>
      <c r="D58" s="282" t="s">
        <v>90</v>
      </c>
      <c r="E58" s="78">
        <v>0</v>
      </c>
      <c r="F58" s="78">
        <v>0</v>
      </c>
      <c r="G58" s="78">
        <v>0</v>
      </c>
      <c r="H58" s="78">
        <v>177615</v>
      </c>
      <c r="I58" s="45">
        <v>177615</v>
      </c>
      <c r="J58" s="79">
        <v>0</v>
      </c>
      <c r="K58" s="78">
        <v>0</v>
      </c>
      <c r="L58" s="78">
        <v>0</v>
      </c>
      <c r="M58" s="78">
        <v>18</v>
      </c>
      <c r="N58" s="45">
        <v>18</v>
      </c>
      <c r="O58" s="78">
        <v>0</v>
      </c>
      <c r="P58" s="78">
        <v>0</v>
      </c>
      <c r="Q58" s="78">
        <v>0</v>
      </c>
      <c r="R58" s="78">
        <v>111334</v>
      </c>
      <c r="S58" s="45">
        <v>111334</v>
      </c>
      <c r="T58" s="78">
        <v>0</v>
      </c>
      <c r="U58" s="78">
        <v>0</v>
      </c>
      <c r="V58" s="78">
        <v>0</v>
      </c>
      <c r="W58" s="78">
        <v>2</v>
      </c>
      <c r="X58" s="45">
        <v>2</v>
      </c>
      <c r="Y58" s="78">
        <v>0</v>
      </c>
      <c r="Z58" s="78">
        <v>0</v>
      </c>
      <c r="AA58" s="78">
        <v>0</v>
      </c>
      <c r="AB58" s="78">
        <v>0</v>
      </c>
      <c r="AC58" s="45">
        <v>0</v>
      </c>
      <c r="AD58" s="78">
        <v>0</v>
      </c>
      <c r="AE58" s="78">
        <v>0</v>
      </c>
      <c r="AF58" s="78">
        <v>0</v>
      </c>
      <c r="AG58" s="78">
        <v>1</v>
      </c>
      <c r="AH58" s="45">
        <v>1</v>
      </c>
      <c r="AI58" s="78">
        <v>0</v>
      </c>
      <c r="AJ58" s="78">
        <v>0</v>
      </c>
      <c r="AK58" s="78">
        <v>0</v>
      </c>
      <c r="AL58" s="78">
        <v>66260</v>
      </c>
      <c r="AM58" s="45">
        <v>66260</v>
      </c>
      <c r="AN58" s="78">
        <v>0</v>
      </c>
      <c r="AO58" s="78">
        <v>0</v>
      </c>
      <c r="AP58" s="78">
        <v>0</v>
      </c>
      <c r="AQ58" s="78">
        <v>260</v>
      </c>
      <c r="AR58" s="45">
        <v>260</v>
      </c>
      <c r="AS58" s="78">
        <v>0</v>
      </c>
      <c r="AT58" s="78">
        <v>0</v>
      </c>
      <c r="AU58" s="78">
        <v>0</v>
      </c>
      <c r="AV58" s="78">
        <v>0</v>
      </c>
      <c r="AW58" s="45">
        <v>0</v>
      </c>
      <c r="AX58" s="78">
        <v>0</v>
      </c>
      <c r="AY58" s="78">
        <v>0</v>
      </c>
      <c r="AZ58" s="78">
        <v>0</v>
      </c>
      <c r="BA58" s="78">
        <v>2</v>
      </c>
      <c r="BB58" s="45">
        <v>2</v>
      </c>
      <c r="BC58" s="78">
        <v>0</v>
      </c>
      <c r="BD58" s="78">
        <v>0</v>
      </c>
      <c r="BE58" s="78">
        <v>0</v>
      </c>
      <c r="BF58" s="78">
        <v>8</v>
      </c>
      <c r="BG58" s="45">
        <v>8</v>
      </c>
      <c r="BH58" s="78">
        <v>0</v>
      </c>
      <c r="BI58" s="78">
        <v>0</v>
      </c>
      <c r="BJ58" s="78">
        <v>0</v>
      </c>
      <c r="BK58" s="78">
        <v>0</v>
      </c>
      <c r="BL58" s="45">
        <v>0</v>
      </c>
      <c r="BM58" s="78">
        <v>0</v>
      </c>
      <c r="BN58" s="78">
        <v>0</v>
      </c>
      <c r="BO58" s="78">
        <v>0</v>
      </c>
      <c r="BP58" s="78">
        <v>0</v>
      </c>
      <c r="BQ58" s="45">
        <v>0</v>
      </c>
      <c r="BR58" s="78">
        <v>0</v>
      </c>
      <c r="BS58" s="78">
        <v>0</v>
      </c>
      <c r="BT58" s="78">
        <v>0</v>
      </c>
      <c r="BU58" s="78">
        <v>177885</v>
      </c>
      <c r="BV58" s="45">
        <v>177885</v>
      </c>
      <c r="BW58" s="13"/>
      <c r="BX58" s="268"/>
      <c r="BZ58" s="289"/>
      <c r="CA58" s="326"/>
      <c r="CB58" s="291"/>
    </row>
    <row r="59" spans="1:80" x14ac:dyDescent="0.2">
      <c r="A59" s="262" t="s">
        <v>239</v>
      </c>
      <c r="B59" s="288"/>
      <c r="D59" s="282"/>
      <c r="E59" s="78">
        <v>0</v>
      </c>
      <c r="F59" s="78">
        <v>120001</v>
      </c>
      <c r="G59" s="78">
        <v>0</v>
      </c>
      <c r="H59" s="78">
        <v>0</v>
      </c>
      <c r="I59" s="45">
        <v>120001</v>
      </c>
      <c r="J59" s="79">
        <v>0</v>
      </c>
      <c r="K59" s="78">
        <v>0</v>
      </c>
      <c r="L59" s="78">
        <v>0</v>
      </c>
      <c r="M59" s="78">
        <v>0</v>
      </c>
      <c r="N59" s="45">
        <v>0</v>
      </c>
      <c r="O59" s="78">
        <v>0</v>
      </c>
      <c r="P59" s="78">
        <v>0</v>
      </c>
      <c r="Q59" s="78">
        <v>0</v>
      </c>
      <c r="R59" s="78">
        <v>0</v>
      </c>
      <c r="S59" s="45">
        <v>0</v>
      </c>
      <c r="T59" s="78">
        <v>0</v>
      </c>
      <c r="U59" s="78">
        <v>40000</v>
      </c>
      <c r="V59" s="78">
        <v>0</v>
      </c>
      <c r="W59" s="78">
        <v>0</v>
      </c>
      <c r="X59" s="45">
        <v>40000</v>
      </c>
      <c r="Y59" s="78">
        <v>0</v>
      </c>
      <c r="Z59" s="78">
        <v>0</v>
      </c>
      <c r="AA59" s="78">
        <v>0</v>
      </c>
      <c r="AB59" s="78">
        <v>0</v>
      </c>
      <c r="AC59" s="45">
        <v>0</v>
      </c>
      <c r="AD59" s="78">
        <v>0</v>
      </c>
      <c r="AE59" s="78">
        <v>0</v>
      </c>
      <c r="AF59" s="78">
        <v>0</v>
      </c>
      <c r="AG59" s="78">
        <v>0</v>
      </c>
      <c r="AH59" s="45">
        <v>0</v>
      </c>
      <c r="AI59" s="78">
        <v>0</v>
      </c>
      <c r="AJ59" s="78">
        <v>30000</v>
      </c>
      <c r="AK59" s="78">
        <v>0</v>
      </c>
      <c r="AL59" s="78">
        <v>0</v>
      </c>
      <c r="AM59" s="45">
        <v>30000</v>
      </c>
      <c r="AN59" s="78">
        <v>0</v>
      </c>
      <c r="AO59" s="78">
        <v>0</v>
      </c>
      <c r="AP59" s="78">
        <v>0</v>
      </c>
      <c r="AQ59" s="78">
        <v>0</v>
      </c>
      <c r="AR59" s="45">
        <v>0</v>
      </c>
      <c r="AS59" s="78">
        <v>0</v>
      </c>
      <c r="AT59" s="78">
        <v>0</v>
      </c>
      <c r="AU59" s="78">
        <v>0</v>
      </c>
      <c r="AV59" s="78">
        <v>0</v>
      </c>
      <c r="AW59" s="45">
        <v>0</v>
      </c>
      <c r="AX59" s="78">
        <v>0</v>
      </c>
      <c r="AY59" s="78">
        <v>0</v>
      </c>
      <c r="AZ59" s="78">
        <v>0</v>
      </c>
      <c r="BA59" s="78">
        <v>0</v>
      </c>
      <c r="BB59" s="45">
        <v>0</v>
      </c>
      <c r="BC59" s="78">
        <v>0</v>
      </c>
      <c r="BD59" s="78">
        <v>0</v>
      </c>
      <c r="BE59" s="78">
        <v>0</v>
      </c>
      <c r="BF59" s="78">
        <v>0</v>
      </c>
      <c r="BG59" s="45">
        <v>0</v>
      </c>
      <c r="BH59" s="78">
        <v>0</v>
      </c>
      <c r="BI59" s="78">
        <v>0</v>
      </c>
      <c r="BJ59" s="78">
        <v>0</v>
      </c>
      <c r="BK59" s="78">
        <v>0</v>
      </c>
      <c r="BL59" s="45">
        <v>0</v>
      </c>
      <c r="BM59" s="78">
        <v>0</v>
      </c>
      <c r="BN59" s="78">
        <v>0</v>
      </c>
      <c r="BO59" s="78">
        <v>0</v>
      </c>
      <c r="BP59" s="78">
        <v>0</v>
      </c>
      <c r="BQ59" s="45">
        <v>0</v>
      </c>
      <c r="BR59" s="78">
        <v>0</v>
      </c>
      <c r="BS59" s="78">
        <v>70000</v>
      </c>
      <c r="BT59" s="78">
        <v>0</v>
      </c>
      <c r="BU59" s="78">
        <v>0</v>
      </c>
      <c r="BV59" s="45">
        <v>70000</v>
      </c>
      <c r="BW59" s="13"/>
      <c r="BX59" s="268"/>
      <c r="BZ59" s="289"/>
      <c r="CA59" s="326"/>
      <c r="CB59" s="291"/>
    </row>
    <row r="60" spans="1:80" x14ac:dyDescent="0.2">
      <c r="A60" s="262" t="s">
        <v>240</v>
      </c>
      <c r="B60" s="288"/>
      <c r="D60" s="282"/>
      <c r="E60" s="78"/>
      <c r="F60" s="78"/>
      <c r="G60" s="78"/>
      <c r="H60" s="78"/>
      <c r="I60" s="45"/>
      <c r="J60" s="78"/>
      <c r="K60" s="78"/>
      <c r="L60" s="78"/>
      <c r="M60" s="78"/>
      <c r="N60" s="45"/>
      <c r="O60" s="78"/>
      <c r="P60" s="78"/>
      <c r="Q60" s="78"/>
      <c r="R60" s="78"/>
      <c r="S60" s="45"/>
      <c r="T60" s="78"/>
      <c r="U60" s="78"/>
      <c r="V60" s="78"/>
      <c r="W60" s="78"/>
      <c r="X60" s="45"/>
      <c r="Y60" s="78"/>
      <c r="Z60" s="78"/>
      <c r="AA60" s="78"/>
      <c r="AB60" s="78"/>
      <c r="AC60" s="76"/>
      <c r="AD60" s="78"/>
      <c r="AE60" s="78"/>
      <c r="AF60" s="78"/>
      <c r="AG60" s="78"/>
      <c r="AH60" s="45"/>
      <c r="AI60" s="78"/>
      <c r="AJ60" s="78"/>
      <c r="AK60" s="78"/>
      <c r="AL60" s="78"/>
      <c r="AM60" s="45"/>
      <c r="AN60" s="78"/>
      <c r="AO60" s="78"/>
      <c r="AP60" s="78"/>
      <c r="AQ60" s="78"/>
      <c r="AR60" s="45"/>
      <c r="AS60" s="78"/>
      <c r="AT60" s="78"/>
      <c r="AU60" s="78"/>
      <c r="AV60" s="78"/>
      <c r="AW60" s="45"/>
      <c r="AX60" s="78"/>
      <c r="AY60" s="78"/>
      <c r="AZ60" s="78"/>
      <c r="BA60" s="78"/>
      <c r="BB60" s="45"/>
      <c r="BC60" s="78"/>
      <c r="BD60" s="78"/>
      <c r="BE60" s="78"/>
      <c r="BF60" s="78"/>
      <c r="BG60" s="45"/>
      <c r="BH60" s="78"/>
      <c r="BI60" s="78"/>
      <c r="BJ60" s="78"/>
      <c r="BK60" s="78"/>
      <c r="BL60" s="45"/>
      <c r="BM60" s="78"/>
      <c r="BN60" s="78"/>
      <c r="BO60" s="78"/>
      <c r="BP60" s="78"/>
      <c r="BQ60" s="45"/>
      <c r="BR60" s="78"/>
      <c r="BS60" s="78"/>
      <c r="BT60" s="78"/>
      <c r="BU60" s="78"/>
      <c r="BV60" s="45"/>
      <c r="BW60" s="13"/>
      <c r="BX60" s="268"/>
      <c r="BZ60" s="289"/>
      <c r="CB60" s="291"/>
    </row>
    <row r="61" spans="1:80" x14ac:dyDescent="0.2">
      <c r="A61" s="297" t="s">
        <v>241</v>
      </c>
      <c r="B61" s="288"/>
      <c r="D61" s="282" t="s">
        <v>93</v>
      </c>
      <c r="E61" s="78">
        <v>0</v>
      </c>
      <c r="F61" s="78">
        <v>0</v>
      </c>
      <c r="G61" s="78">
        <v>0</v>
      </c>
      <c r="H61" s="78">
        <v>217761</v>
      </c>
      <c r="I61" s="45">
        <v>217761</v>
      </c>
      <c r="J61" s="78">
        <v>0</v>
      </c>
      <c r="K61" s="78">
        <v>0</v>
      </c>
      <c r="L61" s="78">
        <v>0</v>
      </c>
      <c r="M61" s="78">
        <v>0</v>
      </c>
      <c r="N61" s="76">
        <v>0</v>
      </c>
      <c r="O61" s="78">
        <v>0</v>
      </c>
      <c r="P61" s="78">
        <v>0</v>
      </c>
      <c r="Q61" s="78">
        <v>0</v>
      </c>
      <c r="R61" s="78">
        <v>0</v>
      </c>
      <c r="S61" s="76">
        <v>0</v>
      </c>
      <c r="T61" s="78">
        <v>0</v>
      </c>
      <c r="U61" s="78">
        <v>0</v>
      </c>
      <c r="V61" s="78">
        <v>0</v>
      </c>
      <c r="W61" s="78">
        <v>0</v>
      </c>
      <c r="X61" s="76">
        <v>0</v>
      </c>
      <c r="Y61" s="78">
        <v>0</v>
      </c>
      <c r="Z61" s="78">
        <v>0</v>
      </c>
      <c r="AA61" s="78">
        <v>0</v>
      </c>
      <c r="AB61" s="78">
        <v>0</v>
      </c>
      <c r="AC61" s="82">
        <v>0</v>
      </c>
      <c r="AD61" s="78">
        <v>0</v>
      </c>
      <c r="AE61" s="78">
        <v>0</v>
      </c>
      <c r="AF61" s="78">
        <v>0</v>
      </c>
      <c r="AG61" s="78">
        <v>0</v>
      </c>
      <c r="AH61" s="76">
        <v>0</v>
      </c>
      <c r="AI61" s="78">
        <v>0</v>
      </c>
      <c r="AJ61" s="78">
        <v>0</v>
      </c>
      <c r="AK61" s="78">
        <v>0</v>
      </c>
      <c r="AL61" s="78">
        <v>217761</v>
      </c>
      <c r="AM61" s="45">
        <v>217761</v>
      </c>
      <c r="AN61" s="78">
        <v>0</v>
      </c>
      <c r="AO61" s="78">
        <v>0</v>
      </c>
      <c r="AP61" s="78">
        <v>0</v>
      </c>
      <c r="AQ61" s="78">
        <v>0</v>
      </c>
      <c r="AR61" s="76">
        <v>0</v>
      </c>
      <c r="AS61" s="78">
        <v>0</v>
      </c>
      <c r="AT61" s="78">
        <v>0</v>
      </c>
      <c r="AU61" s="78">
        <v>0</v>
      </c>
      <c r="AV61" s="78">
        <v>0</v>
      </c>
      <c r="AW61" s="45">
        <v>0</v>
      </c>
      <c r="AX61" s="78">
        <v>0</v>
      </c>
      <c r="AY61" s="78">
        <v>0</v>
      </c>
      <c r="AZ61" s="78">
        <v>0</v>
      </c>
      <c r="BA61" s="78">
        <v>0</v>
      </c>
      <c r="BB61" s="76">
        <v>0</v>
      </c>
      <c r="BC61" s="78">
        <v>0</v>
      </c>
      <c r="BD61" s="78">
        <v>0</v>
      </c>
      <c r="BE61" s="78">
        <v>0</v>
      </c>
      <c r="BF61" s="78">
        <v>0</v>
      </c>
      <c r="BG61" s="76">
        <v>0</v>
      </c>
      <c r="BH61" s="78">
        <v>0</v>
      </c>
      <c r="BI61" s="78">
        <v>0</v>
      </c>
      <c r="BJ61" s="78">
        <v>0</v>
      </c>
      <c r="BK61" s="78">
        <v>0</v>
      </c>
      <c r="BL61" s="76">
        <v>0</v>
      </c>
      <c r="BM61" s="78">
        <v>0</v>
      </c>
      <c r="BN61" s="78">
        <v>0</v>
      </c>
      <c r="BO61" s="78">
        <v>0</v>
      </c>
      <c r="BP61" s="78">
        <v>0</v>
      </c>
      <c r="BQ61" s="76">
        <v>0</v>
      </c>
      <c r="BR61" s="78">
        <v>0</v>
      </c>
      <c r="BS61" s="78">
        <v>0</v>
      </c>
      <c r="BT61" s="78">
        <v>0</v>
      </c>
      <c r="BU61" s="78">
        <v>217761</v>
      </c>
      <c r="BV61" s="45">
        <v>217761</v>
      </c>
      <c r="BW61" s="13"/>
      <c r="BX61" s="268"/>
      <c r="BZ61" s="289"/>
      <c r="CB61" s="291"/>
    </row>
    <row r="62" spans="1:80" x14ac:dyDescent="0.2">
      <c r="A62" s="223"/>
      <c r="B62" s="288" t="s">
        <v>242</v>
      </c>
      <c r="E62" s="295">
        <v>0</v>
      </c>
      <c r="F62" s="295">
        <v>0</v>
      </c>
      <c r="G62" s="295">
        <v>0</v>
      </c>
      <c r="H62" s="295">
        <v>143395</v>
      </c>
      <c r="I62" s="82">
        <v>143395</v>
      </c>
      <c r="J62" s="296"/>
      <c r="K62" s="295"/>
      <c r="L62" s="295"/>
      <c r="M62" s="295"/>
      <c r="N62" s="82"/>
      <c r="O62" s="295"/>
      <c r="P62" s="295"/>
      <c r="Q62" s="295"/>
      <c r="R62" s="295"/>
      <c r="S62" s="82"/>
      <c r="T62" s="295"/>
      <c r="U62" s="295"/>
      <c r="V62" s="295"/>
      <c r="W62" s="295"/>
      <c r="X62" s="82"/>
      <c r="Y62" s="295"/>
      <c r="Z62" s="295"/>
      <c r="AA62" s="295"/>
      <c r="AB62" s="295"/>
      <c r="AC62" s="82"/>
      <c r="AD62" s="295"/>
      <c r="AE62" s="295"/>
      <c r="AF62" s="295"/>
      <c r="AG62" s="295"/>
      <c r="AH62" s="82"/>
      <c r="AI62" s="295">
        <v>0</v>
      </c>
      <c r="AJ62" s="295">
        <v>0</v>
      </c>
      <c r="AK62" s="295">
        <v>0</v>
      </c>
      <c r="AL62" s="295">
        <v>143395</v>
      </c>
      <c r="AM62" s="82">
        <v>143395</v>
      </c>
      <c r="AN62" s="295">
        <v>0</v>
      </c>
      <c r="AO62" s="295">
        <v>0</v>
      </c>
      <c r="AP62" s="295">
        <v>0</v>
      </c>
      <c r="AQ62" s="295">
        <v>0</v>
      </c>
      <c r="AR62" s="82">
        <v>0</v>
      </c>
      <c r="AS62" s="295">
        <v>0</v>
      </c>
      <c r="AT62" s="295">
        <v>0</v>
      </c>
      <c r="AU62" s="295">
        <v>0</v>
      </c>
      <c r="AV62" s="295">
        <v>0</v>
      </c>
      <c r="AW62" s="45">
        <v>0</v>
      </c>
      <c r="AX62" s="295">
        <v>0</v>
      </c>
      <c r="AY62" s="295">
        <v>0</v>
      </c>
      <c r="AZ62" s="295">
        <v>0</v>
      </c>
      <c r="BA62" s="295">
        <v>0</v>
      </c>
      <c r="BB62" s="82">
        <v>0</v>
      </c>
      <c r="BC62" s="295">
        <v>0</v>
      </c>
      <c r="BD62" s="295">
        <v>0</v>
      </c>
      <c r="BE62" s="295">
        <v>0</v>
      </c>
      <c r="BF62" s="295">
        <v>0</v>
      </c>
      <c r="BG62" s="82">
        <v>0</v>
      </c>
      <c r="BH62" s="295"/>
      <c r="BI62" s="295"/>
      <c r="BJ62" s="295"/>
      <c r="BK62" s="295"/>
      <c r="BL62" s="82"/>
      <c r="BM62" s="295"/>
      <c r="BN62" s="295"/>
      <c r="BO62" s="295"/>
      <c r="BP62" s="295"/>
      <c r="BQ62" s="82"/>
      <c r="BR62" s="295">
        <v>0</v>
      </c>
      <c r="BS62" s="295">
        <v>0</v>
      </c>
      <c r="BT62" s="295">
        <v>0</v>
      </c>
      <c r="BU62" s="295">
        <v>143395</v>
      </c>
      <c r="BV62" s="45">
        <v>143395</v>
      </c>
      <c r="BW62" s="13"/>
      <c r="BX62" s="268"/>
      <c r="BZ62" s="289"/>
      <c r="CB62" s="291"/>
    </row>
    <row r="63" spans="1:80" x14ac:dyDescent="0.2">
      <c r="A63" s="262"/>
      <c r="B63" s="240" t="s">
        <v>243</v>
      </c>
      <c r="D63" s="282"/>
      <c r="E63" s="295">
        <v>0</v>
      </c>
      <c r="F63" s="295">
        <v>0</v>
      </c>
      <c r="G63" s="295">
        <v>0</v>
      </c>
      <c r="H63" s="295">
        <v>74366</v>
      </c>
      <c r="I63" s="82">
        <v>74366</v>
      </c>
      <c r="J63" s="296"/>
      <c r="K63" s="295"/>
      <c r="L63" s="295"/>
      <c r="M63" s="295"/>
      <c r="N63" s="82"/>
      <c r="O63" s="295"/>
      <c r="P63" s="295"/>
      <c r="Q63" s="295"/>
      <c r="R63" s="295"/>
      <c r="S63" s="82"/>
      <c r="T63" s="295"/>
      <c r="U63" s="295"/>
      <c r="V63" s="295"/>
      <c r="W63" s="295"/>
      <c r="X63" s="82"/>
      <c r="Y63" s="295"/>
      <c r="Z63" s="295"/>
      <c r="AA63" s="295"/>
      <c r="AB63" s="295"/>
      <c r="AC63" s="76"/>
      <c r="AD63" s="295"/>
      <c r="AE63" s="295"/>
      <c r="AF63" s="295"/>
      <c r="AG63" s="295"/>
      <c r="AH63" s="82"/>
      <c r="AI63" s="295">
        <v>0</v>
      </c>
      <c r="AJ63" s="295">
        <v>0</v>
      </c>
      <c r="AK63" s="295">
        <v>0</v>
      </c>
      <c r="AL63" s="295">
        <v>74366</v>
      </c>
      <c r="AM63" s="82">
        <v>74366</v>
      </c>
      <c r="AN63" s="295">
        <v>0</v>
      </c>
      <c r="AO63" s="295">
        <v>0</v>
      </c>
      <c r="AP63" s="295">
        <v>0</v>
      </c>
      <c r="AQ63" s="295">
        <v>0</v>
      </c>
      <c r="AR63" s="82">
        <v>0</v>
      </c>
      <c r="AS63" s="295">
        <v>0</v>
      </c>
      <c r="AT63" s="295">
        <v>0</v>
      </c>
      <c r="AU63" s="295">
        <v>0</v>
      </c>
      <c r="AV63" s="295">
        <v>0</v>
      </c>
      <c r="AW63" s="82">
        <v>0</v>
      </c>
      <c r="AX63" s="295">
        <v>0</v>
      </c>
      <c r="AY63" s="295">
        <v>0</v>
      </c>
      <c r="AZ63" s="295">
        <v>0</v>
      </c>
      <c r="BA63" s="295">
        <v>0</v>
      </c>
      <c r="BB63" s="82">
        <v>0</v>
      </c>
      <c r="BC63" s="295">
        <v>0</v>
      </c>
      <c r="BD63" s="295">
        <v>0</v>
      </c>
      <c r="BE63" s="295">
        <v>0</v>
      </c>
      <c r="BF63" s="295">
        <v>0</v>
      </c>
      <c r="BG63" s="82">
        <v>0</v>
      </c>
      <c r="BH63" s="295"/>
      <c r="BI63" s="295"/>
      <c r="BJ63" s="295"/>
      <c r="BK63" s="295"/>
      <c r="BL63" s="82"/>
      <c r="BM63" s="295"/>
      <c r="BN63" s="295"/>
      <c r="BO63" s="295"/>
      <c r="BP63" s="295"/>
      <c r="BQ63" s="82"/>
      <c r="BR63" s="295">
        <v>0</v>
      </c>
      <c r="BS63" s="295">
        <v>0</v>
      </c>
      <c r="BT63" s="295">
        <v>0</v>
      </c>
      <c r="BU63" s="295">
        <v>74366</v>
      </c>
      <c r="BV63" s="45">
        <v>74366</v>
      </c>
      <c r="BW63" s="13"/>
      <c r="BX63" s="268"/>
      <c r="BZ63" s="289"/>
      <c r="CA63" s="326"/>
      <c r="CB63" s="291"/>
    </row>
    <row r="64" spans="1:80" hidden="1" x14ac:dyDescent="0.2">
      <c r="A64" s="297" t="s">
        <v>244</v>
      </c>
      <c r="B64" s="288"/>
      <c r="D64" s="282" t="s">
        <v>130</v>
      </c>
      <c r="E64" s="78">
        <v>0</v>
      </c>
      <c r="F64" s="78">
        <v>0</v>
      </c>
      <c r="G64" s="78">
        <v>0</v>
      </c>
      <c r="H64" s="78">
        <v>0</v>
      </c>
      <c r="I64" s="45">
        <v>0</v>
      </c>
      <c r="J64" s="78">
        <v>0</v>
      </c>
      <c r="K64" s="78">
        <v>0</v>
      </c>
      <c r="L64" s="78">
        <v>0</v>
      </c>
      <c r="M64" s="78">
        <v>0</v>
      </c>
      <c r="N64" s="76">
        <v>0</v>
      </c>
      <c r="O64" s="78">
        <v>0</v>
      </c>
      <c r="P64" s="78">
        <v>0</v>
      </c>
      <c r="Q64" s="78">
        <v>0</v>
      </c>
      <c r="R64" s="78">
        <v>0</v>
      </c>
      <c r="S64" s="76">
        <v>0</v>
      </c>
      <c r="T64" s="78">
        <v>0</v>
      </c>
      <c r="U64" s="78">
        <v>0</v>
      </c>
      <c r="V64" s="78">
        <v>0</v>
      </c>
      <c r="W64" s="78">
        <v>0</v>
      </c>
      <c r="X64" s="76">
        <v>0</v>
      </c>
      <c r="Y64" s="78">
        <v>0</v>
      </c>
      <c r="Z64" s="78">
        <v>0</v>
      </c>
      <c r="AA64" s="78">
        <v>0</v>
      </c>
      <c r="AB64" s="78">
        <v>0</v>
      </c>
      <c r="AC64" s="45">
        <v>0</v>
      </c>
      <c r="AD64" s="78">
        <v>0</v>
      </c>
      <c r="AE64" s="78">
        <v>0</v>
      </c>
      <c r="AF64" s="78">
        <v>0</v>
      </c>
      <c r="AG64" s="78">
        <v>0</v>
      </c>
      <c r="AH64" s="76">
        <v>0</v>
      </c>
      <c r="AI64" s="78">
        <v>0</v>
      </c>
      <c r="AJ64" s="78">
        <v>0</v>
      </c>
      <c r="AK64" s="78">
        <v>0</v>
      </c>
      <c r="AL64" s="78">
        <v>6571667</v>
      </c>
      <c r="AM64" s="45">
        <v>6571667</v>
      </c>
      <c r="AN64" s="78">
        <v>0</v>
      </c>
      <c r="AO64" s="78">
        <v>0</v>
      </c>
      <c r="AP64" s="78">
        <v>0</v>
      </c>
      <c r="AQ64" s="78">
        <v>0</v>
      </c>
      <c r="AR64" s="76">
        <v>0</v>
      </c>
      <c r="AS64" s="78">
        <v>0</v>
      </c>
      <c r="AT64" s="78">
        <v>0</v>
      </c>
      <c r="AU64" s="78">
        <v>0</v>
      </c>
      <c r="AV64" s="78">
        <v>0</v>
      </c>
      <c r="AW64" s="76">
        <v>0</v>
      </c>
      <c r="AX64" s="78">
        <v>0</v>
      </c>
      <c r="AY64" s="78">
        <v>0</v>
      </c>
      <c r="AZ64" s="78">
        <v>0</v>
      </c>
      <c r="BA64" s="78">
        <v>-6571667</v>
      </c>
      <c r="BB64" s="76">
        <v>-6571667</v>
      </c>
      <c r="BC64" s="78">
        <v>0</v>
      </c>
      <c r="BD64" s="78">
        <v>0</v>
      </c>
      <c r="BE64" s="78">
        <v>0</v>
      </c>
      <c r="BF64" s="78">
        <v>0</v>
      </c>
      <c r="BG64" s="76">
        <v>0</v>
      </c>
      <c r="BH64" s="78">
        <v>0</v>
      </c>
      <c r="BI64" s="78">
        <v>0</v>
      </c>
      <c r="BJ64" s="78">
        <v>0</v>
      </c>
      <c r="BK64" s="78">
        <v>0</v>
      </c>
      <c r="BL64" s="76">
        <v>0</v>
      </c>
      <c r="BM64" s="78">
        <v>0</v>
      </c>
      <c r="BN64" s="78">
        <v>0</v>
      </c>
      <c r="BO64" s="78">
        <v>0</v>
      </c>
      <c r="BP64" s="78">
        <v>0</v>
      </c>
      <c r="BQ64" s="76">
        <v>0</v>
      </c>
      <c r="BR64" s="78">
        <v>0</v>
      </c>
      <c r="BS64" s="78">
        <v>0</v>
      </c>
      <c r="BT64" s="78">
        <v>0</v>
      </c>
      <c r="BU64" s="78">
        <v>0</v>
      </c>
      <c r="BV64" s="45">
        <v>0</v>
      </c>
      <c r="BW64" s="13"/>
      <c r="BX64" s="268"/>
      <c r="BZ64" s="289"/>
      <c r="CA64" s="326"/>
      <c r="CB64" s="291"/>
    </row>
    <row r="65" spans="1:80" hidden="1" x14ac:dyDescent="0.2">
      <c r="A65" s="262"/>
      <c r="B65" s="288" t="s">
        <v>245</v>
      </c>
      <c r="D65" s="282"/>
      <c r="E65" s="78">
        <v>0</v>
      </c>
      <c r="F65" s="78">
        <v>0</v>
      </c>
      <c r="G65" s="78">
        <v>0</v>
      </c>
      <c r="H65" s="78">
        <v>0</v>
      </c>
      <c r="I65" s="45">
        <v>0</v>
      </c>
      <c r="J65" s="79"/>
      <c r="K65" s="78"/>
      <c r="L65" s="78"/>
      <c r="M65" s="78"/>
      <c r="N65" s="45"/>
      <c r="O65" s="78"/>
      <c r="P65" s="78"/>
      <c r="Q65" s="78"/>
      <c r="R65" s="78"/>
      <c r="S65" s="45"/>
      <c r="T65" s="78"/>
      <c r="U65" s="78"/>
      <c r="V65" s="78"/>
      <c r="W65" s="78"/>
      <c r="X65" s="45"/>
      <c r="Y65" s="78"/>
      <c r="Z65" s="78"/>
      <c r="AA65" s="78"/>
      <c r="AB65" s="78"/>
      <c r="AC65" s="45"/>
      <c r="AD65" s="78"/>
      <c r="AE65" s="78"/>
      <c r="AF65" s="78"/>
      <c r="AG65" s="78"/>
      <c r="AH65" s="45"/>
      <c r="AI65" s="78">
        <v>0</v>
      </c>
      <c r="AJ65" s="78">
        <v>0</v>
      </c>
      <c r="AK65" s="78">
        <v>0</v>
      </c>
      <c r="AL65" s="78">
        <v>6571667</v>
      </c>
      <c r="AM65" s="45">
        <v>6571667</v>
      </c>
      <c r="AN65" s="78">
        <v>0</v>
      </c>
      <c r="AO65" s="78">
        <v>0</v>
      </c>
      <c r="AP65" s="78">
        <v>0</v>
      </c>
      <c r="AQ65" s="78">
        <v>0</v>
      </c>
      <c r="AR65" s="45">
        <v>0</v>
      </c>
      <c r="AS65" s="78">
        <v>0</v>
      </c>
      <c r="AT65" s="78">
        <v>0</v>
      </c>
      <c r="AU65" s="78">
        <v>0</v>
      </c>
      <c r="AV65" s="78">
        <v>0</v>
      </c>
      <c r="AW65" s="45">
        <v>0</v>
      </c>
      <c r="AX65" s="78">
        <v>0</v>
      </c>
      <c r="AY65" s="78">
        <v>0</v>
      </c>
      <c r="AZ65" s="78">
        <v>0</v>
      </c>
      <c r="BA65" s="78">
        <v>-6571667</v>
      </c>
      <c r="BB65" s="45">
        <v>-6571667</v>
      </c>
      <c r="BC65" s="78"/>
      <c r="BD65" s="78"/>
      <c r="BE65" s="78"/>
      <c r="BF65" s="78"/>
      <c r="BG65" s="45"/>
      <c r="BH65" s="78"/>
      <c r="BI65" s="78"/>
      <c r="BJ65" s="78"/>
      <c r="BK65" s="78"/>
      <c r="BL65" s="45"/>
      <c r="BM65" s="78"/>
      <c r="BN65" s="78"/>
      <c r="BO65" s="78"/>
      <c r="BP65" s="78"/>
      <c r="BQ65" s="45"/>
      <c r="BR65" s="295">
        <v>0</v>
      </c>
      <c r="BS65" s="295">
        <v>0</v>
      </c>
      <c r="BT65" s="295">
        <v>0</v>
      </c>
      <c r="BU65" s="295">
        <v>0</v>
      </c>
      <c r="BV65" s="82">
        <v>0</v>
      </c>
      <c r="BW65" s="13"/>
      <c r="BX65" s="268"/>
      <c r="BZ65" s="289"/>
      <c r="CA65" s="326"/>
      <c r="CB65" s="291"/>
    </row>
    <row r="66" spans="1:80" x14ac:dyDescent="0.2">
      <c r="A66" s="262" t="s">
        <v>246</v>
      </c>
      <c r="B66" s="288"/>
      <c r="C66" s="288"/>
      <c r="D66" s="286"/>
      <c r="E66" s="78">
        <v>0</v>
      </c>
      <c r="F66" s="78">
        <v>10174611</v>
      </c>
      <c r="G66" s="78">
        <v>0</v>
      </c>
      <c r="H66" s="78">
        <v>0</v>
      </c>
      <c r="I66" s="45">
        <v>10174611</v>
      </c>
      <c r="J66" s="79">
        <v>0</v>
      </c>
      <c r="K66" s="78">
        <v>1745798</v>
      </c>
      <c r="L66" s="78">
        <v>0</v>
      </c>
      <c r="M66" s="78">
        <v>0</v>
      </c>
      <c r="N66" s="45">
        <v>1745798</v>
      </c>
      <c r="O66" s="78">
        <v>0</v>
      </c>
      <c r="P66" s="78">
        <v>1447692</v>
      </c>
      <c r="Q66" s="78">
        <v>0</v>
      </c>
      <c r="R66" s="78">
        <v>0</v>
      </c>
      <c r="S66" s="45">
        <v>1447692</v>
      </c>
      <c r="T66" s="78">
        <v>0</v>
      </c>
      <c r="U66" s="78">
        <v>1118322</v>
      </c>
      <c r="V66" s="78">
        <v>0</v>
      </c>
      <c r="W66" s="78">
        <v>0</v>
      </c>
      <c r="X66" s="45">
        <v>1118322</v>
      </c>
      <c r="Y66" s="78">
        <v>0</v>
      </c>
      <c r="Z66" s="78">
        <v>54518</v>
      </c>
      <c r="AA66" s="78">
        <v>0</v>
      </c>
      <c r="AB66" s="78">
        <v>0</v>
      </c>
      <c r="AC66" s="45">
        <v>54518</v>
      </c>
      <c r="AD66" s="78">
        <v>0</v>
      </c>
      <c r="AE66" s="78">
        <v>92107</v>
      </c>
      <c r="AF66" s="78">
        <v>0</v>
      </c>
      <c r="AG66" s="78">
        <v>0</v>
      </c>
      <c r="AH66" s="45">
        <v>92107</v>
      </c>
      <c r="AI66" s="78">
        <v>0</v>
      </c>
      <c r="AJ66" s="78">
        <v>75474</v>
      </c>
      <c r="AK66" s="78">
        <v>0</v>
      </c>
      <c r="AL66" s="78">
        <v>0</v>
      </c>
      <c r="AM66" s="45">
        <v>75474</v>
      </c>
      <c r="AN66" s="78">
        <v>0</v>
      </c>
      <c r="AO66" s="78">
        <v>169312</v>
      </c>
      <c r="AP66" s="78">
        <v>0</v>
      </c>
      <c r="AQ66" s="78">
        <v>0</v>
      </c>
      <c r="AR66" s="45">
        <v>169312</v>
      </c>
      <c r="AS66" s="78">
        <v>0</v>
      </c>
      <c r="AT66" s="78">
        <v>1460680</v>
      </c>
      <c r="AU66" s="78">
        <v>0</v>
      </c>
      <c r="AV66" s="78">
        <v>0</v>
      </c>
      <c r="AW66" s="45">
        <v>1460680</v>
      </c>
      <c r="AX66" s="78">
        <v>0</v>
      </c>
      <c r="AY66" s="78">
        <v>1486244</v>
      </c>
      <c r="AZ66" s="78">
        <v>0</v>
      </c>
      <c r="BA66" s="78">
        <v>0</v>
      </c>
      <c r="BB66" s="45">
        <v>1486244</v>
      </c>
      <c r="BC66" s="78">
        <v>0</v>
      </c>
      <c r="BD66" s="78">
        <v>1665558</v>
      </c>
      <c r="BE66" s="78">
        <v>0</v>
      </c>
      <c r="BF66" s="78">
        <v>0</v>
      </c>
      <c r="BG66" s="45">
        <v>1665558</v>
      </c>
      <c r="BH66" s="78">
        <v>0</v>
      </c>
      <c r="BI66" s="78">
        <v>0</v>
      </c>
      <c r="BJ66" s="78">
        <v>0</v>
      </c>
      <c r="BK66" s="78">
        <v>0</v>
      </c>
      <c r="BL66" s="45">
        <v>0</v>
      </c>
      <c r="BM66" s="78">
        <v>0</v>
      </c>
      <c r="BN66" s="78">
        <v>0</v>
      </c>
      <c r="BO66" s="78">
        <v>0</v>
      </c>
      <c r="BP66" s="78">
        <v>0</v>
      </c>
      <c r="BQ66" s="45">
        <v>0</v>
      </c>
      <c r="BR66" s="78">
        <v>0</v>
      </c>
      <c r="BS66" s="78">
        <v>9315705</v>
      </c>
      <c r="BT66" s="78">
        <v>0</v>
      </c>
      <c r="BU66" s="78">
        <v>0</v>
      </c>
      <c r="BV66" s="45">
        <v>9315705</v>
      </c>
      <c r="BW66" s="13"/>
      <c r="BX66" s="268"/>
      <c r="BZ66" s="289"/>
      <c r="CA66" s="326"/>
      <c r="CB66" s="291"/>
    </row>
    <row r="67" spans="1:80" x14ac:dyDescent="0.2">
      <c r="A67" s="262" t="s">
        <v>247</v>
      </c>
      <c r="B67" s="288"/>
      <c r="D67" s="286"/>
      <c r="E67" s="78">
        <v>2364318</v>
      </c>
      <c r="F67" s="78">
        <v>78141</v>
      </c>
      <c r="G67" s="78">
        <v>0</v>
      </c>
      <c r="H67" s="78">
        <v>0</v>
      </c>
      <c r="I67" s="45">
        <v>2442459</v>
      </c>
      <c r="J67" s="79">
        <v>183244</v>
      </c>
      <c r="K67" s="78">
        <v>2943</v>
      </c>
      <c r="L67" s="78">
        <v>0</v>
      </c>
      <c r="M67" s="78">
        <v>0</v>
      </c>
      <c r="N67" s="45">
        <v>186187</v>
      </c>
      <c r="O67" s="78">
        <v>176962</v>
      </c>
      <c r="P67" s="78">
        <v>2357</v>
      </c>
      <c r="Q67" s="78">
        <v>0</v>
      </c>
      <c r="R67" s="78">
        <v>0</v>
      </c>
      <c r="S67" s="45">
        <v>179319</v>
      </c>
      <c r="T67" s="78">
        <v>170758</v>
      </c>
      <c r="U67" s="78">
        <v>3390</v>
      </c>
      <c r="V67" s="78">
        <v>0</v>
      </c>
      <c r="W67" s="78">
        <v>0</v>
      </c>
      <c r="X67" s="45">
        <v>174148</v>
      </c>
      <c r="Y67" s="78">
        <v>172932</v>
      </c>
      <c r="Z67" s="78">
        <v>2942</v>
      </c>
      <c r="AA67" s="78">
        <v>0</v>
      </c>
      <c r="AB67" s="78">
        <v>0</v>
      </c>
      <c r="AC67" s="45">
        <v>175874</v>
      </c>
      <c r="AD67" s="78">
        <v>174882</v>
      </c>
      <c r="AE67" s="78">
        <v>1456</v>
      </c>
      <c r="AF67" s="78">
        <v>0</v>
      </c>
      <c r="AG67" s="78">
        <v>0</v>
      </c>
      <c r="AH67" s="45">
        <v>176338</v>
      </c>
      <c r="AI67" s="78">
        <v>176606</v>
      </c>
      <c r="AJ67" s="78">
        <v>5120</v>
      </c>
      <c r="AK67" s="78">
        <v>0</v>
      </c>
      <c r="AL67" s="78">
        <v>0</v>
      </c>
      <c r="AM67" s="45">
        <v>181726</v>
      </c>
      <c r="AN67" s="78">
        <v>174450</v>
      </c>
      <c r="AO67" s="78">
        <v>2043</v>
      </c>
      <c r="AP67" s="78">
        <v>0</v>
      </c>
      <c r="AQ67" s="78">
        <v>0</v>
      </c>
      <c r="AR67" s="45">
        <v>176493</v>
      </c>
      <c r="AS67" s="78">
        <v>175730</v>
      </c>
      <c r="AT67" s="78">
        <v>4459</v>
      </c>
      <c r="AU67" s="78">
        <v>0</v>
      </c>
      <c r="AV67" s="78">
        <v>0</v>
      </c>
      <c r="AW67" s="45">
        <v>180189</v>
      </c>
      <c r="AX67" s="78">
        <v>176605</v>
      </c>
      <c r="AY67" s="78">
        <v>2114</v>
      </c>
      <c r="AZ67" s="78">
        <v>0</v>
      </c>
      <c r="BA67" s="78">
        <v>0</v>
      </c>
      <c r="BB67" s="45">
        <v>178719</v>
      </c>
      <c r="BC67" s="78">
        <v>172324</v>
      </c>
      <c r="BD67" s="78">
        <v>5394</v>
      </c>
      <c r="BE67" s="78">
        <v>0</v>
      </c>
      <c r="BF67" s="78">
        <v>0</v>
      </c>
      <c r="BG67" s="45">
        <v>177718</v>
      </c>
      <c r="BH67" s="78">
        <v>0</v>
      </c>
      <c r="BI67" s="78">
        <v>0</v>
      </c>
      <c r="BJ67" s="78">
        <v>0</v>
      </c>
      <c r="BK67" s="78">
        <v>0</v>
      </c>
      <c r="BL67" s="45">
        <v>0</v>
      </c>
      <c r="BM67" s="78">
        <v>0</v>
      </c>
      <c r="BN67" s="78">
        <v>0</v>
      </c>
      <c r="BO67" s="78">
        <v>0</v>
      </c>
      <c r="BP67" s="78">
        <v>0</v>
      </c>
      <c r="BQ67" s="45">
        <v>0</v>
      </c>
      <c r="BR67" s="78">
        <v>1754493</v>
      </c>
      <c r="BS67" s="78">
        <v>32218</v>
      </c>
      <c r="BT67" s="78">
        <v>0</v>
      </c>
      <c r="BU67" s="78">
        <v>0</v>
      </c>
      <c r="BV67" s="45">
        <v>1786711</v>
      </c>
      <c r="BW67" s="13"/>
      <c r="BX67" s="268"/>
      <c r="BZ67" s="289"/>
      <c r="CA67" s="326"/>
      <c r="CB67" s="291"/>
    </row>
    <row r="68" spans="1:80" x14ac:dyDescent="0.2">
      <c r="A68" s="271" t="s">
        <v>248</v>
      </c>
      <c r="B68" s="298"/>
      <c r="D68" s="286"/>
      <c r="E68" s="78">
        <v>991212</v>
      </c>
      <c r="F68" s="78">
        <v>126719</v>
      </c>
      <c r="G68" s="78">
        <v>0</v>
      </c>
      <c r="H68" s="78">
        <v>0</v>
      </c>
      <c r="I68" s="45">
        <v>1117931</v>
      </c>
      <c r="J68" s="79">
        <v>76516</v>
      </c>
      <c r="K68" s="78">
        <v>6553</v>
      </c>
      <c r="L68" s="78">
        <v>0</v>
      </c>
      <c r="M68" s="78">
        <v>0</v>
      </c>
      <c r="N68" s="45">
        <v>83069</v>
      </c>
      <c r="O68" s="78">
        <v>79279</v>
      </c>
      <c r="P68" s="78">
        <v>201</v>
      </c>
      <c r="Q68" s="78">
        <v>0</v>
      </c>
      <c r="R68" s="78">
        <v>0</v>
      </c>
      <c r="S68" s="45">
        <v>79480</v>
      </c>
      <c r="T68" s="78">
        <v>87330</v>
      </c>
      <c r="U68" s="78">
        <v>15499</v>
      </c>
      <c r="V68" s="78">
        <v>0</v>
      </c>
      <c r="W68" s="78">
        <v>0</v>
      </c>
      <c r="X68" s="45">
        <v>102829</v>
      </c>
      <c r="Y68" s="78">
        <v>75484</v>
      </c>
      <c r="Z68" s="78">
        <v>5571</v>
      </c>
      <c r="AA68" s="78">
        <v>0</v>
      </c>
      <c r="AB68" s="78">
        <v>0</v>
      </c>
      <c r="AC68" s="45">
        <v>81055</v>
      </c>
      <c r="AD68" s="78">
        <v>85469</v>
      </c>
      <c r="AE68" s="78">
        <v>10643</v>
      </c>
      <c r="AF68" s="78">
        <v>0</v>
      </c>
      <c r="AG68" s="78">
        <v>0</v>
      </c>
      <c r="AH68" s="45">
        <v>96112</v>
      </c>
      <c r="AI68" s="78">
        <v>81309</v>
      </c>
      <c r="AJ68" s="78">
        <v>3830</v>
      </c>
      <c r="AK68" s="78">
        <v>0</v>
      </c>
      <c r="AL68" s="78">
        <v>0</v>
      </c>
      <c r="AM68" s="45">
        <v>85139</v>
      </c>
      <c r="AN68" s="78">
        <v>80327</v>
      </c>
      <c r="AO68" s="78">
        <v>1763</v>
      </c>
      <c r="AP68" s="78">
        <v>0</v>
      </c>
      <c r="AQ68" s="78">
        <v>0</v>
      </c>
      <c r="AR68" s="45">
        <v>82090</v>
      </c>
      <c r="AS68" s="78">
        <v>84943</v>
      </c>
      <c r="AT68" s="78">
        <v>279</v>
      </c>
      <c r="AU68" s="78">
        <v>0</v>
      </c>
      <c r="AV68" s="78">
        <v>0</v>
      </c>
      <c r="AW68" s="45">
        <v>85222</v>
      </c>
      <c r="AX68" s="78">
        <v>78836</v>
      </c>
      <c r="AY68" s="78">
        <v>9051</v>
      </c>
      <c r="AZ68" s="78">
        <v>0</v>
      </c>
      <c r="BA68" s="78">
        <v>0</v>
      </c>
      <c r="BB68" s="45">
        <v>87887</v>
      </c>
      <c r="BC68" s="78">
        <v>77178</v>
      </c>
      <c r="BD68" s="78">
        <v>7809</v>
      </c>
      <c r="BE68" s="78">
        <v>0</v>
      </c>
      <c r="BF68" s="78">
        <v>0</v>
      </c>
      <c r="BG68" s="45">
        <v>84987</v>
      </c>
      <c r="BH68" s="78">
        <v>0</v>
      </c>
      <c r="BI68" s="78">
        <v>0</v>
      </c>
      <c r="BJ68" s="78">
        <v>0</v>
      </c>
      <c r="BK68" s="78">
        <v>0</v>
      </c>
      <c r="BL68" s="45">
        <v>0</v>
      </c>
      <c r="BM68" s="78">
        <v>0</v>
      </c>
      <c r="BN68" s="78">
        <v>0</v>
      </c>
      <c r="BO68" s="78">
        <v>0</v>
      </c>
      <c r="BP68" s="78">
        <v>0</v>
      </c>
      <c r="BQ68" s="45">
        <v>0</v>
      </c>
      <c r="BR68" s="78">
        <v>806671</v>
      </c>
      <c r="BS68" s="78">
        <v>61199</v>
      </c>
      <c r="BT68" s="78">
        <v>0</v>
      </c>
      <c r="BU68" s="78">
        <v>0</v>
      </c>
      <c r="BV68" s="45">
        <v>867870</v>
      </c>
      <c r="BW68" s="13"/>
      <c r="BX68" s="268"/>
      <c r="BZ68" s="289"/>
      <c r="CA68" s="326"/>
      <c r="CB68" s="291"/>
    </row>
    <row r="69" spans="1:80" x14ac:dyDescent="0.2">
      <c r="A69" s="299" t="s">
        <v>249</v>
      </c>
      <c r="B69" s="300"/>
      <c r="C69" s="280"/>
      <c r="D69" s="281"/>
      <c r="E69" s="78">
        <v>0</v>
      </c>
      <c r="F69" s="78">
        <v>10997</v>
      </c>
      <c r="G69" s="78">
        <v>0</v>
      </c>
      <c r="H69" s="78">
        <v>0</v>
      </c>
      <c r="I69" s="45">
        <v>10997</v>
      </c>
      <c r="J69" s="79">
        <v>0</v>
      </c>
      <c r="K69" s="78">
        <v>0</v>
      </c>
      <c r="L69" s="78">
        <v>0</v>
      </c>
      <c r="M69" s="78">
        <v>0</v>
      </c>
      <c r="N69" s="45">
        <v>0</v>
      </c>
      <c r="O69" s="78">
        <v>0</v>
      </c>
      <c r="P69" s="78">
        <v>0</v>
      </c>
      <c r="Q69" s="78">
        <v>0</v>
      </c>
      <c r="R69" s="78">
        <v>0</v>
      </c>
      <c r="S69" s="45">
        <v>0</v>
      </c>
      <c r="T69" s="78">
        <v>0</v>
      </c>
      <c r="U69" s="78">
        <v>0</v>
      </c>
      <c r="V69" s="78">
        <v>0</v>
      </c>
      <c r="W69" s="78">
        <v>0</v>
      </c>
      <c r="X69" s="45">
        <v>0</v>
      </c>
      <c r="Y69" s="78">
        <v>0</v>
      </c>
      <c r="Z69" s="78">
        <v>0</v>
      </c>
      <c r="AA69" s="78">
        <v>0</v>
      </c>
      <c r="AB69" s="78">
        <v>0</v>
      </c>
      <c r="AC69" s="45">
        <v>0</v>
      </c>
      <c r="AD69" s="78">
        <v>0</v>
      </c>
      <c r="AE69" s="78">
        <v>0</v>
      </c>
      <c r="AF69" s="78">
        <v>0</v>
      </c>
      <c r="AG69" s="78">
        <v>0</v>
      </c>
      <c r="AH69" s="45">
        <v>0</v>
      </c>
      <c r="AI69" s="78">
        <v>0</v>
      </c>
      <c r="AJ69" s="78">
        <v>0</v>
      </c>
      <c r="AK69" s="78">
        <v>0</v>
      </c>
      <c r="AL69" s="78">
        <v>0</v>
      </c>
      <c r="AM69" s="45">
        <v>0</v>
      </c>
      <c r="AN69" s="78">
        <v>0</v>
      </c>
      <c r="AO69" s="78">
        <v>0</v>
      </c>
      <c r="AP69" s="78">
        <v>0</v>
      </c>
      <c r="AQ69" s="78">
        <v>0</v>
      </c>
      <c r="AR69" s="45">
        <v>0</v>
      </c>
      <c r="AS69" s="78">
        <v>0</v>
      </c>
      <c r="AT69" s="78">
        <v>0</v>
      </c>
      <c r="AU69" s="78">
        <v>0</v>
      </c>
      <c r="AV69" s="78">
        <v>0</v>
      </c>
      <c r="AW69" s="45">
        <v>0</v>
      </c>
      <c r="AX69" s="78">
        <v>0</v>
      </c>
      <c r="AY69" s="78">
        <v>0</v>
      </c>
      <c r="AZ69" s="78">
        <v>0</v>
      </c>
      <c r="BA69" s="78">
        <v>0</v>
      </c>
      <c r="BB69" s="45">
        <v>0</v>
      </c>
      <c r="BC69" s="78">
        <v>0</v>
      </c>
      <c r="BD69" s="78">
        <v>0</v>
      </c>
      <c r="BE69" s="78">
        <v>0</v>
      </c>
      <c r="BF69" s="78">
        <v>0</v>
      </c>
      <c r="BG69" s="45">
        <v>0</v>
      </c>
      <c r="BH69" s="78">
        <v>0</v>
      </c>
      <c r="BI69" s="78">
        <v>0</v>
      </c>
      <c r="BJ69" s="78">
        <v>0</v>
      </c>
      <c r="BK69" s="78">
        <v>0</v>
      </c>
      <c r="BL69" s="45">
        <v>0</v>
      </c>
      <c r="BM69" s="78">
        <v>0</v>
      </c>
      <c r="BN69" s="78">
        <v>0</v>
      </c>
      <c r="BO69" s="78">
        <v>0</v>
      </c>
      <c r="BP69" s="78">
        <v>0</v>
      </c>
      <c r="BQ69" s="45">
        <v>0</v>
      </c>
      <c r="BR69" s="78">
        <v>0</v>
      </c>
      <c r="BS69" s="78">
        <v>0</v>
      </c>
      <c r="BT69" s="78">
        <v>0</v>
      </c>
      <c r="BU69" s="78">
        <v>0</v>
      </c>
      <c r="BV69" s="45">
        <v>0</v>
      </c>
      <c r="BW69" s="13"/>
      <c r="BX69" s="268"/>
      <c r="BZ69" s="231"/>
    </row>
    <row r="70" spans="1:80" x14ac:dyDescent="0.2">
      <c r="A70" s="259" t="s">
        <v>250</v>
      </c>
      <c r="B70" s="263"/>
      <c r="D70" s="286"/>
      <c r="E70" s="42">
        <v>236867517</v>
      </c>
      <c r="F70" s="41">
        <v>545254368</v>
      </c>
      <c r="G70" s="41">
        <v>0</v>
      </c>
      <c r="H70" s="41">
        <v>395376</v>
      </c>
      <c r="I70" s="301">
        <v>782517261</v>
      </c>
      <c r="J70" s="302">
        <v>4458960.4269999983</v>
      </c>
      <c r="K70" s="303">
        <v>46627921</v>
      </c>
      <c r="L70" s="303">
        <v>0</v>
      </c>
      <c r="M70" s="303">
        <v>18</v>
      </c>
      <c r="N70" s="301">
        <v>51086899.427000001</v>
      </c>
      <c r="O70" s="303">
        <v>2045938.1300000001</v>
      </c>
      <c r="P70" s="303">
        <v>46322877</v>
      </c>
      <c r="Q70" s="303">
        <v>0</v>
      </c>
      <c r="R70" s="303">
        <v>111334</v>
      </c>
      <c r="S70" s="301">
        <v>48480149.129999995</v>
      </c>
      <c r="T70" s="302">
        <v>23587962</v>
      </c>
      <c r="U70" s="303">
        <v>46049838</v>
      </c>
      <c r="V70" s="303">
        <v>0</v>
      </c>
      <c r="W70" s="303">
        <v>2</v>
      </c>
      <c r="X70" s="301">
        <v>69637802</v>
      </c>
      <c r="Y70" s="302">
        <v>34084402</v>
      </c>
      <c r="Z70" s="303">
        <v>44935658</v>
      </c>
      <c r="AA70" s="303">
        <v>0</v>
      </c>
      <c r="AB70" s="303">
        <v>0</v>
      </c>
      <c r="AC70" s="301">
        <v>79020060</v>
      </c>
      <c r="AD70" s="302">
        <v>32891479.123</v>
      </c>
      <c r="AE70" s="303">
        <v>49652461</v>
      </c>
      <c r="AF70" s="303">
        <v>0</v>
      </c>
      <c r="AG70" s="303">
        <v>1</v>
      </c>
      <c r="AH70" s="302">
        <v>82543941.122999996</v>
      </c>
      <c r="AI70" s="302">
        <v>21020357.242999993</v>
      </c>
      <c r="AJ70" s="303">
        <v>44987051</v>
      </c>
      <c r="AK70" s="303">
        <v>0</v>
      </c>
      <c r="AL70" s="303">
        <v>6855688</v>
      </c>
      <c r="AM70" s="302">
        <v>72863096.243000001</v>
      </c>
      <c r="AN70" s="302">
        <v>3891478.963</v>
      </c>
      <c r="AO70" s="303">
        <v>45045745</v>
      </c>
      <c r="AP70" s="303">
        <v>0</v>
      </c>
      <c r="AQ70" s="304">
        <v>260</v>
      </c>
      <c r="AR70" s="302">
        <v>48937483.963</v>
      </c>
      <c r="AS70" s="303">
        <v>2545556.0049999994</v>
      </c>
      <c r="AT70" s="303">
        <v>46338044</v>
      </c>
      <c r="AU70" s="303">
        <v>0</v>
      </c>
      <c r="AV70" s="303">
        <v>0</v>
      </c>
      <c r="AW70" s="302">
        <v>48883600.004999995</v>
      </c>
      <c r="AX70" s="303">
        <v>23803257</v>
      </c>
      <c r="AY70" s="303">
        <v>51045662</v>
      </c>
      <c r="AZ70" s="303">
        <v>0</v>
      </c>
      <c r="BA70" s="303">
        <v>-6571665</v>
      </c>
      <c r="BB70" s="301">
        <v>68277254</v>
      </c>
      <c r="BC70" s="303">
        <v>33985624.236999996</v>
      </c>
      <c r="BD70" s="303">
        <v>40633218</v>
      </c>
      <c r="BE70" s="303">
        <v>0</v>
      </c>
      <c r="BF70" s="303">
        <v>8</v>
      </c>
      <c r="BG70" s="301">
        <v>74618850.236999989</v>
      </c>
      <c r="BH70" s="303">
        <v>0</v>
      </c>
      <c r="BI70" s="303">
        <v>0</v>
      </c>
      <c r="BJ70" s="303">
        <v>0</v>
      </c>
      <c r="BK70" s="303">
        <v>0</v>
      </c>
      <c r="BL70" s="301">
        <v>0</v>
      </c>
      <c r="BM70" s="303">
        <v>0</v>
      </c>
      <c r="BN70" s="303">
        <v>0</v>
      </c>
      <c r="BO70" s="303">
        <v>0</v>
      </c>
      <c r="BP70" s="303">
        <v>0</v>
      </c>
      <c r="BQ70" s="301">
        <v>0</v>
      </c>
      <c r="BR70" s="302">
        <v>182315015.12799999</v>
      </c>
      <c r="BS70" s="303">
        <v>461638475</v>
      </c>
      <c r="BT70" s="303">
        <v>0</v>
      </c>
      <c r="BU70" s="303">
        <v>395646</v>
      </c>
      <c r="BV70" s="305">
        <v>644349136.12800002</v>
      </c>
      <c r="BW70" s="14"/>
      <c r="BX70" s="268"/>
    </row>
    <row r="71" spans="1:80" x14ac:dyDescent="0.2">
      <c r="A71" s="306" t="s">
        <v>182</v>
      </c>
      <c r="B71" s="307"/>
      <c r="C71" s="308"/>
      <c r="D71" s="309"/>
      <c r="E71" s="310">
        <v>491355682</v>
      </c>
      <c r="F71" s="310">
        <v>1213632781</v>
      </c>
      <c r="G71" s="310">
        <v>14835462</v>
      </c>
      <c r="H71" s="310">
        <v>88043073</v>
      </c>
      <c r="I71" s="311">
        <v>1807866998</v>
      </c>
      <c r="J71" s="312">
        <v>22081532.426999997</v>
      </c>
      <c r="K71" s="312">
        <v>91841244</v>
      </c>
      <c r="L71" s="312">
        <v>324568</v>
      </c>
      <c r="M71" s="312">
        <v>4853</v>
      </c>
      <c r="N71" s="313">
        <v>114252197.427</v>
      </c>
      <c r="O71" s="310">
        <v>21313327.129999999</v>
      </c>
      <c r="P71" s="310">
        <v>97185042</v>
      </c>
      <c r="Q71" s="310">
        <v>861947</v>
      </c>
      <c r="R71" s="310">
        <v>1115210</v>
      </c>
      <c r="S71" s="313">
        <v>120475526.13</v>
      </c>
      <c r="T71" s="310">
        <v>42064414</v>
      </c>
      <c r="U71" s="310">
        <v>88294246</v>
      </c>
      <c r="V71" s="310">
        <v>15761</v>
      </c>
      <c r="W71" s="310">
        <v>475863</v>
      </c>
      <c r="X71" s="313">
        <v>130850284</v>
      </c>
      <c r="Y71" s="312">
        <v>52873403</v>
      </c>
      <c r="Z71" s="312">
        <v>140177743</v>
      </c>
      <c r="AA71" s="312">
        <v>518145</v>
      </c>
      <c r="AB71" s="312">
        <v>3806670</v>
      </c>
      <c r="AC71" s="313">
        <v>197375961</v>
      </c>
      <c r="AD71" s="312">
        <v>52348326.122999996</v>
      </c>
      <c r="AE71" s="312">
        <v>107273151</v>
      </c>
      <c r="AF71" s="312">
        <v>905002</v>
      </c>
      <c r="AG71" s="312">
        <v>5002463</v>
      </c>
      <c r="AH71" s="313">
        <v>165528942.123</v>
      </c>
      <c r="AI71" s="312">
        <v>40737320.242999993</v>
      </c>
      <c r="AJ71" s="312">
        <v>97067140</v>
      </c>
      <c r="AK71" s="312">
        <v>867648</v>
      </c>
      <c r="AL71" s="312">
        <v>9873949</v>
      </c>
      <c r="AM71" s="311">
        <v>148546057.243</v>
      </c>
      <c r="AN71" s="312">
        <v>24371761.963</v>
      </c>
      <c r="AO71" s="312">
        <v>105316823</v>
      </c>
      <c r="AP71" s="312">
        <v>1268269</v>
      </c>
      <c r="AQ71" s="312">
        <v>2002991</v>
      </c>
      <c r="AR71" s="311">
        <v>132959844.963</v>
      </c>
      <c r="AS71" s="312">
        <v>22685857.004999999</v>
      </c>
      <c r="AT71" s="312">
        <v>93267975</v>
      </c>
      <c r="AU71" s="312">
        <v>886111</v>
      </c>
      <c r="AV71" s="312">
        <v>3781537</v>
      </c>
      <c r="AW71" s="311">
        <v>120621480.005</v>
      </c>
      <c r="AX71" s="312">
        <v>43789410</v>
      </c>
      <c r="AY71" s="312">
        <v>116638516</v>
      </c>
      <c r="AZ71" s="312">
        <v>775078</v>
      </c>
      <c r="BA71" s="312">
        <v>10116371</v>
      </c>
      <c r="BB71" s="313">
        <v>171319375</v>
      </c>
      <c r="BC71" s="312">
        <v>52379477.236999996</v>
      </c>
      <c r="BD71" s="312">
        <v>80461364</v>
      </c>
      <c r="BE71" s="312">
        <v>568295</v>
      </c>
      <c r="BF71" s="312">
        <v>30302684</v>
      </c>
      <c r="BG71" s="313">
        <v>163711820.23699999</v>
      </c>
      <c r="BH71" s="312">
        <v>0</v>
      </c>
      <c r="BI71" s="312">
        <v>0</v>
      </c>
      <c r="BJ71" s="312">
        <v>0</v>
      </c>
      <c r="BK71" s="312">
        <v>0</v>
      </c>
      <c r="BL71" s="313">
        <v>0</v>
      </c>
      <c r="BM71" s="312">
        <v>0</v>
      </c>
      <c r="BN71" s="312">
        <v>0</v>
      </c>
      <c r="BO71" s="312">
        <v>0</v>
      </c>
      <c r="BP71" s="312">
        <v>0</v>
      </c>
      <c r="BQ71" s="313">
        <v>0</v>
      </c>
      <c r="BR71" s="312">
        <v>374644829.12800002</v>
      </c>
      <c r="BS71" s="312">
        <v>1017523244</v>
      </c>
      <c r="BT71" s="312">
        <v>6990824</v>
      </c>
      <c r="BU71" s="312">
        <v>66482591</v>
      </c>
      <c r="BV71" s="314">
        <v>1465641488.128</v>
      </c>
      <c r="BW71" s="14"/>
      <c r="BX71" s="268"/>
    </row>
    <row r="72" spans="1:80" hidden="1" x14ac:dyDescent="0.2">
      <c r="A72" s="284"/>
      <c r="B72" s="263"/>
      <c r="D72" s="282"/>
      <c r="E72" s="49"/>
      <c r="F72" s="49"/>
      <c r="G72" s="49"/>
      <c r="H72" s="49"/>
      <c r="I72" s="173"/>
      <c r="J72" s="49"/>
      <c r="K72" s="49"/>
      <c r="L72" s="49"/>
      <c r="M72" s="49"/>
      <c r="N72" s="45"/>
      <c r="O72" s="49"/>
      <c r="P72" s="49"/>
      <c r="Q72" s="49"/>
      <c r="R72" s="49"/>
      <c r="S72" s="45"/>
      <c r="T72" s="49"/>
      <c r="U72" s="49"/>
      <c r="V72" s="49"/>
      <c r="W72" s="49"/>
      <c r="X72" s="45"/>
      <c r="Y72" s="49"/>
      <c r="Z72" s="49"/>
      <c r="AA72" s="49"/>
      <c r="AB72" s="49"/>
      <c r="AC72" s="45"/>
      <c r="AD72" s="49"/>
      <c r="AE72" s="49"/>
      <c r="AF72" s="49"/>
      <c r="AG72" s="49"/>
      <c r="AH72" s="45"/>
      <c r="AI72" s="49"/>
      <c r="AJ72" s="49"/>
      <c r="AK72" s="49"/>
      <c r="AL72" s="49"/>
      <c r="AM72" s="173"/>
      <c r="AN72" s="49"/>
      <c r="AO72" s="49"/>
      <c r="AP72" s="49"/>
      <c r="AQ72" s="49"/>
      <c r="AR72" s="173"/>
      <c r="AS72" s="49"/>
      <c r="AT72" s="49"/>
      <c r="AU72" s="49"/>
      <c r="AV72" s="49"/>
      <c r="AW72" s="45"/>
      <c r="AX72" s="49"/>
      <c r="AY72" s="49"/>
      <c r="AZ72" s="49"/>
      <c r="BA72" s="49"/>
      <c r="BB72" s="45"/>
      <c r="BC72" s="49"/>
      <c r="BD72" s="49"/>
      <c r="BE72" s="49"/>
      <c r="BF72" s="49"/>
      <c r="BG72" s="45"/>
      <c r="BH72" s="49"/>
      <c r="BI72" s="49"/>
      <c r="BJ72" s="49"/>
      <c r="BK72" s="49"/>
      <c r="BL72" s="45"/>
      <c r="BM72" s="49"/>
      <c r="BN72" s="49"/>
      <c r="BO72" s="49"/>
      <c r="BP72" s="49"/>
      <c r="BQ72" s="45"/>
      <c r="BR72" s="49"/>
      <c r="BS72" s="49"/>
      <c r="BT72" s="49"/>
      <c r="BU72" s="49"/>
      <c r="BV72" s="315"/>
      <c r="BW72" s="1"/>
      <c r="BX72" s="268"/>
    </row>
    <row r="73" spans="1:80" x14ac:dyDescent="0.2">
      <c r="A73" s="284" t="s">
        <v>251</v>
      </c>
      <c r="B73" s="263"/>
      <c r="D73" s="286"/>
      <c r="E73" s="49">
        <v>0</v>
      </c>
      <c r="F73" s="49">
        <v>0</v>
      </c>
      <c r="G73" s="49">
        <v>0</v>
      </c>
      <c r="H73" s="49">
        <v>0</v>
      </c>
      <c r="I73" s="45">
        <v>-2108558</v>
      </c>
      <c r="J73" s="49">
        <v>0</v>
      </c>
      <c r="K73" s="49">
        <v>0</v>
      </c>
      <c r="L73" s="49">
        <v>0</v>
      </c>
      <c r="M73" s="49">
        <v>0</v>
      </c>
      <c r="N73" s="45">
        <v>0</v>
      </c>
      <c r="O73" s="49">
        <v>0</v>
      </c>
      <c r="P73" s="49">
        <v>0</v>
      </c>
      <c r="Q73" s="49">
        <v>0</v>
      </c>
      <c r="R73" s="49">
        <v>0</v>
      </c>
      <c r="S73" s="45">
        <v>0</v>
      </c>
      <c r="T73" s="49">
        <v>0</v>
      </c>
      <c r="U73" s="49">
        <v>0</v>
      </c>
      <c r="V73" s="49">
        <v>0</v>
      </c>
      <c r="W73" s="49">
        <v>0</v>
      </c>
      <c r="X73" s="45">
        <v>0</v>
      </c>
      <c r="Y73" s="49">
        <v>0</v>
      </c>
      <c r="Z73" s="49">
        <v>0</v>
      </c>
      <c r="AA73" s="49">
        <v>0</v>
      </c>
      <c r="AB73" s="49">
        <v>0</v>
      </c>
      <c r="AC73" s="45">
        <v>0</v>
      </c>
      <c r="AD73" s="49">
        <v>0</v>
      </c>
      <c r="AE73" s="49">
        <v>0</v>
      </c>
      <c r="AF73" s="49">
        <v>0</v>
      </c>
      <c r="AG73" s="49">
        <v>0</v>
      </c>
      <c r="AH73" s="45">
        <v>0</v>
      </c>
      <c r="AI73" s="49">
        <v>0</v>
      </c>
      <c r="AJ73" s="49">
        <v>0</v>
      </c>
      <c r="AK73" s="49">
        <v>0</v>
      </c>
      <c r="AL73" s="49">
        <v>0</v>
      </c>
      <c r="AM73" s="45">
        <v>0</v>
      </c>
      <c r="AN73" s="49">
        <v>0</v>
      </c>
      <c r="AO73" s="49">
        <v>0</v>
      </c>
      <c r="AP73" s="49">
        <v>0</v>
      </c>
      <c r="AQ73" s="49">
        <v>0</v>
      </c>
      <c r="AR73" s="45">
        <v>0</v>
      </c>
      <c r="AS73" s="49">
        <v>0</v>
      </c>
      <c r="AT73" s="49">
        <v>0</v>
      </c>
      <c r="AU73" s="49">
        <v>0</v>
      </c>
      <c r="AV73" s="49">
        <v>0</v>
      </c>
      <c r="AW73" s="45">
        <v>0</v>
      </c>
      <c r="AX73" s="49">
        <v>0</v>
      </c>
      <c r="AY73" s="49">
        <v>0</v>
      </c>
      <c r="AZ73" s="49">
        <v>0</v>
      </c>
      <c r="BA73" s="49">
        <v>0</v>
      </c>
      <c r="BB73" s="45">
        <v>0</v>
      </c>
      <c r="BC73" s="49">
        <v>0</v>
      </c>
      <c r="BD73" s="49">
        <v>0</v>
      </c>
      <c r="BE73" s="49">
        <v>0</v>
      </c>
      <c r="BF73" s="49">
        <v>0</v>
      </c>
      <c r="BG73" s="45">
        <v>0</v>
      </c>
      <c r="BH73" s="49"/>
      <c r="BI73" s="49"/>
      <c r="BJ73" s="49"/>
      <c r="BK73" s="49"/>
      <c r="BL73" s="45"/>
      <c r="BM73" s="49"/>
      <c r="BN73" s="49"/>
      <c r="BO73" s="49"/>
      <c r="BP73" s="49"/>
      <c r="BQ73" s="45"/>
      <c r="BR73" s="49">
        <v>0</v>
      </c>
      <c r="BS73" s="49">
        <v>0</v>
      </c>
      <c r="BT73" s="49">
        <v>0</v>
      </c>
      <c r="BU73" s="49">
        <v>0</v>
      </c>
      <c r="BV73" s="46">
        <v>0</v>
      </c>
      <c r="BW73" s="1"/>
      <c r="BX73" s="268"/>
    </row>
    <row r="74" spans="1:80" x14ac:dyDescent="0.2">
      <c r="A74" s="316" t="s">
        <v>252</v>
      </c>
      <c r="B74" s="317"/>
      <c r="C74" s="318"/>
      <c r="D74" s="319"/>
      <c r="E74" s="303">
        <v>491355682</v>
      </c>
      <c r="F74" s="303">
        <v>1213632781</v>
      </c>
      <c r="G74" s="303">
        <v>14835462</v>
      </c>
      <c r="H74" s="303">
        <v>88043073</v>
      </c>
      <c r="I74" s="301">
        <v>1805758440</v>
      </c>
      <c r="J74" s="303">
        <v>22081532.426999997</v>
      </c>
      <c r="K74" s="303">
        <v>91841244</v>
      </c>
      <c r="L74" s="303">
        <v>324568</v>
      </c>
      <c r="M74" s="303">
        <v>4853</v>
      </c>
      <c r="N74" s="301">
        <v>114252197.427</v>
      </c>
      <c r="O74" s="303">
        <v>21313327.129999999</v>
      </c>
      <c r="P74" s="303">
        <v>97185042</v>
      </c>
      <c r="Q74" s="303">
        <v>861947</v>
      </c>
      <c r="R74" s="303">
        <v>1115210</v>
      </c>
      <c r="S74" s="301">
        <v>120475526.13</v>
      </c>
      <c r="T74" s="303">
        <v>42064414</v>
      </c>
      <c r="U74" s="303">
        <v>88294246</v>
      </c>
      <c r="V74" s="303">
        <v>15761</v>
      </c>
      <c r="W74" s="303">
        <v>475863</v>
      </c>
      <c r="X74" s="301">
        <v>130850284</v>
      </c>
      <c r="Y74" s="303">
        <v>52873403</v>
      </c>
      <c r="Z74" s="303">
        <v>140177743</v>
      </c>
      <c r="AA74" s="303">
        <v>518145</v>
      </c>
      <c r="AB74" s="303">
        <v>3806670</v>
      </c>
      <c r="AC74" s="301">
        <v>197375961</v>
      </c>
      <c r="AD74" s="303">
        <v>52348326.122999996</v>
      </c>
      <c r="AE74" s="303">
        <v>107273151</v>
      </c>
      <c r="AF74" s="303">
        <v>905002</v>
      </c>
      <c r="AG74" s="303">
        <v>5002463</v>
      </c>
      <c r="AH74" s="301">
        <v>165528942.123</v>
      </c>
      <c r="AI74" s="303">
        <v>40737320.242999993</v>
      </c>
      <c r="AJ74" s="303">
        <v>97067140</v>
      </c>
      <c r="AK74" s="303">
        <v>867648</v>
      </c>
      <c r="AL74" s="303">
        <v>9873949</v>
      </c>
      <c r="AM74" s="301">
        <v>148546057.243</v>
      </c>
      <c r="AN74" s="303">
        <v>24371761.963</v>
      </c>
      <c r="AO74" s="303">
        <v>105316823</v>
      </c>
      <c r="AP74" s="303">
        <v>1268269</v>
      </c>
      <c r="AQ74" s="303">
        <v>2002991</v>
      </c>
      <c r="AR74" s="301">
        <v>132959844.963</v>
      </c>
      <c r="AS74" s="303">
        <v>22685857.004999999</v>
      </c>
      <c r="AT74" s="303">
        <v>93267975</v>
      </c>
      <c r="AU74" s="303">
        <v>886111</v>
      </c>
      <c r="AV74" s="303">
        <v>3781537</v>
      </c>
      <c r="AW74" s="301">
        <v>120621480.005</v>
      </c>
      <c r="AX74" s="303">
        <v>43789410</v>
      </c>
      <c r="AY74" s="303">
        <v>116638516</v>
      </c>
      <c r="AZ74" s="303">
        <v>775078</v>
      </c>
      <c r="BA74" s="303">
        <v>10116371</v>
      </c>
      <c r="BB74" s="301">
        <v>171319375</v>
      </c>
      <c r="BC74" s="303">
        <v>52379477.236999996</v>
      </c>
      <c r="BD74" s="303">
        <v>80461364</v>
      </c>
      <c r="BE74" s="303">
        <v>568295</v>
      </c>
      <c r="BF74" s="303">
        <v>30302684</v>
      </c>
      <c r="BG74" s="301">
        <v>163711820.23699999</v>
      </c>
      <c r="BH74" s="303">
        <v>0</v>
      </c>
      <c r="BI74" s="303">
        <v>0</v>
      </c>
      <c r="BJ74" s="303">
        <v>0</v>
      </c>
      <c r="BK74" s="303">
        <v>0</v>
      </c>
      <c r="BL74" s="301">
        <v>0</v>
      </c>
      <c r="BM74" s="303">
        <v>0</v>
      </c>
      <c r="BN74" s="303">
        <v>0</v>
      </c>
      <c r="BO74" s="303">
        <v>0</v>
      </c>
      <c r="BP74" s="303">
        <v>0</v>
      </c>
      <c r="BQ74" s="301">
        <v>0</v>
      </c>
      <c r="BR74" s="303">
        <v>374644829.12800002</v>
      </c>
      <c r="BS74" s="303">
        <v>1017523244</v>
      </c>
      <c r="BT74" s="303">
        <v>6990824</v>
      </c>
      <c r="BU74" s="303">
        <v>66482591</v>
      </c>
      <c r="BV74" s="305">
        <v>1465641488.128</v>
      </c>
      <c r="BW74" s="320"/>
      <c r="BX74" s="268"/>
    </row>
    <row r="75" spans="1:80" x14ac:dyDescent="0.2">
      <c r="A75" s="294" t="s">
        <v>253</v>
      </c>
      <c r="B75" s="321"/>
      <c r="C75" s="321"/>
      <c r="D75" s="321"/>
      <c r="E75" s="321"/>
      <c r="F75" s="321"/>
      <c r="G75" s="321"/>
      <c r="H75" s="321"/>
      <c r="I75" s="74"/>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c r="AK75" s="285"/>
      <c r="AL75" s="285"/>
      <c r="AM75" s="285"/>
      <c r="AN75" s="285"/>
      <c r="AO75" s="285"/>
      <c r="AP75" s="285"/>
      <c r="AQ75" s="285"/>
      <c r="AR75" s="285"/>
      <c r="AS75" s="285"/>
      <c r="AT75" s="285"/>
      <c r="AU75" s="285"/>
      <c r="AV75" s="285"/>
      <c r="AW75" s="285"/>
      <c r="AX75" s="285"/>
      <c r="AY75" s="285"/>
      <c r="AZ75" s="285"/>
      <c r="BA75" s="285"/>
      <c r="BB75" s="285"/>
      <c r="BC75" s="285"/>
      <c r="BD75" s="285"/>
      <c r="BE75" s="285"/>
      <c r="BF75" s="285"/>
      <c r="BG75" s="285"/>
      <c r="BH75" s="285"/>
      <c r="BI75" s="285"/>
      <c r="BJ75" s="285"/>
      <c r="BK75" s="285"/>
      <c r="BL75" s="285"/>
      <c r="BM75" s="285"/>
      <c r="BN75" s="285"/>
      <c r="BO75" s="285"/>
      <c r="BP75" s="285"/>
      <c r="BQ75" s="285"/>
      <c r="BR75" s="285"/>
      <c r="BS75" s="285"/>
      <c r="BT75" s="285"/>
      <c r="BU75" s="285"/>
      <c r="BV75" s="285"/>
      <c r="BX75" s="268"/>
    </row>
    <row r="76" spans="1:80" x14ac:dyDescent="0.2">
      <c r="A76" s="294" t="s">
        <v>254</v>
      </c>
      <c r="B76" s="321"/>
      <c r="C76" s="321"/>
      <c r="D76" s="321"/>
      <c r="E76" s="321"/>
      <c r="F76" s="321"/>
      <c r="G76" s="321"/>
      <c r="H76" s="321"/>
      <c r="I76" s="74"/>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c r="AK76" s="285"/>
      <c r="AL76" s="285"/>
      <c r="AM76" s="285"/>
      <c r="AN76" s="285"/>
      <c r="AO76" s="285"/>
      <c r="AP76" s="285"/>
      <c r="AQ76" s="285"/>
      <c r="AR76" s="285"/>
      <c r="AS76" s="285"/>
      <c r="AT76" s="285"/>
      <c r="AU76" s="285"/>
      <c r="AV76" s="285"/>
      <c r="AW76" s="285"/>
      <c r="AX76" s="285"/>
      <c r="AY76" s="285"/>
      <c r="AZ76" s="285"/>
      <c r="BA76" s="285"/>
      <c r="BB76" s="285"/>
      <c r="BC76" s="285"/>
      <c r="BD76" s="285"/>
      <c r="BE76" s="285"/>
      <c r="BF76" s="285"/>
      <c r="BG76" s="285"/>
      <c r="BH76" s="285"/>
      <c r="BI76" s="285"/>
      <c r="BJ76" s="285"/>
      <c r="BK76" s="285"/>
      <c r="BL76" s="285"/>
      <c r="BM76" s="285"/>
      <c r="BN76" s="285"/>
      <c r="BO76" s="285"/>
      <c r="BP76" s="285"/>
      <c r="BQ76" s="285"/>
      <c r="BR76" s="285"/>
      <c r="BS76" s="285"/>
      <c r="BT76" s="285"/>
      <c r="BU76" s="285"/>
      <c r="BV76" s="285"/>
      <c r="BX76" s="268"/>
    </row>
    <row r="77" spans="1:80" x14ac:dyDescent="0.2">
      <c r="A77" s="294" t="s">
        <v>255</v>
      </c>
      <c r="B77" s="321"/>
      <c r="C77" s="321"/>
      <c r="D77" s="321"/>
      <c r="E77" s="321"/>
      <c r="F77" s="321"/>
      <c r="G77" s="321"/>
      <c r="H77" s="321"/>
      <c r="I77" s="74"/>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K77" s="285"/>
      <c r="AL77" s="285"/>
      <c r="AM77" s="285"/>
      <c r="AN77" s="285"/>
      <c r="AO77" s="285"/>
      <c r="AP77" s="285"/>
      <c r="AQ77" s="285"/>
      <c r="AR77" s="285"/>
      <c r="AS77" s="285"/>
      <c r="AT77" s="285"/>
      <c r="AU77" s="285"/>
      <c r="AV77" s="285"/>
      <c r="AW77" s="285"/>
      <c r="AX77" s="285"/>
      <c r="AY77" s="285"/>
      <c r="AZ77" s="285"/>
      <c r="BA77" s="285"/>
      <c r="BB77" s="285"/>
      <c r="BC77" s="285"/>
      <c r="BD77" s="285"/>
      <c r="BE77" s="285"/>
      <c r="BF77" s="285"/>
      <c r="BG77" s="285"/>
      <c r="BH77" s="285"/>
      <c r="BI77" s="285"/>
      <c r="BJ77" s="285"/>
      <c r="BK77" s="285"/>
      <c r="BL77" s="285"/>
      <c r="BM77" s="285"/>
      <c r="BN77" s="285"/>
      <c r="BO77" s="285"/>
      <c r="BP77" s="285"/>
      <c r="BQ77" s="285"/>
      <c r="BR77" s="285"/>
      <c r="BS77" s="285"/>
      <c r="BT77" s="285"/>
      <c r="BU77" s="285"/>
      <c r="BV77" s="285"/>
      <c r="BX77" s="268"/>
    </row>
    <row r="78" spans="1:80" x14ac:dyDescent="0.2">
      <c r="A78" s="294" t="s">
        <v>256</v>
      </c>
      <c r="B78" s="321"/>
      <c r="C78" s="321"/>
      <c r="D78" s="321"/>
      <c r="E78" s="321"/>
      <c r="F78" s="321"/>
      <c r="G78" s="321"/>
      <c r="H78" s="321"/>
      <c r="I78" s="74"/>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K78" s="285"/>
      <c r="AL78" s="285"/>
      <c r="AM78" s="285"/>
      <c r="AN78" s="285"/>
      <c r="AO78" s="285"/>
      <c r="AP78" s="285"/>
      <c r="AQ78" s="285"/>
      <c r="AR78" s="285"/>
      <c r="AS78" s="285"/>
      <c r="AT78" s="285"/>
      <c r="AU78" s="285"/>
      <c r="AV78" s="285"/>
      <c r="AW78" s="285"/>
      <c r="AX78" s="285"/>
      <c r="AY78" s="285"/>
      <c r="AZ78" s="285"/>
      <c r="BA78" s="285"/>
      <c r="BB78" s="285"/>
      <c r="BC78" s="285"/>
      <c r="BD78" s="285"/>
      <c r="BE78" s="285"/>
      <c r="BF78" s="285"/>
      <c r="BG78" s="285"/>
      <c r="BH78" s="285"/>
      <c r="BI78" s="285"/>
      <c r="BJ78" s="285"/>
      <c r="BK78" s="285"/>
      <c r="BL78" s="285"/>
      <c r="BM78" s="285"/>
      <c r="BN78" s="285"/>
      <c r="BO78" s="285"/>
      <c r="BP78" s="285"/>
      <c r="BQ78" s="285"/>
      <c r="BR78" s="285"/>
      <c r="BS78" s="285"/>
      <c r="BT78" s="285"/>
      <c r="BU78" s="285"/>
      <c r="BV78" s="285"/>
      <c r="BX78" s="268"/>
    </row>
    <row r="79" spans="1:80" hidden="1" x14ac:dyDescent="0.2">
      <c r="A79" s="294" t="s">
        <v>257</v>
      </c>
      <c r="B79" s="321"/>
      <c r="C79" s="321"/>
      <c r="D79" s="321"/>
      <c r="E79" s="321"/>
      <c r="F79" s="321"/>
      <c r="G79" s="321"/>
      <c r="H79" s="321"/>
      <c r="I79" s="74"/>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K79" s="285"/>
      <c r="AL79" s="285"/>
      <c r="AM79" s="285"/>
      <c r="AN79" s="285"/>
      <c r="AO79" s="285"/>
      <c r="AP79" s="285"/>
      <c r="AQ79" s="285"/>
      <c r="AR79" s="285"/>
      <c r="AS79" s="285"/>
      <c r="AT79" s="285"/>
      <c r="AU79" s="285"/>
      <c r="AV79" s="285"/>
      <c r="AW79" s="285"/>
      <c r="AX79" s="285"/>
      <c r="AY79" s="285"/>
      <c r="AZ79" s="285"/>
      <c r="BA79" s="285"/>
      <c r="BB79" s="285"/>
      <c r="BC79" s="285"/>
      <c r="BD79" s="285"/>
      <c r="BE79" s="285"/>
      <c r="BF79" s="285"/>
      <c r="BG79" s="285"/>
      <c r="BH79" s="285"/>
      <c r="BI79" s="285"/>
      <c r="BJ79" s="285"/>
      <c r="BK79" s="285"/>
      <c r="BL79" s="285"/>
      <c r="BM79" s="285"/>
      <c r="BN79" s="285"/>
      <c r="BO79" s="285"/>
      <c r="BP79" s="285"/>
      <c r="BQ79" s="285"/>
      <c r="BR79" s="285"/>
      <c r="BS79" s="285"/>
      <c r="BT79" s="285"/>
      <c r="BU79" s="285"/>
      <c r="BV79" s="285"/>
      <c r="BX79" s="268"/>
    </row>
    <row r="80" spans="1:80" x14ac:dyDescent="0.2">
      <c r="A80" s="294" t="s">
        <v>258</v>
      </c>
      <c r="B80" s="294"/>
      <c r="C80" s="294"/>
      <c r="D80" s="294"/>
      <c r="E80" s="294"/>
      <c r="F80" s="294"/>
      <c r="G80" s="294"/>
      <c r="H80" s="294"/>
      <c r="I80" s="1"/>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5"/>
      <c r="AK80" s="285"/>
      <c r="AL80" s="285"/>
      <c r="AM80" s="285"/>
      <c r="AN80" s="285"/>
      <c r="AO80" s="285"/>
      <c r="AP80" s="285"/>
      <c r="AQ80" s="285"/>
      <c r="AR80" s="285"/>
      <c r="AS80" s="285"/>
      <c r="AT80" s="285"/>
      <c r="AU80" s="285"/>
      <c r="AV80" s="285"/>
      <c r="AW80" s="285"/>
      <c r="AX80" s="285"/>
      <c r="AY80" s="285"/>
      <c r="AZ80" s="285"/>
      <c r="BA80" s="285"/>
      <c r="BB80" s="285"/>
      <c r="BC80" s="285"/>
      <c r="BD80" s="285"/>
      <c r="BE80" s="285"/>
      <c r="BF80" s="285"/>
      <c r="BG80" s="285"/>
      <c r="BH80" s="285"/>
      <c r="BI80" s="285"/>
      <c r="BJ80" s="285"/>
      <c r="BK80" s="285"/>
      <c r="BL80" s="285"/>
      <c r="BM80" s="285"/>
      <c r="BN80" s="285"/>
      <c r="BO80" s="285"/>
      <c r="BP80" s="285"/>
      <c r="BQ80" s="285"/>
      <c r="BR80" s="285"/>
      <c r="BS80" s="285"/>
      <c r="BT80" s="285"/>
      <c r="BU80" s="285"/>
      <c r="BV80" s="285"/>
      <c r="BX80" s="268"/>
    </row>
    <row r="81" spans="1:76" x14ac:dyDescent="0.2">
      <c r="A81" s="294"/>
      <c r="B81" s="321"/>
      <c r="C81" s="321"/>
      <c r="D81" s="321"/>
      <c r="E81" s="321"/>
      <c r="F81" s="321"/>
      <c r="G81" s="321"/>
      <c r="H81" s="321"/>
      <c r="I81" s="74"/>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285"/>
      <c r="BJ81" s="285"/>
      <c r="BK81" s="285"/>
      <c r="BL81" s="285"/>
      <c r="BM81" s="285"/>
      <c r="BN81" s="285"/>
      <c r="BO81" s="285"/>
      <c r="BP81" s="285"/>
      <c r="BQ81" s="285"/>
      <c r="BR81" s="285"/>
      <c r="BS81" s="285"/>
      <c r="BT81" s="285"/>
      <c r="BU81" s="285"/>
      <c r="BV81" s="285"/>
      <c r="BX81" s="268"/>
    </row>
    <row r="82" spans="1:76" x14ac:dyDescent="0.2">
      <c r="I82" s="23"/>
      <c r="AS82" s="1"/>
      <c r="BX82" s="268"/>
    </row>
    <row r="83" spans="1:76" x14ac:dyDescent="0.2">
      <c r="BX83" s="268"/>
    </row>
    <row r="84" spans="1:76" x14ac:dyDescent="0.2">
      <c r="B84" s="270"/>
      <c r="C84" s="263"/>
      <c r="D84" s="263"/>
      <c r="E84" s="322"/>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c r="AJ84" s="285"/>
      <c r="AK84" s="285"/>
      <c r="AL84" s="285"/>
      <c r="AM84" s="285"/>
      <c r="AN84" s="285"/>
      <c r="AO84" s="285"/>
      <c r="AP84" s="285"/>
      <c r="AQ84" s="285"/>
      <c r="AR84" s="285"/>
      <c r="AS84" s="285"/>
      <c r="AT84" s="285"/>
      <c r="AU84" s="285"/>
      <c r="AV84" s="285"/>
      <c r="AW84" s="285"/>
      <c r="AX84" s="285"/>
      <c r="AY84" s="285"/>
      <c r="AZ84" s="285"/>
      <c r="BA84" s="285"/>
      <c r="BB84" s="285"/>
      <c r="BC84" s="285"/>
      <c r="BD84" s="285"/>
      <c r="BE84" s="285"/>
      <c r="BF84" s="285"/>
      <c r="BG84" s="285"/>
      <c r="BH84" s="285"/>
      <c r="BI84" s="285"/>
      <c r="BJ84" s="285"/>
      <c r="BK84" s="285"/>
      <c r="BL84" s="285"/>
      <c r="BM84" s="285"/>
      <c r="BN84" s="285"/>
      <c r="BO84" s="285"/>
      <c r="BP84" s="285"/>
      <c r="BQ84" s="285"/>
      <c r="BR84" s="285"/>
      <c r="BS84" s="285"/>
      <c r="BT84" s="285"/>
      <c r="BU84" s="285"/>
      <c r="BV84" s="285"/>
      <c r="BX84" s="268"/>
    </row>
    <row r="85" spans="1:76" x14ac:dyDescent="0.2">
      <c r="B85" s="270"/>
      <c r="C85" s="263"/>
      <c r="D85" s="263"/>
      <c r="E85" s="322"/>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c r="AJ85" s="285"/>
      <c r="AK85" s="285"/>
      <c r="AL85" s="285"/>
      <c r="AM85" s="285"/>
      <c r="AN85" s="285"/>
      <c r="AO85" s="285"/>
      <c r="AP85" s="285"/>
      <c r="AQ85" s="285"/>
      <c r="AR85" s="285"/>
      <c r="AS85" s="285"/>
      <c r="AT85" s="285"/>
      <c r="AU85" s="285"/>
      <c r="AV85" s="285"/>
      <c r="AW85" s="285"/>
      <c r="AX85" s="285"/>
      <c r="AY85" s="285"/>
      <c r="AZ85" s="285"/>
      <c r="BA85" s="285"/>
      <c r="BB85" s="285"/>
      <c r="BC85" s="285"/>
      <c r="BD85" s="285"/>
      <c r="BE85" s="285"/>
      <c r="BF85" s="285"/>
      <c r="BG85" s="285"/>
      <c r="BH85" s="285"/>
      <c r="BI85" s="285"/>
      <c r="BJ85" s="285"/>
      <c r="BK85" s="285"/>
      <c r="BL85" s="285"/>
      <c r="BM85" s="285"/>
      <c r="BN85" s="285"/>
      <c r="BO85" s="285"/>
      <c r="BP85" s="285"/>
      <c r="BQ85" s="285"/>
      <c r="BR85" s="285"/>
      <c r="BS85" s="285"/>
      <c r="BT85" s="285"/>
      <c r="BU85" s="285"/>
      <c r="BV85" s="285"/>
      <c r="BX85" s="268"/>
    </row>
    <row r="86" spans="1:76" x14ac:dyDescent="0.2">
      <c r="B86" s="270"/>
      <c r="C86" s="263"/>
      <c r="D86" s="263"/>
      <c r="E86" s="322"/>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5"/>
      <c r="AK86" s="285"/>
      <c r="AL86" s="285"/>
      <c r="AM86" s="285"/>
      <c r="AN86" s="285"/>
      <c r="AO86" s="285"/>
      <c r="AP86" s="285"/>
      <c r="AQ86" s="285"/>
      <c r="AR86" s="285"/>
      <c r="AS86" s="285"/>
      <c r="AT86" s="285"/>
      <c r="AU86" s="285"/>
      <c r="AV86" s="285"/>
      <c r="AW86" s="285"/>
      <c r="AX86" s="285"/>
      <c r="AY86" s="285"/>
      <c r="AZ86" s="285"/>
      <c r="BA86" s="285"/>
      <c r="BB86" s="285"/>
      <c r="BC86" s="285"/>
      <c r="BD86" s="285"/>
      <c r="BE86" s="285"/>
      <c r="BF86" s="285"/>
      <c r="BG86" s="285"/>
      <c r="BH86" s="285"/>
      <c r="BI86" s="285"/>
      <c r="BJ86" s="285"/>
      <c r="BK86" s="285"/>
      <c r="BL86" s="285"/>
      <c r="BM86" s="285"/>
      <c r="BN86" s="285"/>
      <c r="BO86" s="285"/>
      <c r="BP86" s="285"/>
      <c r="BQ86" s="285"/>
      <c r="BR86" s="285"/>
      <c r="BS86" s="285"/>
      <c r="BT86" s="285"/>
      <c r="BU86" s="285"/>
      <c r="BV86" s="285"/>
      <c r="BX86" s="268"/>
    </row>
    <row r="87" spans="1:76" x14ac:dyDescent="0.2">
      <c r="B87" s="270"/>
      <c r="C87" s="263"/>
      <c r="D87" s="263"/>
      <c r="E87" s="322"/>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5"/>
      <c r="AK87" s="285"/>
      <c r="AL87" s="285"/>
      <c r="AM87" s="285"/>
      <c r="AN87" s="285"/>
      <c r="AO87" s="285"/>
      <c r="AP87" s="285"/>
      <c r="AQ87" s="285"/>
      <c r="AR87" s="285"/>
      <c r="AS87" s="285"/>
      <c r="AT87" s="285"/>
      <c r="AU87" s="285"/>
      <c r="AV87" s="285"/>
      <c r="AW87" s="285"/>
      <c r="AX87" s="285"/>
      <c r="AY87" s="285"/>
      <c r="AZ87" s="285"/>
      <c r="BA87" s="285"/>
      <c r="BB87" s="285"/>
      <c r="BC87" s="285"/>
      <c r="BD87" s="285"/>
      <c r="BE87" s="285"/>
      <c r="BF87" s="285"/>
      <c r="BG87" s="285"/>
      <c r="BH87" s="285"/>
      <c r="BI87" s="285"/>
      <c r="BJ87" s="285"/>
      <c r="BK87" s="285"/>
      <c r="BL87" s="285"/>
      <c r="BM87" s="285"/>
      <c r="BN87" s="285"/>
      <c r="BO87" s="285"/>
      <c r="BP87" s="285"/>
      <c r="BQ87" s="285"/>
      <c r="BR87" s="285"/>
      <c r="BS87" s="285"/>
      <c r="BT87" s="285"/>
      <c r="BU87" s="285"/>
      <c r="BV87" s="285"/>
      <c r="BX87" s="268"/>
    </row>
    <row r="88" spans="1:76" x14ac:dyDescent="0.2">
      <c r="B88" s="270"/>
      <c r="C88" s="263"/>
      <c r="D88" s="263"/>
      <c r="E88" s="322"/>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c r="AR88" s="285"/>
      <c r="AS88" s="285"/>
      <c r="AT88" s="285"/>
      <c r="AU88" s="285"/>
      <c r="AV88" s="285"/>
      <c r="AW88" s="285"/>
      <c r="AX88" s="285"/>
      <c r="AY88" s="285"/>
      <c r="AZ88" s="285"/>
      <c r="BA88" s="285"/>
      <c r="BB88" s="285"/>
      <c r="BC88" s="285"/>
      <c r="BD88" s="285"/>
      <c r="BE88" s="285"/>
      <c r="BF88" s="285"/>
      <c r="BG88" s="285"/>
      <c r="BH88" s="285"/>
      <c r="BI88" s="285"/>
      <c r="BJ88" s="285"/>
      <c r="BK88" s="285"/>
      <c r="BL88" s="285"/>
      <c r="BM88" s="285"/>
      <c r="BN88" s="285"/>
      <c r="BO88" s="285"/>
      <c r="BP88" s="285"/>
      <c r="BQ88" s="285"/>
      <c r="BR88" s="285"/>
      <c r="BS88" s="285"/>
      <c r="BT88" s="285"/>
      <c r="BU88" s="285"/>
      <c r="BV88" s="285"/>
      <c r="BX88" s="268"/>
    </row>
    <row r="89" spans="1:76" x14ac:dyDescent="0.2">
      <c r="B89" s="270"/>
      <c r="C89" s="263"/>
      <c r="D89" s="263"/>
      <c r="E89" s="322"/>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5"/>
      <c r="AK89" s="285"/>
      <c r="AL89" s="285"/>
      <c r="AM89" s="285"/>
      <c r="AN89" s="285"/>
      <c r="AO89" s="285"/>
      <c r="AP89" s="285"/>
      <c r="AQ89" s="285"/>
      <c r="AR89" s="285"/>
      <c r="AS89" s="285"/>
      <c r="AT89" s="285"/>
      <c r="AU89" s="285"/>
      <c r="AV89" s="285"/>
      <c r="AW89" s="285"/>
      <c r="AX89" s="285"/>
      <c r="AY89" s="285"/>
      <c r="AZ89" s="285"/>
      <c r="BA89" s="285"/>
      <c r="BB89" s="285"/>
      <c r="BC89" s="285"/>
      <c r="BD89" s="285"/>
      <c r="BE89" s="285"/>
      <c r="BF89" s="285"/>
      <c r="BG89" s="285"/>
      <c r="BH89" s="285"/>
      <c r="BI89" s="285"/>
      <c r="BJ89" s="285"/>
      <c r="BK89" s="285"/>
      <c r="BL89" s="285"/>
      <c r="BM89" s="285"/>
      <c r="BN89" s="285"/>
      <c r="BO89" s="285"/>
      <c r="BP89" s="285"/>
      <c r="BQ89" s="285"/>
      <c r="BR89" s="285"/>
      <c r="BS89" s="285"/>
      <c r="BT89" s="285"/>
      <c r="BU89" s="285"/>
      <c r="BV89" s="285"/>
      <c r="BX89" s="268"/>
    </row>
    <row r="90" spans="1:76" x14ac:dyDescent="0.2">
      <c r="B90" s="270"/>
      <c r="C90" s="263"/>
      <c r="D90" s="263"/>
      <c r="E90" s="322"/>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5"/>
      <c r="AK90" s="285"/>
      <c r="AL90" s="285"/>
      <c r="AM90" s="285"/>
      <c r="AN90" s="285"/>
      <c r="AO90" s="285"/>
      <c r="AP90" s="285"/>
      <c r="AQ90" s="285"/>
      <c r="AR90" s="285"/>
      <c r="AS90" s="285"/>
      <c r="AT90" s="285"/>
      <c r="AU90" s="285"/>
      <c r="AV90" s="285"/>
      <c r="AW90" s="285"/>
      <c r="AX90" s="285"/>
      <c r="AY90" s="285"/>
      <c r="AZ90" s="285"/>
      <c r="BA90" s="285"/>
      <c r="BB90" s="285"/>
      <c r="BC90" s="285"/>
      <c r="BD90" s="285"/>
      <c r="BE90" s="285"/>
      <c r="BF90" s="285"/>
      <c r="BG90" s="285"/>
      <c r="BH90" s="285"/>
      <c r="BI90" s="285"/>
      <c r="BJ90" s="285"/>
      <c r="BK90" s="285"/>
      <c r="BL90" s="285"/>
      <c r="BM90" s="285"/>
      <c r="BN90" s="285"/>
      <c r="BO90" s="285"/>
      <c r="BP90" s="285"/>
      <c r="BQ90" s="285"/>
      <c r="BR90" s="285"/>
      <c r="BS90" s="285"/>
      <c r="BT90" s="285"/>
      <c r="BU90" s="285"/>
      <c r="BV90" s="285"/>
      <c r="BX90" s="268"/>
    </row>
    <row r="91" spans="1:76" x14ac:dyDescent="0.2">
      <c r="B91" s="270"/>
      <c r="C91" s="263"/>
      <c r="D91" s="263"/>
      <c r="E91" s="322"/>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5"/>
      <c r="AK91" s="285"/>
      <c r="AL91" s="285"/>
      <c r="AM91" s="285"/>
      <c r="AN91" s="285"/>
      <c r="AO91" s="285"/>
      <c r="AP91" s="285"/>
      <c r="AQ91" s="285"/>
      <c r="AR91" s="285"/>
      <c r="AS91" s="285"/>
      <c r="AT91" s="285"/>
      <c r="AU91" s="285"/>
      <c r="AV91" s="285"/>
      <c r="AW91" s="285"/>
      <c r="AX91" s="285"/>
      <c r="AY91" s="285"/>
      <c r="AZ91" s="285"/>
      <c r="BA91" s="285"/>
      <c r="BB91" s="285"/>
      <c r="BC91" s="285"/>
      <c r="BD91" s="285"/>
      <c r="BE91" s="285"/>
      <c r="BF91" s="285"/>
      <c r="BG91" s="285"/>
      <c r="BH91" s="285"/>
      <c r="BI91" s="285"/>
      <c r="BJ91" s="285"/>
      <c r="BK91" s="285"/>
      <c r="BL91" s="285"/>
      <c r="BM91" s="285"/>
      <c r="BN91" s="285"/>
      <c r="BO91" s="285"/>
      <c r="BP91" s="285"/>
      <c r="BQ91" s="285"/>
      <c r="BR91" s="285"/>
      <c r="BS91" s="285"/>
      <c r="BT91" s="285"/>
      <c r="BU91" s="285"/>
      <c r="BV91" s="285"/>
      <c r="BX91" s="268"/>
    </row>
    <row r="92" spans="1:76" x14ac:dyDescent="0.2">
      <c r="B92" s="270"/>
      <c r="C92" s="263"/>
      <c r="D92" s="263"/>
      <c r="E92" s="322"/>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c r="AJ92" s="285"/>
      <c r="AK92" s="285"/>
      <c r="AL92" s="285"/>
      <c r="AM92" s="285"/>
      <c r="AN92" s="285"/>
      <c r="AO92" s="285"/>
      <c r="AP92" s="285"/>
      <c r="AQ92" s="285"/>
      <c r="AR92" s="285"/>
      <c r="AS92" s="285"/>
      <c r="AT92" s="285"/>
      <c r="AU92" s="285"/>
      <c r="AV92" s="285"/>
      <c r="AW92" s="285"/>
      <c r="AX92" s="285"/>
      <c r="AY92" s="285"/>
      <c r="AZ92" s="285"/>
      <c r="BA92" s="285"/>
      <c r="BB92" s="285"/>
      <c r="BC92" s="285"/>
      <c r="BD92" s="285"/>
      <c r="BE92" s="285"/>
      <c r="BF92" s="285"/>
      <c r="BG92" s="285"/>
      <c r="BH92" s="285"/>
      <c r="BI92" s="285"/>
      <c r="BJ92" s="285"/>
      <c r="BK92" s="285"/>
      <c r="BL92" s="285"/>
      <c r="BM92" s="285"/>
      <c r="BN92" s="285"/>
      <c r="BO92" s="285"/>
      <c r="BP92" s="285"/>
      <c r="BQ92" s="285"/>
      <c r="BR92" s="285"/>
      <c r="BS92" s="285"/>
      <c r="BT92" s="285"/>
      <c r="BU92" s="285"/>
      <c r="BV92" s="285"/>
      <c r="BX92" s="268"/>
    </row>
    <row r="93" spans="1:76" x14ac:dyDescent="0.2">
      <c r="B93" s="270"/>
      <c r="C93" s="263"/>
      <c r="D93" s="263"/>
      <c r="E93" s="322"/>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5"/>
      <c r="AK93" s="285"/>
      <c r="AL93" s="285"/>
      <c r="AM93" s="285"/>
      <c r="AN93" s="285"/>
      <c r="AO93" s="285"/>
      <c r="AP93" s="285"/>
      <c r="AQ93" s="285"/>
      <c r="AR93" s="285"/>
      <c r="AS93" s="285"/>
      <c r="AT93" s="285"/>
      <c r="AU93" s="285"/>
      <c r="AV93" s="285"/>
      <c r="AW93" s="285"/>
      <c r="AX93" s="285"/>
      <c r="AY93" s="285"/>
      <c r="AZ93" s="285"/>
      <c r="BA93" s="285"/>
      <c r="BB93" s="285"/>
      <c r="BC93" s="285"/>
      <c r="BD93" s="285"/>
      <c r="BE93" s="285"/>
      <c r="BF93" s="285"/>
      <c r="BG93" s="285"/>
      <c r="BH93" s="285"/>
      <c r="BI93" s="285"/>
      <c r="BJ93" s="285"/>
      <c r="BK93" s="285"/>
      <c r="BL93" s="285"/>
      <c r="BM93" s="285"/>
      <c r="BN93" s="285"/>
      <c r="BO93" s="285"/>
      <c r="BP93" s="285"/>
      <c r="BQ93" s="285"/>
      <c r="BR93" s="285"/>
      <c r="BS93" s="285"/>
      <c r="BT93" s="285"/>
      <c r="BU93" s="285"/>
      <c r="BV93" s="285"/>
      <c r="BX93" s="268"/>
    </row>
    <row r="94" spans="1:76" x14ac:dyDescent="0.2">
      <c r="B94" s="270"/>
      <c r="C94" s="263"/>
      <c r="D94" s="263"/>
      <c r="E94" s="322"/>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85"/>
      <c r="AK94" s="285"/>
      <c r="AL94" s="285"/>
      <c r="AM94" s="285"/>
      <c r="AN94" s="285"/>
      <c r="AO94" s="285"/>
      <c r="AP94" s="285"/>
      <c r="AQ94" s="285"/>
      <c r="AR94" s="285"/>
      <c r="AS94" s="285"/>
      <c r="AT94" s="285"/>
      <c r="AU94" s="285"/>
      <c r="AV94" s="285"/>
      <c r="AW94" s="285"/>
      <c r="AX94" s="285"/>
      <c r="AY94" s="285"/>
      <c r="AZ94" s="285"/>
      <c r="BA94" s="285"/>
      <c r="BB94" s="285"/>
      <c r="BC94" s="285"/>
      <c r="BD94" s="285"/>
      <c r="BE94" s="285"/>
      <c r="BF94" s="285"/>
      <c r="BG94" s="285"/>
      <c r="BH94" s="285"/>
      <c r="BI94" s="285"/>
      <c r="BJ94" s="285"/>
      <c r="BK94" s="285"/>
      <c r="BL94" s="285"/>
      <c r="BM94" s="285"/>
      <c r="BN94" s="285"/>
      <c r="BO94" s="285"/>
      <c r="BP94" s="285"/>
      <c r="BQ94" s="285"/>
      <c r="BR94" s="285"/>
      <c r="BS94" s="285"/>
      <c r="BT94" s="285"/>
      <c r="BU94" s="285"/>
      <c r="BV94" s="285"/>
      <c r="BX94" s="268"/>
    </row>
    <row r="95" spans="1:76" x14ac:dyDescent="0.2">
      <c r="B95" s="270"/>
      <c r="C95" s="263"/>
      <c r="D95" s="263"/>
      <c r="E95" s="322"/>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c r="AJ95" s="285"/>
      <c r="AK95" s="285"/>
      <c r="AL95" s="285"/>
      <c r="AM95" s="285"/>
      <c r="AN95" s="285"/>
      <c r="AO95" s="285"/>
      <c r="AP95" s="285"/>
      <c r="AQ95" s="285"/>
      <c r="AR95" s="285"/>
      <c r="AS95" s="285"/>
      <c r="AT95" s="285"/>
      <c r="AU95" s="285"/>
      <c r="AV95" s="285"/>
      <c r="AW95" s="285"/>
      <c r="AX95" s="285"/>
      <c r="AY95" s="285"/>
      <c r="AZ95" s="285"/>
      <c r="BA95" s="285"/>
      <c r="BB95" s="285"/>
      <c r="BC95" s="285"/>
      <c r="BD95" s="285"/>
      <c r="BE95" s="285"/>
      <c r="BF95" s="285"/>
      <c r="BG95" s="285"/>
      <c r="BH95" s="285"/>
      <c r="BI95" s="285"/>
      <c r="BJ95" s="285"/>
      <c r="BK95" s="285"/>
      <c r="BL95" s="285"/>
      <c r="BM95" s="285"/>
      <c r="BN95" s="285"/>
      <c r="BO95" s="285"/>
      <c r="BP95" s="285"/>
      <c r="BQ95" s="285"/>
      <c r="BR95" s="285"/>
      <c r="BS95" s="285"/>
      <c r="BT95" s="285"/>
      <c r="BU95" s="285"/>
      <c r="BV95" s="285"/>
      <c r="BX95" s="268"/>
    </row>
    <row r="96" spans="1:76" x14ac:dyDescent="0.2">
      <c r="B96" s="270"/>
      <c r="C96" s="263"/>
      <c r="D96" s="263"/>
      <c r="E96" s="322"/>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5"/>
      <c r="AK96" s="285"/>
      <c r="AL96" s="285"/>
      <c r="AM96" s="285"/>
      <c r="AN96" s="285"/>
      <c r="AO96" s="285"/>
      <c r="AP96" s="285"/>
      <c r="AQ96" s="285"/>
      <c r="AR96" s="285"/>
      <c r="AS96" s="285"/>
      <c r="AT96" s="285"/>
      <c r="AU96" s="285"/>
      <c r="AV96" s="285"/>
      <c r="AW96" s="285"/>
      <c r="AX96" s="285"/>
      <c r="AY96" s="285"/>
      <c r="AZ96" s="285"/>
      <c r="BA96" s="285"/>
      <c r="BB96" s="285"/>
      <c r="BC96" s="285"/>
      <c r="BD96" s="285"/>
      <c r="BE96" s="285"/>
      <c r="BF96" s="285"/>
      <c r="BG96" s="285"/>
      <c r="BH96" s="285"/>
      <c r="BI96" s="285"/>
      <c r="BJ96" s="285"/>
      <c r="BK96" s="285"/>
      <c r="BL96" s="285"/>
      <c r="BM96" s="285"/>
      <c r="BN96" s="285"/>
      <c r="BO96" s="285"/>
      <c r="BP96" s="285"/>
      <c r="BQ96" s="285"/>
      <c r="BR96" s="285"/>
      <c r="BS96" s="285"/>
      <c r="BT96" s="285"/>
      <c r="BU96" s="285"/>
      <c r="BV96" s="285"/>
      <c r="BX96" s="268"/>
    </row>
    <row r="97" spans="2:76" x14ac:dyDescent="0.2">
      <c r="B97" s="270"/>
      <c r="C97" s="263"/>
      <c r="D97" s="263"/>
      <c r="E97" s="322"/>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c r="AJ97" s="285"/>
      <c r="AK97" s="285"/>
      <c r="AL97" s="285"/>
      <c r="AM97" s="285"/>
      <c r="AN97" s="285"/>
      <c r="AO97" s="285"/>
      <c r="AP97" s="285"/>
      <c r="AQ97" s="285"/>
      <c r="AR97" s="285"/>
      <c r="AS97" s="285"/>
      <c r="AT97" s="285"/>
      <c r="AU97" s="285"/>
      <c r="AV97" s="285"/>
      <c r="AW97" s="285"/>
      <c r="AX97" s="285"/>
      <c r="AY97" s="285"/>
      <c r="AZ97" s="285"/>
      <c r="BA97" s="285"/>
      <c r="BB97" s="285"/>
      <c r="BC97" s="285"/>
      <c r="BD97" s="285"/>
      <c r="BE97" s="285"/>
      <c r="BF97" s="285"/>
      <c r="BG97" s="285"/>
      <c r="BH97" s="285"/>
      <c r="BI97" s="285"/>
      <c r="BJ97" s="285"/>
      <c r="BK97" s="285"/>
      <c r="BL97" s="285"/>
      <c r="BM97" s="285"/>
      <c r="BN97" s="285"/>
      <c r="BO97" s="285"/>
      <c r="BP97" s="285"/>
      <c r="BQ97" s="285"/>
      <c r="BR97" s="285"/>
      <c r="BS97" s="285"/>
      <c r="BT97" s="285"/>
      <c r="BU97" s="285"/>
      <c r="BV97" s="285"/>
      <c r="BX97" s="268"/>
    </row>
    <row r="98" spans="2:76" x14ac:dyDescent="0.2">
      <c r="B98" s="270"/>
      <c r="C98" s="263"/>
      <c r="D98" s="263"/>
      <c r="E98" s="322"/>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s="285"/>
      <c r="AJ98" s="285"/>
      <c r="AK98" s="285"/>
      <c r="AL98" s="285"/>
      <c r="AM98" s="285"/>
      <c r="AN98" s="285"/>
      <c r="AO98" s="285"/>
      <c r="AP98" s="285"/>
      <c r="AQ98" s="285"/>
      <c r="AR98" s="285"/>
      <c r="AS98" s="285"/>
      <c r="AT98" s="285"/>
      <c r="AU98" s="285"/>
      <c r="AV98" s="285"/>
      <c r="AW98" s="285"/>
      <c r="AX98" s="285"/>
      <c r="AY98" s="285"/>
      <c r="AZ98" s="285"/>
      <c r="BA98" s="285"/>
      <c r="BB98" s="285"/>
      <c r="BC98" s="285"/>
      <c r="BD98" s="285"/>
      <c r="BE98" s="285"/>
      <c r="BF98" s="285"/>
      <c r="BG98" s="285"/>
      <c r="BH98" s="285"/>
      <c r="BI98" s="285"/>
      <c r="BJ98" s="285"/>
      <c r="BK98" s="285"/>
      <c r="BL98" s="285"/>
      <c r="BM98" s="285"/>
      <c r="BN98" s="285"/>
      <c r="BO98" s="285"/>
      <c r="BP98" s="285"/>
      <c r="BQ98" s="285"/>
      <c r="BR98" s="285"/>
      <c r="BS98" s="285"/>
      <c r="BT98" s="285"/>
      <c r="BU98" s="285"/>
      <c r="BV98" s="285"/>
      <c r="BX98" s="268"/>
    </row>
    <row r="99" spans="2:76" x14ac:dyDescent="0.2">
      <c r="B99" s="270"/>
      <c r="C99" s="263"/>
      <c r="D99" s="263"/>
      <c r="E99" s="322"/>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5"/>
      <c r="AK99" s="285"/>
      <c r="AL99" s="285"/>
      <c r="AM99" s="285"/>
      <c r="AN99" s="285"/>
      <c r="AO99" s="285"/>
      <c r="AP99" s="285"/>
      <c r="AQ99" s="285"/>
      <c r="AR99" s="285"/>
      <c r="AS99" s="285"/>
      <c r="AT99" s="285"/>
      <c r="AU99" s="285"/>
      <c r="AV99" s="285"/>
      <c r="AW99" s="285"/>
      <c r="AX99" s="285"/>
      <c r="AY99" s="285"/>
      <c r="AZ99" s="285"/>
      <c r="BA99" s="285"/>
      <c r="BB99" s="285"/>
      <c r="BC99" s="285"/>
      <c r="BD99" s="285"/>
      <c r="BE99" s="285"/>
      <c r="BF99" s="285"/>
      <c r="BG99" s="285"/>
      <c r="BH99" s="285"/>
      <c r="BI99" s="285"/>
      <c r="BJ99" s="285"/>
      <c r="BK99" s="285"/>
      <c r="BL99" s="285"/>
      <c r="BM99" s="285"/>
      <c r="BN99" s="285"/>
      <c r="BO99" s="285"/>
      <c r="BP99" s="285"/>
      <c r="BQ99" s="285"/>
      <c r="BR99" s="285"/>
      <c r="BS99" s="285"/>
      <c r="BT99" s="285"/>
      <c r="BU99" s="285"/>
      <c r="BV99" s="285"/>
      <c r="BX99" s="268"/>
    </row>
    <row r="100" spans="2:76" x14ac:dyDescent="0.2">
      <c r="B100" s="270"/>
      <c r="C100" s="263"/>
      <c r="D100" s="263"/>
      <c r="E100" s="322"/>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c r="AJ100" s="285"/>
      <c r="AK100" s="285"/>
      <c r="AL100" s="285"/>
      <c r="AM100" s="285"/>
      <c r="AN100" s="285"/>
      <c r="AO100" s="285"/>
      <c r="AP100" s="285"/>
      <c r="AQ100" s="285"/>
      <c r="AR100" s="285"/>
      <c r="AS100" s="285"/>
      <c r="AT100" s="285"/>
      <c r="AU100" s="285"/>
      <c r="AV100" s="285"/>
      <c r="AW100" s="285"/>
      <c r="AX100" s="285"/>
      <c r="AY100" s="285"/>
      <c r="AZ100" s="285"/>
      <c r="BA100" s="285"/>
      <c r="BB100" s="285"/>
      <c r="BC100" s="285"/>
      <c r="BD100" s="285"/>
      <c r="BE100" s="285"/>
      <c r="BF100" s="285"/>
      <c r="BG100" s="285"/>
      <c r="BH100" s="285"/>
      <c r="BI100" s="285"/>
      <c r="BJ100" s="285"/>
      <c r="BK100" s="285"/>
      <c r="BL100" s="285"/>
      <c r="BM100" s="285"/>
      <c r="BN100" s="285"/>
      <c r="BO100" s="285"/>
      <c r="BP100" s="285"/>
      <c r="BQ100" s="285"/>
      <c r="BR100" s="285"/>
      <c r="BS100" s="285"/>
      <c r="BT100" s="285"/>
      <c r="BU100" s="285"/>
      <c r="BV100" s="285"/>
      <c r="BX100" s="268"/>
    </row>
    <row r="101" spans="2:76" x14ac:dyDescent="0.2">
      <c r="B101" s="270"/>
      <c r="C101" s="263"/>
      <c r="D101" s="263"/>
      <c r="E101" s="322"/>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c r="AJ101" s="285"/>
      <c r="AK101" s="285"/>
      <c r="AL101" s="285"/>
      <c r="AM101" s="285"/>
      <c r="AN101" s="285"/>
      <c r="AO101" s="285"/>
      <c r="AP101" s="285"/>
      <c r="AQ101" s="285"/>
      <c r="AR101" s="285"/>
      <c r="AS101" s="285"/>
      <c r="AT101" s="285"/>
      <c r="AU101" s="285"/>
      <c r="AV101" s="285"/>
      <c r="AW101" s="285"/>
      <c r="AX101" s="285"/>
      <c r="AY101" s="285"/>
      <c r="AZ101" s="285"/>
      <c r="BA101" s="285"/>
      <c r="BB101" s="285"/>
      <c r="BC101" s="285"/>
      <c r="BD101" s="285"/>
      <c r="BE101" s="285"/>
      <c r="BF101" s="285"/>
      <c r="BG101" s="285"/>
      <c r="BH101" s="285"/>
      <c r="BI101" s="285"/>
      <c r="BJ101" s="285"/>
      <c r="BK101" s="285"/>
      <c r="BL101" s="285"/>
      <c r="BM101" s="285"/>
      <c r="BN101" s="285"/>
      <c r="BO101" s="285"/>
      <c r="BP101" s="285"/>
      <c r="BQ101" s="285"/>
      <c r="BR101" s="285"/>
      <c r="BS101" s="285"/>
      <c r="BT101" s="285"/>
      <c r="BU101" s="285"/>
      <c r="BV101" s="285"/>
      <c r="BX101" s="268"/>
    </row>
    <row r="102" spans="2:76" x14ac:dyDescent="0.2">
      <c r="B102" s="270"/>
      <c r="C102" s="263"/>
      <c r="D102" s="263"/>
      <c r="E102" s="322"/>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c r="AJ102" s="285"/>
      <c r="AK102" s="285"/>
      <c r="AL102" s="285"/>
      <c r="AM102" s="285"/>
      <c r="AN102" s="285"/>
      <c r="AO102" s="285"/>
      <c r="AP102" s="285"/>
      <c r="AQ102" s="285"/>
      <c r="AR102" s="285"/>
      <c r="AS102" s="285"/>
      <c r="AT102" s="285"/>
      <c r="AU102" s="285"/>
      <c r="AV102" s="285"/>
      <c r="AW102" s="285"/>
      <c r="AX102" s="285"/>
      <c r="AY102" s="285"/>
      <c r="AZ102" s="285"/>
      <c r="BA102" s="285"/>
      <c r="BB102" s="285"/>
      <c r="BC102" s="285"/>
      <c r="BD102" s="285"/>
      <c r="BE102" s="285"/>
      <c r="BF102" s="285"/>
      <c r="BG102" s="285"/>
      <c r="BH102" s="285"/>
      <c r="BI102" s="285"/>
      <c r="BJ102" s="285"/>
      <c r="BK102" s="285"/>
      <c r="BL102" s="285"/>
      <c r="BM102" s="285"/>
      <c r="BN102" s="285"/>
      <c r="BO102" s="285"/>
      <c r="BP102" s="285"/>
      <c r="BQ102" s="285"/>
      <c r="BR102" s="285"/>
      <c r="BS102" s="285"/>
      <c r="BT102" s="285"/>
      <c r="BU102" s="285"/>
      <c r="BV102" s="285"/>
      <c r="BX102" s="268"/>
    </row>
    <row r="103" spans="2:76" x14ac:dyDescent="0.2">
      <c r="B103" s="270"/>
      <c r="C103" s="263"/>
      <c r="D103" s="263"/>
      <c r="E103" s="322"/>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5"/>
      <c r="AK103" s="285"/>
      <c r="AL103" s="285"/>
      <c r="AM103" s="285"/>
      <c r="AN103" s="285"/>
      <c r="AO103" s="285"/>
      <c r="AP103" s="285"/>
      <c r="AQ103" s="285"/>
      <c r="AR103" s="285"/>
      <c r="AS103" s="285"/>
      <c r="AT103" s="285"/>
      <c r="AU103" s="285"/>
      <c r="AV103" s="285"/>
      <c r="AW103" s="285"/>
      <c r="AX103" s="285"/>
      <c r="AY103" s="285"/>
      <c r="AZ103" s="285"/>
      <c r="BA103" s="285"/>
      <c r="BB103" s="285"/>
      <c r="BC103" s="285"/>
      <c r="BD103" s="285"/>
      <c r="BE103" s="285"/>
      <c r="BF103" s="285"/>
      <c r="BG103" s="285"/>
      <c r="BH103" s="285"/>
      <c r="BI103" s="285"/>
      <c r="BJ103" s="285"/>
      <c r="BK103" s="285"/>
      <c r="BL103" s="285"/>
      <c r="BM103" s="285"/>
      <c r="BN103" s="285"/>
      <c r="BO103" s="285"/>
      <c r="BP103" s="285"/>
      <c r="BQ103" s="285"/>
      <c r="BR103" s="285"/>
      <c r="BS103" s="285"/>
      <c r="BT103" s="285"/>
      <c r="BU103" s="285"/>
      <c r="BV103" s="285"/>
      <c r="BX103" s="268"/>
    </row>
    <row r="104" spans="2:76" x14ac:dyDescent="0.2">
      <c r="B104" s="270"/>
      <c r="C104" s="263"/>
      <c r="D104" s="263"/>
      <c r="E104" s="322"/>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c r="AJ104" s="285"/>
      <c r="AK104" s="285"/>
      <c r="AL104" s="285"/>
      <c r="AM104" s="285"/>
      <c r="AN104" s="285"/>
      <c r="AO104" s="285"/>
      <c r="AP104" s="285"/>
      <c r="AQ104" s="285"/>
      <c r="AR104" s="285"/>
      <c r="AS104" s="285"/>
      <c r="AT104" s="285"/>
      <c r="AU104" s="285"/>
      <c r="AV104" s="285"/>
      <c r="AW104" s="285"/>
      <c r="AX104" s="285"/>
      <c r="AY104" s="285"/>
      <c r="AZ104" s="285"/>
      <c r="BA104" s="285"/>
      <c r="BB104" s="285"/>
      <c r="BC104" s="285"/>
      <c r="BD104" s="285"/>
      <c r="BE104" s="285"/>
      <c r="BF104" s="285"/>
      <c r="BG104" s="285"/>
      <c r="BH104" s="285"/>
      <c r="BI104" s="285"/>
      <c r="BJ104" s="285"/>
      <c r="BK104" s="285"/>
      <c r="BL104" s="285"/>
      <c r="BM104" s="285"/>
      <c r="BN104" s="285"/>
      <c r="BO104" s="285"/>
      <c r="BP104" s="285"/>
      <c r="BQ104" s="285"/>
      <c r="BR104" s="285"/>
      <c r="BS104" s="285"/>
      <c r="BT104" s="285"/>
      <c r="BU104" s="285"/>
      <c r="BV104" s="285"/>
      <c r="BX104" s="268"/>
    </row>
    <row r="105" spans="2:76" x14ac:dyDescent="0.2">
      <c r="B105" s="270"/>
      <c r="C105" s="263"/>
      <c r="D105" s="263"/>
      <c r="E105" s="322"/>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5"/>
      <c r="AK105" s="285"/>
      <c r="AL105" s="285"/>
      <c r="AM105" s="285"/>
      <c r="AN105" s="285"/>
      <c r="AO105" s="285"/>
      <c r="AP105" s="285"/>
      <c r="AQ105" s="285"/>
      <c r="AR105" s="285"/>
      <c r="AS105" s="285"/>
      <c r="AT105" s="285"/>
      <c r="AU105" s="285"/>
      <c r="AV105" s="285"/>
      <c r="AW105" s="285"/>
      <c r="AX105" s="285"/>
      <c r="AY105" s="285"/>
      <c r="AZ105" s="285"/>
      <c r="BA105" s="285"/>
      <c r="BB105" s="285"/>
      <c r="BC105" s="285"/>
      <c r="BD105" s="285"/>
      <c r="BE105" s="285"/>
      <c r="BF105" s="285"/>
      <c r="BG105" s="285"/>
      <c r="BH105" s="285"/>
      <c r="BI105" s="285"/>
      <c r="BJ105" s="285"/>
      <c r="BK105" s="285"/>
      <c r="BL105" s="285"/>
      <c r="BM105" s="285"/>
      <c r="BN105" s="285"/>
      <c r="BO105" s="285"/>
      <c r="BP105" s="285"/>
      <c r="BQ105" s="285"/>
      <c r="BR105" s="285"/>
      <c r="BS105" s="285"/>
      <c r="BT105" s="285"/>
      <c r="BU105" s="285"/>
      <c r="BV105" s="285"/>
      <c r="BX105" s="268"/>
    </row>
    <row r="106" spans="2:76" x14ac:dyDescent="0.2">
      <c r="B106" s="270"/>
      <c r="C106" s="263"/>
      <c r="D106" s="263"/>
      <c r="E106" s="322"/>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c r="AJ106" s="285"/>
      <c r="AK106" s="285"/>
      <c r="AL106" s="285"/>
      <c r="AM106" s="285"/>
      <c r="AN106" s="285"/>
      <c r="AO106" s="285"/>
      <c r="AP106" s="285"/>
      <c r="AQ106" s="285"/>
      <c r="AR106" s="285"/>
      <c r="AS106" s="285"/>
      <c r="AT106" s="285"/>
      <c r="AU106" s="285"/>
      <c r="AV106" s="285"/>
      <c r="AW106" s="285"/>
      <c r="AX106" s="285"/>
      <c r="AY106" s="285"/>
      <c r="AZ106" s="285"/>
      <c r="BA106" s="285"/>
      <c r="BB106" s="285"/>
      <c r="BC106" s="285"/>
      <c r="BD106" s="285"/>
      <c r="BE106" s="285"/>
      <c r="BF106" s="285"/>
      <c r="BG106" s="285"/>
      <c r="BH106" s="285"/>
      <c r="BI106" s="285"/>
      <c r="BJ106" s="285"/>
      <c r="BK106" s="285"/>
      <c r="BL106" s="285"/>
      <c r="BM106" s="285"/>
      <c r="BN106" s="285"/>
      <c r="BO106" s="285"/>
      <c r="BP106" s="285"/>
      <c r="BQ106" s="285"/>
      <c r="BR106" s="285"/>
      <c r="BS106" s="285"/>
      <c r="BT106" s="285"/>
      <c r="BU106" s="285"/>
      <c r="BV106" s="285"/>
      <c r="BX106" s="268"/>
    </row>
    <row r="107" spans="2:76" x14ac:dyDescent="0.2">
      <c r="B107" s="270"/>
      <c r="C107" s="263"/>
      <c r="D107" s="263"/>
      <c r="E107" s="322"/>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5"/>
      <c r="AK107" s="285"/>
      <c r="AL107" s="285"/>
      <c r="AM107" s="285"/>
      <c r="AN107" s="285"/>
      <c r="AO107" s="285"/>
      <c r="AP107" s="285"/>
      <c r="AQ107" s="285"/>
      <c r="AR107" s="285"/>
      <c r="AS107" s="285"/>
      <c r="AT107" s="285"/>
      <c r="AU107" s="285"/>
      <c r="AV107" s="285"/>
      <c r="AW107" s="285"/>
      <c r="AX107" s="285"/>
      <c r="AY107" s="285"/>
      <c r="AZ107" s="285"/>
      <c r="BA107" s="285"/>
      <c r="BB107" s="285"/>
      <c r="BC107" s="285"/>
      <c r="BD107" s="285"/>
      <c r="BE107" s="285"/>
      <c r="BF107" s="285"/>
      <c r="BG107" s="285"/>
      <c r="BH107" s="285"/>
      <c r="BI107" s="285"/>
      <c r="BJ107" s="285"/>
      <c r="BK107" s="285"/>
      <c r="BL107" s="285"/>
      <c r="BM107" s="285"/>
      <c r="BN107" s="285"/>
      <c r="BO107" s="285"/>
      <c r="BP107" s="285"/>
      <c r="BQ107" s="285"/>
      <c r="BR107" s="285"/>
      <c r="BS107" s="285"/>
      <c r="BT107" s="285"/>
      <c r="BU107" s="285"/>
      <c r="BV107" s="285"/>
      <c r="BX107" s="268"/>
    </row>
    <row r="108" spans="2:76" x14ac:dyDescent="0.2">
      <c r="B108" s="270"/>
      <c r="C108" s="263"/>
      <c r="D108" s="263"/>
      <c r="E108" s="322"/>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c r="AJ108" s="285"/>
      <c r="AK108" s="285"/>
      <c r="AL108" s="285"/>
      <c r="AM108" s="285"/>
      <c r="AN108" s="285"/>
      <c r="AO108" s="285"/>
      <c r="AP108" s="285"/>
      <c r="AQ108" s="285"/>
      <c r="AR108" s="285"/>
      <c r="AS108" s="285"/>
      <c r="AT108" s="285"/>
      <c r="AU108" s="285"/>
      <c r="AV108" s="285"/>
      <c r="AW108" s="285"/>
      <c r="AX108" s="285"/>
      <c r="AY108" s="285"/>
      <c r="AZ108" s="285"/>
      <c r="BA108" s="285"/>
      <c r="BB108" s="285"/>
      <c r="BC108" s="285"/>
      <c r="BD108" s="285"/>
      <c r="BE108" s="285"/>
      <c r="BF108" s="285"/>
      <c r="BG108" s="285"/>
      <c r="BH108" s="285"/>
      <c r="BI108" s="285"/>
      <c r="BJ108" s="285"/>
      <c r="BK108" s="285"/>
      <c r="BL108" s="285"/>
      <c r="BM108" s="285"/>
      <c r="BN108" s="285"/>
      <c r="BO108" s="285"/>
      <c r="BP108" s="285"/>
      <c r="BQ108" s="285"/>
      <c r="BR108" s="285"/>
      <c r="BS108" s="285"/>
      <c r="BT108" s="285"/>
      <c r="BU108" s="285"/>
      <c r="BV108" s="285"/>
      <c r="BX108" s="268"/>
    </row>
    <row r="109" spans="2:76" x14ac:dyDescent="0.2">
      <c r="B109" s="270"/>
      <c r="C109" s="263"/>
      <c r="D109" s="263"/>
      <c r="E109" s="322"/>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5"/>
      <c r="AK109" s="285"/>
      <c r="AL109" s="285"/>
      <c r="AM109" s="285"/>
      <c r="AN109" s="285"/>
      <c r="AO109" s="285"/>
      <c r="AP109" s="285"/>
      <c r="AQ109" s="285"/>
      <c r="AR109" s="285"/>
      <c r="AS109" s="285"/>
      <c r="AT109" s="285"/>
      <c r="AU109" s="285"/>
      <c r="AV109" s="285"/>
      <c r="AW109" s="285"/>
      <c r="AX109" s="285"/>
      <c r="AY109" s="285"/>
      <c r="AZ109" s="285"/>
      <c r="BA109" s="285"/>
      <c r="BB109" s="285"/>
      <c r="BC109" s="285"/>
      <c r="BD109" s="285"/>
      <c r="BE109" s="285"/>
      <c r="BF109" s="285"/>
      <c r="BG109" s="285"/>
      <c r="BH109" s="285"/>
      <c r="BI109" s="285"/>
      <c r="BJ109" s="285"/>
      <c r="BK109" s="285"/>
      <c r="BL109" s="285"/>
      <c r="BM109" s="285"/>
      <c r="BN109" s="285"/>
      <c r="BO109" s="285"/>
      <c r="BP109" s="285"/>
      <c r="BQ109" s="285"/>
      <c r="BR109" s="285"/>
      <c r="BS109" s="285"/>
      <c r="BT109" s="285"/>
      <c r="BU109" s="285"/>
      <c r="BV109" s="285"/>
      <c r="BX109" s="268"/>
    </row>
    <row r="110" spans="2:76" x14ac:dyDescent="0.2">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X110" s="268"/>
    </row>
    <row r="111" spans="2:76" x14ac:dyDescent="0.2">
      <c r="BX111" s="268"/>
    </row>
    <row r="112" spans="2:76" x14ac:dyDescent="0.2">
      <c r="BX112" s="268"/>
    </row>
    <row r="113" spans="2:76" x14ac:dyDescent="0.2">
      <c r="BX113" s="268"/>
    </row>
    <row r="114" spans="2:76" x14ac:dyDescent="0.2">
      <c r="BX114" s="268"/>
    </row>
    <row r="115" spans="2:76" x14ac:dyDescent="0.2">
      <c r="BX115" s="268"/>
    </row>
    <row r="116" spans="2:76" x14ac:dyDescent="0.2">
      <c r="BX116" s="268"/>
    </row>
    <row r="117" spans="2:76" x14ac:dyDescent="0.2">
      <c r="BX117" s="268"/>
    </row>
    <row r="118" spans="2:76" x14ac:dyDescent="0.2">
      <c r="BX118" s="268"/>
    </row>
    <row r="119" spans="2:76" x14ac:dyDescent="0.2">
      <c r="BX119" s="268"/>
    </row>
    <row r="120" spans="2:76" x14ac:dyDescent="0.2">
      <c r="BX120" s="268"/>
    </row>
    <row r="121" spans="2:76" x14ac:dyDescent="0.2">
      <c r="BX121" s="268"/>
    </row>
    <row r="122" spans="2:76" x14ac:dyDescent="0.2">
      <c r="BX122" s="268"/>
    </row>
    <row r="123" spans="2:76" x14ac:dyDescent="0.2">
      <c r="BX123" s="268"/>
    </row>
    <row r="124" spans="2:76" x14ac:dyDescent="0.2">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c r="BN124" s="323"/>
      <c r="BO124" s="323"/>
      <c r="BP124" s="323"/>
      <c r="BQ124" s="323"/>
      <c r="BR124" s="323"/>
      <c r="BS124" s="323"/>
      <c r="BT124" s="323"/>
      <c r="BU124" s="323"/>
      <c r="BV124" s="323"/>
      <c r="BX124" s="268"/>
    </row>
    <row r="125" spans="2:76" x14ac:dyDescent="0.2">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c r="BO125" s="323"/>
      <c r="BP125" s="323"/>
      <c r="BQ125" s="323"/>
      <c r="BR125" s="323"/>
      <c r="BS125" s="323"/>
      <c r="BT125" s="323"/>
      <c r="BU125" s="323"/>
      <c r="BV125" s="323"/>
      <c r="BX125" s="268"/>
    </row>
    <row r="126" spans="2:76" x14ac:dyDescent="0.2">
      <c r="B126" s="270"/>
      <c r="C126" s="263"/>
      <c r="D126" s="263"/>
      <c r="E126" s="322"/>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c r="AJ126" s="285"/>
      <c r="AK126" s="285"/>
      <c r="AL126" s="285"/>
      <c r="AM126" s="285"/>
      <c r="AN126" s="285"/>
      <c r="AO126" s="285"/>
      <c r="AP126" s="285"/>
      <c r="AQ126" s="285"/>
      <c r="AR126" s="285"/>
      <c r="AS126" s="285"/>
      <c r="AT126" s="285"/>
      <c r="AU126" s="285"/>
      <c r="AV126" s="285"/>
      <c r="AW126" s="285"/>
      <c r="AX126" s="285"/>
      <c r="AY126" s="285"/>
      <c r="AZ126" s="285"/>
      <c r="BA126" s="285"/>
      <c r="BB126" s="285"/>
      <c r="BC126" s="285"/>
      <c r="BD126" s="285"/>
      <c r="BE126" s="285"/>
      <c r="BF126" s="285"/>
      <c r="BG126" s="285"/>
      <c r="BH126" s="285"/>
      <c r="BI126" s="285"/>
      <c r="BJ126" s="285"/>
      <c r="BK126" s="285"/>
      <c r="BL126" s="285"/>
      <c r="BM126" s="285"/>
      <c r="BN126" s="285"/>
      <c r="BO126" s="285"/>
      <c r="BP126" s="285"/>
      <c r="BQ126" s="285"/>
      <c r="BR126" s="285"/>
      <c r="BS126" s="285"/>
      <c r="BT126" s="285"/>
      <c r="BU126" s="285"/>
      <c r="BV126" s="285"/>
      <c r="BX126" s="268"/>
    </row>
    <row r="127" spans="2:76" x14ac:dyDescent="0.2">
      <c r="B127" s="270"/>
      <c r="C127" s="270"/>
      <c r="D127" s="270"/>
      <c r="E127" s="322"/>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c r="AJ127" s="285"/>
      <c r="AK127" s="285"/>
      <c r="AL127" s="285"/>
      <c r="AM127" s="285"/>
      <c r="AN127" s="285"/>
      <c r="AO127" s="285"/>
      <c r="AP127" s="285"/>
      <c r="AQ127" s="285"/>
      <c r="AR127" s="285"/>
      <c r="AS127" s="285"/>
      <c r="AT127" s="285"/>
      <c r="AU127" s="285"/>
      <c r="AV127" s="285"/>
      <c r="AW127" s="285"/>
      <c r="AX127" s="285"/>
      <c r="AY127" s="285"/>
      <c r="AZ127" s="285"/>
      <c r="BA127" s="285"/>
      <c r="BB127" s="285"/>
      <c r="BC127" s="285"/>
      <c r="BD127" s="285"/>
      <c r="BE127" s="285"/>
      <c r="BF127" s="285"/>
      <c r="BG127" s="285"/>
      <c r="BH127" s="285"/>
      <c r="BI127" s="285"/>
      <c r="BJ127" s="285"/>
      <c r="BK127" s="285"/>
      <c r="BL127" s="285"/>
      <c r="BM127" s="285"/>
      <c r="BN127" s="285"/>
      <c r="BO127" s="285"/>
      <c r="BP127" s="285"/>
      <c r="BQ127" s="285"/>
      <c r="BR127" s="285"/>
      <c r="BS127" s="285"/>
      <c r="BT127" s="285"/>
      <c r="BU127" s="285"/>
      <c r="BV127" s="285"/>
      <c r="BX127" s="268"/>
    </row>
    <row r="128" spans="2:76" x14ac:dyDescent="0.2">
      <c r="B128" s="270"/>
      <c r="C128" s="263"/>
      <c r="D128" s="263"/>
      <c r="E128" s="322"/>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c r="AJ128" s="285"/>
      <c r="AK128" s="285"/>
      <c r="AL128" s="285"/>
      <c r="AM128" s="285"/>
      <c r="AN128" s="285"/>
      <c r="AO128" s="285"/>
      <c r="AP128" s="285"/>
      <c r="AQ128" s="285"/>
      <c r="AR128" s="285"/>
      <c r="AS128" s="285"/>
      <c r="AT128" s="285"/>
      <c r="AU128" s="285"/>
      <c r="AV128" s="285"/>
      <c r="AW128" s="285"/>
      <c r="AX128" s="285"/>
      <c r="AY128" s="285"/>
      <c r="AZ128" s="285"/>
      <c r="BA128" s="285"/>
      <c r="BB128" s="285"/>
      <c r="BC128" s="285"/>
      <c r="BD128" s="285"/>
      <c r="BE128" s="285"/>
      <c r="BF128" s="285"/>
      <c r="BG128" s="285"/>
      <c r="BH128" s="285"/>
      <c r="BI128" s="285"/>
      <c r="BJ128" s="285"/>
      <c r="BK128" s="285"/>
      <c r="BL128" s="285"/>
      <c r="BM128" s="285"/>
      <c r="BN128" s="285"/>
      <c r="BO128" s="285"/>
      <c r="BP128" s="285"/>
      <c r="BQ128" s="285"/>
      <c r="BR128" s="285"/>
      <c r="BS128" s="285"/>
      <c r="BT128" s="285"/>
      <c r="BU128" s="285"/>
      <c r="BV128" s="285"/>
      <c r="BX128" s="268"/>
    </row>
    <row r="129" spans="2:76" x14ac:dyDescent="0.2">
      <c r="C129" s="263"/>
      <c r="D129" s="263"/>
      <c r="E129" s="322"/>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285"/>
      <c r="AF129" s="285"/>
      <c r="AG129" s="285"/>
      <c r="AH129" s="285"/>
      <c r="AI129" s="285"/>
      <c r="AJ129" s="285"/>
      <c r="AK129" s="285"/>
      <c r="AL129" s="285"/>
      <c r="AM129" s="285"/>
      <c r="AN129" s="285"/>
      <c r="AO129" s="285"/>
      <c r="AP129" s="285"/>
      <c r="AQ129" s="285"/>
      <c r="AR129" s="285"/>
      <c r="AS129" s="285"/>
      <c r="AT129" s="285"/>
      <c r="AU129" s="285"/>
      <c r="AV129" s="285"/>
      <c r="AW129" s="285"/>
      <c r="AX129" s="285"/>
      <c r="AY129" s="285"/>
      <c r="AZ129" s="285"/>
      <c r="BA129" s="285"/>
      <c r="BB129" s="285"/>
      <c r="BC129" s="285"/>
      <c r="BD129" s="285"/>
      <c r="BE129" s="285"/>
      <c r="BF129" s="285"/>
      <c r="BG129" s="285"/>
      <c r="BH129" s="285"/>
      <c r="BI129" s="285"/>
      <c r="BJ129" s="285"/>
      <c r="BK129" s="285"/>
      <c r="BL129" s="285"/>
      <c r="BM129" s="285"/>
      <c r="BN129" s="285"/>
      <c r="BO129" s="285"/>
      <c r="BP129" s="285"/>
      <c r="BQ129" s="285"/>
      <c r="BR129" s="285"/>
      <c r="BS129" s="285"/>
      <c r="BT129" s="285"/>
      <c r="BU129" s="285"/>
      <c r="BV129" s="285"/>
      <c r="BX129" s="268"/>
    </row>
    <row r="130" spans="2:76" x14ac:dyDescent="0.2">
      <c r="B130" s="270"/>
      <c r="C130" s="263"/>
      <c r="D130" s="263"/>
      <c r="E130" s="322"/>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c r="AJ130" s="285"/>
      <c r="AK130" s="285"/>
      <c r="AL130" s="285"/>
      <c r="AM130" s="285"/>
      <c r="AN130" s="285"/>
      <c r="AO130" s="285"/>
      <c r="AP130" s="285"/>
      <c r="AQ130" s="285"/>
      <c r="AR130" s="285"/>
      <c r="AS130" s="285"/>
      <c r="AT130" s="285"/>
      <c r="AU130" s="285"/>
      <c r="AV130" s="285"/>
      <c r="AW130" s="285"/>
      <c r="AX130" s="285"/>
      <c r="AY130" s="285"/>
      <c r="AZ130" s="285"/>
      <c r="BA130" s="285"/>
      <c r="BB130" s="285"/>
      <c r="BC130" s="285"/>
      <c r="BD130" s="285"/>
      <c r="BE130" s="285"/>
      <c r="BF130" s="285"/>
      <c r="BG130" s="285"/>
      <c r="BH130" s="285"/>
      <c r="BI130" s="285"/>
      <c r="BJ130" s="285"/>
      <c r="BK130" s="285"/>
      <c r="BL130" s="285"/>
      <c r="BM130" s="285"/>
      <c r="BN130" s="285"/>
      <c r="BO130" s="285"/>
      <c r="BP130" s="285"/>
      <c r="BQ130" s="285"/>
      <c r="BR130" s="285"/>
      <c r="BS130" s="285"/>
      <c r="BT130" s="285"/>
      <c r="BU130" s="285"/>
      <c r="BV130" s="285"/>
      <c r="BX130" s="268"/>
    </row>
    <row r="131" spans="2:76" x14ac:dyDescent="0.2">
      <c r="B131" s="270"/>
      <c r="C131" s="263"/>
      <c r="D131" s="263"/>
      <c r="E131" s="322"/>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c r="AJ131" s="285"/>
      <c r="AK131" s="285"/>
      <c r="AL131" s="285"/>
      <c r="AM131" s="285"/>
      <c r="AN131" s="285"/>
      <c r="AO131" s="285"/>
      <c r="AP131" s="285"/>
      <c r="AQ131" s="285"/>
      <c r="AR131" s="285"/>
      <c r="AS131" s="285"/>
      <c r="AT131" s="285"/>
      <c r="AU131" s="285"/>
      <c r="AV131" s="285"/>
      <c r="AW131" s="285"/>
      <c r="AX131" s="285"/>
      <c r="AY131" s="285"/>
      <c r="AZ131" s="285"/>
      <c r="BA131" s="285"/>
      <c r="BB131" s="285"/>
      <c r="BC131" s="285"/>
      <c r="BD131" s="285"/>
      <c r="BE131" s="285"/>
      <c r="BF131" s="285"/>
      <c r="BG131" s="285"/>
      <c r="BH131" s="285"/>
      <c r="BI131" s="285"/>
      <c r="BJ131" s="285"/>
      <c r="BK131" s="285"/>
      <c r="BL131" s="285"/>
      <c r="BM131" s="285"/>
      <c r="BN131" s="285"/>
      <c r="BO131" s="285"/>
      <c r="BP131" s="285"/>
      <c r="BQ131" s="285"/>
      <c r="BR131" s="285"/>
      <c r="BS131" s="285"/>
      <c r="BT131" s="285"/>
      <c r="BU131" s="285"/>
      <c r="BV131" s="285"/>
      <c r="BX131" s="268"/>
    </row>
    <row r="132" spans="2:76" x14ac:dyDescent="0.2">
      <c r="B132" s="270"/>
      <c r="C132" s="263"/>
      <c r="D132" s="263"/>
      <c r="E132" s="322"/>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c r="AJ132" s="285"/>
      <c r="AK132" s="285"/>
      <c r="AL132" s="285"/>
      <c r="AM132" s="285"/>
      <c r="AN132" s="285"/>
      <c r="AO132" s="285"/>
      <c r="AP132" s="285"/>
      <c r="AQ132" s="285"/>
      <c r="AR132" s="285"/>
      <c r="AS132" s="285"/>
      <c r="AT132" s="285"/>
      <c r="AU132" s="285"/>
      <c r="AV132" s="285"/>
      <c r="AW132" s="285"/>
      <c r="AX132" s="285"/>
      <c r="AY132" s="285"/>
      <c r="AZ132" s="285"/>
      <c r="BA132" s="285"/>
      <c r="BB132" s="285"/>
      <c r="BC132" s="285"/>
      <c r="BD132" s="285"/>
      <c r="BE132" s="285"/>
      <c r="BF132" s="285"/>
      <c r="BG132" s="285"/>
      <c r="BH132" s="285"/>
      <c r="BI132" s="285"/>
      <c r="BJ132" s="285"/>
      <c r="BK132" s="285"/>
      <c r="BL132" s="285"/>
      <c r="BM132" s="285"/>
      <c r="BN132" s="285"/>
      <c r="BO132" s="285"/>
      <c r="BP132" s="285"/>
      <c r="BQ132" s="285"/>
      <c r="BR132" s="285"/>
      <c r="BS132" s="285"/>
      <c r="BT132" s="285"/>
      <c r="BU132" s="285"/>
      <c r="BV132" s="285"/>
      <c r="BX132" s="268"/>
    </row>
    <row r="133" spans="2:76" x14ac:dyDescent="0.2">
      <c r="B133" s="270"/>
      <c r="C133" s="263"/>
      <c r="D133" s="263"/>
      <c r="E133" s="322"/>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285"/>
      <c r="AF133" s="285"/>
      <c r="AG133" s="285"/>
      <c r="AH133" s="285"/>
      <c r="AI133" s="285"/>
      <c r="AJ133" s="285"/>
      <c r="AK133" s="285"/>
      <c r="AL133" s="285"/>
      <c r="AM133" s="285"/>
      <c r="AN133" s="285"/>
      <c r="AO133" s="285"/>
      <c r="AP133" s="285"/>
      <c r="AQ133" s="285"/>
      <c r="AR133" s="285"/>
      <c r="AS133" s="285"/>
      <c r="AT133" s="285"/>
      <c r="AU133" s="285"/>
      <c r="AV133" s="285"/>
      <c r="AW133" s="285"/>
      <c r="AX133" s="285"/>
      <c r="AY133" s="285"/>
      <c r="AZ133" s="285"/>
      <c r="BA133" s="285"/>
      <c r="BB133" s="285"/>
      <c r="BC133" s="285"/>
      <c r="BD133" s="285"/>
      <c r="BE133" s="285"/>
      <c r="BF133" s="285"/>
      <c r="BG133" s="285"/>
      <c r="BH133" s="285"/>
      <c r="BI133" s="285"/>
      <c r="BJ133" s="285"/>
      <c r="BK133" s="285"/>
      <c r="BL133" s="285"/>
      <c r="BM133" s="285"/>
      <c r="BN133" s="285"/>
      <c r="BO133" s="285"/>
      <c r="BP133" s="285"/>
      <c r="BQ133" s="285"/>
      <c r="BR133" s="285"/>
      <c r="BS133" s="285"/>
      <c r="BT133" s="285"/>
      <c r="BU133" s="285"/>
      <c r="BV133" s="285"/>
      <c r="BX133" s="268"/>
    </row>
    <row r="134" spans="2:76" x14ac:dyDescent="0.2">
      <c r="B134" s="270"/>
      <c r="C134" s="263"/>
      <c r="D134" s="263"/>
      <c r="E134" s="322"/>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5"/>
      <c r="AK134" s="285"/>
      <c r="AL134" s="285"/>
      <c r="AM134" s="285"/>
      <c r="AN134" s="285"/>
      <c r="AO134" s="285"/>
      <c r="AP134" s="285"/>
      <c r="AQ134" s="285"/>
      <c r="AR134" s="285"/>
      <c r="AS134" s="285"/>
      <c r="AT134" s="285"/>
      <c r="AU134" s="285"/>
      <c r="AV134" s="285"/>
      <c r="AW134" s="285"/>
      <c r="AX134" s="285"/>
      <c r="AY134" s="285"/>
      <c r="AZ134" s="285"/>
      <c r="BA134" s="285"/>
      <c r="BB134" s="285"/>
      <c r="BC134" s="285"/>
      <c r="BD134" s="285"/>
      <c r="BE134" s="285"/>
      <c r="BF134" s="285"/>
      <c r="BG134" s="285"/>
      <c r="BH134" s="285"/>
      <c r="BI134" s="285"/>
      <c r="BJ134" s="285"/>
      <c r="BK134" s="285"/>
      <c r="BL134" s="285"/>
      <c r="BM134" s="285"/>
      <c r="BN134" s="285"/>
      <c r="BO134" s="285"/>
      <c r="BP134" s="285"/>
      <c r="BQ134" s="285"/>
      <c r="BR134" s="285"/>
      <c r="BS134" s="285"/>
      <c r="BT134" s="285"/>
      <c r="BU134" s="285"/>
      <c r="BV134" s="285"/>
      <c r="BX134" s="268"/>
    </row>
    <row r="135" spans="2:76" x14ac:dyDescent="0.2">
      <c r="B135" s="270"/>
      <c r="C135" s="263"/>
      <c r="D135" s="263"/>
      <c r="E135" s="322"/>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c r="AJ135" s="285"/>
      <c r="AK135" s="285"/>
      <c r="AL135" s="285"/>
      <c r="AM135" s="285"/>
      <c r="AN135" s="285"/>
      <c r="AO135" s="285"/>
      <c r="AP135" s="285"/>
      <c r="AQ135" s="285"/>
      <c r="AR135" s="285"/>
      <c r="AS135" s="285"/>
      <c r="AT135" s="285"/>
      <c r="AU135" s="285"/>
      <c r="AV135" s="285"/>
      <c r="AW135" s="285"/>
      <c r="AX135" s="285"/>
      <c r="AY135" s="285"/>
      <c r="AZ135" s="285"/>
      <c r="BA135" s="285"/>
      <c r="BB135" s="285"/>
      <c r="BC135" s="285"/>
      <c r="BD135" s="285"/>
      <c r="BE135" s="285"/>
      <c r="BF135" s="285"/>
      <c r="BG135" s="285"/>
      <c r="BH135" s="285"/>
      <c r="BI135" s="285"/>
      <c r="BJ135" s="285"/>
      <c r="BK135" s="285"/>
      <c r="BL135" s="285"/>
      <c r="BM135" s="285"/>
      <c r="BN135" s="285"/>
      <c r="BO135" s="285"/>
      <c r="BP135" s="285"/>
      <c r="BQ135" s="285"/>
      <c r="BR135" s="285"/>
      <c r="BS135" s="285"/>
      <c r="BT135" s="285"/>
      <c r="BU135" s="285"/>
      <c r="BV135" s="285"/>
      <c r="BX135" s="268"/>
    </row>
    <row r="136" spans="2:76" x14ac:dyDescent="0.2">
      <c r="B136" s="270"/>
      <c r="C136" s="263"/>
      <c r="D136" s="263"/>
      <c r="E136" s="322"/>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85"/>
      <c r="AE136" s="285"/>
      <c r="AF136" s="285"/>
      <c r="AG136" s="285"/>
      <c r="AH136" s="285"/>
      <c r="AI136" s="285"/>
      <c r="AJ136" s="285"/>
      <c r="AK136" s="285"/>
      <c r="AL136" s="285"/>
      <c r="AM136" s="285"/>
      <c r="AN136" s="285"/>
      <c r="AO136" s="285"/>
      <c r="AP136" s="285"/>
      <c r="AQ136" s="285"/>
      <c r="AR136" s="285"/>
      <c r="AS136" s="285"/>
      <c r="AT136" s="285"/>
      <c r="AU136" s="285"/>
      <c r="AV136" s="285"/>
      <c r="AW136" s="285"/>
      <c r="AX136" s="285"/>
      <c r="AY136" s="285"/>
      <c r="AZ136" s="285"/>
      <c r="BA136" s="285"/>
      <c r="BB136" s="285"/>
      <c r="BC136" s="285"/>
      <c r="BD136" s="285"/>
      <c r="BE136" s="285"/>
      <c r="BF136" s="285"/>
      <c r="BG136" s="285"/>
      <c r="BH136" s="285"/>
      <c r="BI136" s="285"/>
      <c r="BJ136" s="285"/>
      <c r="BK136" s="285"/>
      <c r="BL136" s="285"/>
      <c r="BM136" s="285"/>
      <c r="BN136" s="285"/>
      <c r="BO136" s="285"/>
      <c r="BP136" s="285"/>
      <c r="BQ136" s="285"/>
      <c r="BR136" s="285"/>
      <c r="BS136" s="285"/>
      <c r="BT136" s="285"/>
      <c r="BU136" s="285"/>
      <c r="BV136" s="285"/>
      <c r="BX136" s="268"/>
    </row>
    <row r="137" spans="2:76" x14ac:dyDescent="0.2">
      <c r="B137" s="270"/>
      <c r="C137" s="263"/>
      <c r="D137" s="263"/>
      <c r="E137" s="322"/>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c r="AJ137" s="285"/>
      <c r="AK137" s="285"/>
      <c r="AL137" s="285"/>
      <c r="AM137" s="285"/>
      <c r="AN137" s="285"/>
      <c r="AO137" s="285"/>
      <c r="AP137" s="285"/>
      <c r="AQ137" s="285"/>
      <c r="AR137" s="285"/>
      <c r="AS137" s="285"/>
      <c r="AT137" s="285"/>
      <c r="AU137" s="285"/>
      <c r="AV137" s="285"/>
      <c r="AW137" s="285"/>
      <c r="AX137" s="285"/>
      <c r="AY137" s="285"/>
      <c r="AZ137" s="285"/>
      <c r="BA137" s="285"/>
      <c r="BB137" s="285"/>
      <c r="BC137" s="285"/>
      <c r="BD137" s="285"/>
      <c r="BE137" s="285"/>
      <c r="BF137" s="285"/>
      <c r="BG137" s="285"/>
      <c r="BH137" s="285"/>
      <c r="BI137" s="285"/>
      <c r="BJ137" s="285"/>
      <c r="BK137" s="285"/>
      <c r="BL137" s="285"/>
      <c r="BM137" s="285"/>
      <c r="BN137" s="285"/>
      <c r="BO137" s="285"/>
      <c r="BP137" s="285"/>
      <c r="BQ137" s="285"/>
      <c r="BR137" s="285"/>
      <c r="BS137" s="285"/>
      <c r="BT137" s="285"/>
      <c r="BU137" s="285"/>
      <c r="BV137" s="285"/>
      <c r="BX137" s="268"/>
    </row>
    <row r="138" spans="2:76" x14ac:dyDescent="0.2">
      <c r="B138" s="270"/>
      <c r="C138" s="263"/>
      <c r="D138" s="263"/>
      <c r="E138" s="322"/>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85"/>
      <c r="AE138" s="285"/>
      <c r="AF138" s="285"/>
      <c r="AG138" s="285"/>
      <c r="AH138" s="285"/>
      <c r="AI138" s="285"/>
      <c r="AJ138" s="285"/>
      <c r="AK138" s="285"/>
      <c r="AL138" s="285"/>
      <c r="AM138" s="285"/>
      <c r="AN138" s="285"/>
      <c r="AO138" s="285"/>
      <c r="AP138" s="285"/>
      <c r="AQ138" s="285"/>
      <c r="AR138" s="285"/>
      <c r="AS138" s="285"/>
      <c r="AT138" s="285"/>
      <c r="AU138" s="285"/>
      <c r="AV138" s="285"/>
      <c r="AW138" s="285"/>
      <c r="AX138" s="285"/>
      <c r="AY138" s="285"/>
      <c r="AZ138" s="285"/>
      <c r="BA138" s="285"/>
      <c r="BB138" s="285"/>
      <c r="BC138" s="285"/>
      <c r="BD138" s="285"/>
      <c r="BE138" s="285"/>
      <c r="BF138" s="285"/>
      <c r="BG138" s="285"/>
      <c r="BH138" s="285"/>
      <c r="BI138" s="285"/>
      <c r="BJ138" s="285"/>
      <c r="BK138" s="285"/>
      <c r="BL138" s="285"/>
      <c r="BM138" s="285"/>
      <c r="BN138" s="285"/>
      <c r="BO138" s="285"/>
      <c r="BP138" s="285"/>
      <c r="BQ138" s="285"/>
      <c r="BR138" s="285"/>
      <c r="BS138" s="285"/>
      <c r="BT138" s="285"/>
      <c r="BU138" s="285"/>
      <c r="BV138" s="285"/>
      <c r="BX138" s="268"/>
    </row>
    <row r="139" spans="2:76" x14ac:dyDescent="0.2">
      <c r="B139" s="270"/>
      <c r="C139" s="270"/>
      <c r="D139" s="270"/>
      <c r="E139" s="322"/>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c r="AJ139" s="285"/>
      <c r="AK139" s="285"/>
      <c r="AL139" s="285"/>
      <c r="AM139" s="285"/>
      <c r="AN139" s="285"/>
      <c r="AO139" s="285"/>
      <c r="AP139" s="285"/>
      <c r="AQ139" s="285"/>
      <c r="AR139" s="285"/>
      <c r="AS139" s="285"/>
      <c r="AT139" s="285"/>
      <c r="AU139" s="285"/>
      <c r="AV139" s="285"/>
      <c r="AW139" s="285"/>
      <c r="AX139" s="285"/>
      <c r="AY139" s="285"/>
      <c r="AZ139" s="285"/>
      <c r="BA139" s="285"/>
      <c r="BB139" s="285"/>
      <c r="BC139" s="285"/>
      <c r="BD139" s="285"/>
      <c r="BE139" s="285"/>
      <c r="BF139" s="285"/>
      <c r="BG139" s="285"/>
      <c r="BH139" s="285"/>
      <c r="BI139" s="285"/>
      <c r="BJ139" s="285"/>
      <c r="BK139" s="285"/>
      <c r="BL139" s="285"/>
      <c r="BM139" s="285"/>
      <c r="BN139" s="285"/>
      <c r="BO139" s="285"/>
      <c r="BP139" s="285"/>
      <c r="BQ139" s="285"/>
      <c r="BR139" s="285"/>
      <c r="BS139" s="285"/>
      <c r="BT139" s="285"/>
      <c r="BU139" s="285"/>
      <c r="BV139" s="285"/>
      <c r="BX139" s="268"/>
    </row>
    <row r="140" spans="2:76" x14ac:dyDescent="0.2">
      <c r="B140" s="270"/>
      <c r="C140" s="263"/>
      <c r="D140" s="263"/>
      <c r="E140" s="322"/>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c r="AJ140" s="285"/>
      <c r="AK140" s="285"/>
      <c r="AL140" s="285"/>
      <c r="AM140" s="285"/>
      <c r="AN140" s="285"/>
      <c r="AO140" s="285"/>
      <c r="AP140" s="285"/>
      <c r="AQ140" s="285"/>
      <c r="AR140" s="285"/>
      <c r="AS140" s="285"/>
      <c r="AT140" s="285"/>
      <c r="AU140" s="285"/>
      <c r="AV140" s="285"/>
      <c r="AW140" s="285"/>
      <c r="AX140" s="285"/>
      <c r="AY140" s="285"/>
      <c r="AZ140" s="285"/>
      <c r="BA140" s="285"/>
      <c r="BB140" s="285"/>
      <c r="BC140" s="285"/>
      <c r="BD140" s="285"/>
      <c r="BE140" s="285"/>
      <c r="BF140" s="285"/>
      <c r="BG140" s="285"/>
      <c r="BH140" s="285"/>
      <c r="BI140" s="285"/>
      <c r="BJ140" s="285"/>
      <c r="BK140" s="285"/>
      <c r="BL140" s="285"/>
      <c r="BM140" s="285"/>
      <c r="BN140" s="285"/>
      <c r="BO140" s="285"/>
      <c r="BP140" s="285"/>
      <c r="BQ140" s="285"/>
      <c r="BR140" s="285"/>
      <c r="BS140" s="285"/>
      <c r="BT140" s="285"/>
      <c r="BU140" s="285"/>
      <c r="BV140" s="285"/>
      <c r="BX140" s="268"/>
    </row>
    <row r="141" spans="2:76" x14ac:dyDescent="0.2">
      <c r="B141" s="270"/>
      <c r="C141" s="263"/>
      <c r="D141" s="263"/>
      <c r="E141" s="322"/>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c r="AJ141" s="285"/>
      <c r="AK141" s="285"/>
      <c r="AL141" s="285"/>
      <c r="AM141" s="285"/>
      <c r="AN141" s="285"/>
      <c r="AO141" s="285"/>
      <c r="AP141" s="285"/>
      <c r="AQ141" s="285"/>
      <c r="AR141" s="285"/>
      <c r="AS141" s="285"/>
      <c r="AT141" s="285"/>
      <c r="AU141" s="285"/>
      <c r="AV141" s="285"/>
      <c r="AW141" s="285"/>
      <c r="AX141" s="285"/>
      <c r="AY141" s="285"/>
      <c r="AZ141" s="285"/>
      <c r="BA141" s="285"/>
      <c r="BB141" s="285"/>
      <c r="BC141" s="285"/>
      <c r="BD141" s="285"/>
      <c r="BE141" s="285"/>
      <c r="BF141" s="285"/>
      <c r="BG141" s="285"/>
      <c r="BH141" s="285"/>
      <c r="BI141" s="285"/>
      <c r="BJ141" s="285"/>
      <c r="BK141" s="285"/>
      <c r="BL141" s="285"/>
      <c r="BM141" s="285"/>
      <c r="BN141" s="285"/>
      <c r="BO141" s="285"/>
      <c r="BP141" s="285"/>
      <c r="BQ141" s="285"/>
      <c r="BR141" s="285"/>
      <c r="BS141" s="285"/>
      <c r="BT141" s="285"/>
      <c r="BU141" s="285"/>
      <c r="BV141" s="285"/>
      <c r="BX141" s="268"/>
    </row>
    <row r="142" spans="2:76" x14ac:dyDescent="0.2">
      <c r="B142" s="270"/>
      <c r="C142" s="263"/>
      <c r="D142" s="263"/>
      <c r="E142" s="322"/>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c r="AJ142" s="285"/>
      <c r="AK142" s="285"/>
      <c r="AL142" s="285"/>
      <c r="AM142" s="285"/>
      <c r="AN142" s="285"/>
      <c r="AO142" s="285"/>
      <c r="AP142" s="285"/>
      <c r="AQ142" s="285"/>
      <c r="AR142" s="285"/>
      <c r="AS142" s="285"/>
      <c r="AT142" s="285"/>
      <c r="AU142" s="285"/>
      <c r="AV142" s="285"/>
      <c r="AW142" s="285"/>
      <c r="AX142" s="285"/>
      <c r="AY142" s="285"/>
      <c r="AZ142" s="285"/>
      <c r="BA142" s="285"/>
      <c r="BB142" s="285"/>
      <c r="BC142" s="285"/>
      <c r="BD142" s="285"/>
      <c r="BE142" s="285"/>
      <c r="BF142" s="285"/>
      <c r="BG142" s="285"/>
      <c r="BH142" s="285"/>
      <c r="BI142" s="285"/>
      <c r="BJ142" s="285"/>
      <c r="BK142" s="285"/>
      <c r="BL142" s="285"/>
      <c r="BM142" s="285"/>
      <c r="BN142" s="285"/>
      <c r="BO142" s="285"/>
      <c r="BP142" s="285"/>
      <c r="BQ142" s="285"/>
      <c r="BR142" s="285"/>
      <c r="BS142" s="285"/>
      <c r="BT142" s="285"/>
      <c r="BU142" s="285"/>
      <c r="BV142" s="285"/>
      <c r="BX142" s="268"/>
    </row>
    <row r="143" spans="2:76" x14ac:dyDescent="0.2">
      <c r="B143" s="270"/>
      <c r="C143" s="263"/>
      <c r="D143" s="263"/>
      <c r="E143" s="322"/>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c r="AJ143" s="285"/>
      <c r="AK143" s="285"/>
      <c r="AL143" s="285"/>
      <c r="AM143" s="285"/>
      <c r="AN143" s="285"/>
      <c r="AO143" s="285"/>
      <c r="AP143" s="285"/>
      <c r="AQ143" s="285"/>
      <c r="AR143" s="285"/>
      <c r="AS143" s="285"/>
      <c r="AT143" s="285"/>
      <c r="AU143" s="285"/>
      <c r="AV143" s="285"/>
      <c r="AW143" s="285"/>
      <c r="AX143" s="285"/>
      <c r="AY143" s="285"/>
      <c r="AZ143" s="285"/>
      <c r="BA143" s="285"/>
      <c r="BB143" s="285"/>
      <c r="BC143" s="285"/>
      <c r="BD143" s="285"/>
      <c r="BE143" s="285"/>
      <c r="BF143" s="285"/>
      <c r="BG143" s="285"/>
      <c r="BH143" s="285"/>
      <c r="BI143" s="285"/>
      <c r="BJ143" s="285"/>
      <c r="BK143" s="285"/>
      <c r="BL143" s="285"/>
      <c r="BM143" s="285"/>
      <c r="BN143" s="285"/>
      <c r="BO143" s="285"/>
      <c r="BP143" s="285"/>
      <c r="BQ143" s="285"/>
      <c r="BR143" s="285"/>
      <c r="BS143" s="285"/>
      <c r="BT143" s="285"/>
      <c r="BU143" s="285"/>
      <c r="BV143" s="285"/>
      <c r="BX143" s="268"/>
    </row>
    <row r="144" spans="2:76" x14ac:dyDescent="0.2">
      <c r="B144" s="270"/>
      <c r="C144" s="263"/>
      <c r="D144" s="263"/>
      <c r="E144" s="322"/>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c r="AJ144" s="285"/>
      <c r="AK144" s="285"/>
      <c r="AL144" s="285"/>
      <c r="AM144" s="285"/>
      <c r="AN144" s="285"/>
      <c r="AO144" s="285"/>
      <c r="AP144" s="285"/>
      <c r="AQ144" s="285"/>
      <c r="AR144" s="285"/>
      <c r="AS144" s="285"/>
      <c r="AT144" s="285"/>
      <c r="AU144" s="285"/>
      <c r="AV144" s="285"/>
      <c r="AW144" s="285"/>
      <c r="AX144" s="285"/>
      <c r="AY144" s="285"/>
      <c r="AZ144" s="285"/>
      <c r="BA144" s="285"/>
      <c r="BB144" s="285"/>
      <c r="BC144" s="285"/>
      <c r="BD144" s="285"/>
      <c r="BE144" s="285"/>
      <c r="BF144" s="285"/>
      <c r="BG144" s="285"/>
      <c r="BH144" s="285"/>
      <c r="BI144" s="285"/>
      <c r="BJ144" s="285"/>
      <c r="BK144" s="285"/>
      <c r="BL144" s="285"/>
      <c r="BM144" s="285"/>
      <c r="BN144" s="285"/>
      <c r="BO144" s="285"/>
      <c r="BP144" s="285"/>
      <c r="BQ144" s="285"/>
      <c r="BR144" s="285"/>
      <c r="BS144" s="285"/>
      <c r="BT144" s="285"/>
      <c r="BU144" s="285"/>
      <c r="BV144" s="285"/>
      <c r="BX144" s="268"/>
    </row>
    <row r="145" spans="2:76" x14ac:dyDescent="0.2">
      <c r="B145" s="270"/>
      <c r="C145" s="263"/>
      <c r="D145" s="263"/>
      <c r="E145" s="322"/>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c r="AJ145" s="285"/>
      <c r="AK145" s="285"/>
      <c r="AL145" s="285"/>
      <c r="AM145" s="285"/>
      <c r="AN145" s="285"/>
      <c r="AO145" s="285"/>
      <c r="AP145" s="285"/>
      <c r="AQ145" s="285"/>
      <c r="AR145" s="285"/>
      <c r="AS145" s="285"/>
      <c r="AT145" s="285"/>
      <c r="AU145" s="285"/>
      <c r="AV145" s="285"/>
      <c r="AW145" s="285"/>
      <c r="AX145" s="285"/>
      <c r="AY145" s="285"/>
      <c r="AZ145" s="285"/>
      <c r="BA145" s="285"/>
      <c r="BB145" s="285"/>
      <c r="BC145" s="285"/>
      <c r="BD145" s="285"/>
      <c r="BE145" s="285"/>
      <c r="BF145" s="285"/>
      <c r="BG145" s="285"/>
      <c r="BH145" s="285"/>
      <c r="BI145" s="285"/>
      <c r="BJ145" s="285"/>
      <c r="BK145" s="285"/>
      <c r="BL145" s="285"/>
      <c r="BM145" s="285"/>
      <c r="BN145" s="285"/>
      <c r="BO145" s="285"/>
      <c r="BP145" s="285"/>
      <c r="BQ145" s="285"/>
      <c r="BR145" s="285"/>
      <c r="BS145" s="285"/>
      <c r="BT145" s="285"/>
      <c r="BU145" s="285"/>
      <c r="BV145" s="285"/>
      <c r="BX145" s="268"/>
    </row>
    <row r="146" spans="2:76" x14ac:dyDescent="0.2">
      <c r="B146" s="270"/>
      <c r="C146" s="263"/>
      <c r="D146" s="263"/>
      <c r="E146" s="322"/>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c r="AJ146" s="285"/>
      <c r="AK146" s="285"/>
      <c r="AL146" s="285"/>
      <c r="AM146" s="285"/>
      <c r="AN146" s="285"/>
      <c r="AO146" s="285"/>
      <c r="AP146" s="285"/>
      <c r="AQ146" s="285"/>
      <c r="AR146" s="285"/>
      <c r="AS146" s="285"/>
      <c r="AT146" s="285"/>
      <c r="AU146" s="285"/>
      <c r="AV146" s="285"/>
      <c r="AW146" s="285"/>
      <c r="AX146" s="285"/>
      <c r="AY146" s="285"/>
      <c r="AZ146" s="285"/>
      <c r="BA146" s="285"/>
      <c r="BB146" s="285"/>
      <c r="BC146" s="285"/>
      <c r="BD146" s="285"/>
      <c r="BE146" s="285"/>
      <c r="BF146" s="285"/>
      <c r="BG146" s="285"/>
      <c r="BH146" s="285"/>
      <c r="BI146" s="285"/>
      <c r="BJ146" s="285"/>
      <c r="BK146" s="285"/>
      <c r="BL146" s="285"/>
      <c r="BM146" s="285"/>
      <c r="BN146" s="285"/>
      <c r="BO146" s="285"/>
      <c r="BP146" s="285"/>
      <c r="BQ146" s="285"/>
      <c r="BR146" s="285"/>
      <c r="BS146" s="285"/>
      <c r="BT146" s="285"/>
      <c r="BU146" s="285"/>
      <c r="BV146" s="285"/>
      <c r="BX146" s="268"/>
    </row>
    <row r="147" spans="2:76" x14ac:dyDescent="0.2">
      <c r="B147" s="270"/>
      <c r="C147" s="263"/>
      <c r="D147" s="263"/>
      <c r="E147" s="322"/>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c r="AJ147" s="285"/>
      <c r="AK147" s="285"/>
      <c r="AL147" s="285"/>
      <c r="AM147" s="285"/>
      <c r="AN147" s="285"/>
      <c r="AO147" s="285"/>
      <c r="AP147" s="285"/>
      <c r="AQ147" s="285"/>
      <c r="AR147" s="285"/>
      <c r="AS147" s="285"/>
      <c r="AT147" s="285"/>
      <c r="AU147" s="285"/>
      <c r="AV147" s="285"/>
      <c r="AW147" s="285"/>
      <c r="AX147" s="285"/>
      <c r="AY147" s="285"/>
      <c r="AZ147" s="285"/>
      <c r="BA147" s="285"/>
      <c r="BB147" s="285"/>
      <c r="BC147" s="285"/>
      <c r="BD147" s="285"/>
      <c r="BE147" s="285"/>
      <c r="BF147" s="285"/>
      <c r="BG147" s="285"/>
      <c r="BH147" s="285"/>
      <c r="BI147" s="285"/>
      <c r="BJ147" s="285"/>
      <c r="BK147" s="285"/>
      <c r="BL147" s="285"/>
      <c r="BM147" s="285"/>
      <c r="BN147" s="285"/>
      <c r="BO147" s="285"/>
      <c r="BP147" s="285"/>
      <c r="BQ147" s="285"/>
      <c r="BR147" s="285"/>
      <c r="BS147" s="285"/>
      <c r="BT147" s="285"/>
      <c r="BU147" s="285"/>
      <c r="BV147" s="285"/>
      <c r="BX147" s="268"/>
    </row>
    <row r="148" spans="2:76" x14ac:dyDescent="0.2">
      <c r="B148" s="270"/>
      <c r="C148" s="263"/>
      <c r="D148" s="263"/>
      <c r="E148" s="322"/>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c r="AJ148" s="285"/>
      <c r="AK148" s="285"/>
      <c r="AL148" s="285"/>
      <c r="AM148" s="285"/>
      <c r="AN148" s="285"/>
      <c r="AO148" s="285"/>
      <c r="AP148" s="285"/>
      <c r="AQ148" s="285"/>
      <c r="AR148" s="285"/>
      <c r="AS148" s="285"/>
      <c r="AT148" s="285"/>
      <c r="AU148" s="285"/>
      <c r="AV148" s="285"/>
      <c r="AW148" s="285"/>
      <c r="AX148" s="285"/>
      <c r="AY148" s="285"/>
      <c r="AZ148" s="285"/>
      <c r="BA148" s="285"/>
      <c r="BB148" s="285"/>
      <c r="BC148" s="285"/>
      <c r="BD148" s="285"/>
      <c r="BE148" s="285"/>
      <c r="BF148" s="285"/>
      <c r="BG148" s="285"/>
      <c r="BH148" s="285"/>
      <c r="BI148" s="285"/>
      <c r="BJ148" s="285"/>
      <c r="BK148" s="285"/>
      <c r="BL148" s="285"/>
      <c r="BM148" s="285"/>
      <c r="BN148" s="285"/>
      <c r="BO148" s="285"/>
      <c r="BP148" s="285"/>
      <c r="BQ148" s="285"/>
      <c r="BR148" s="285"/>
      <c r="BS148" s="285"/>
      <c r="BT148" s="285"/>
      <c r="BU148" s="285"/>
      <c r="BV148" s="285"/>
      <c r="BX148" s="268"/>
    </row>
    <row r="149" spans="2:76" x14ac:dyDescent="0.2">
      <c r="B149" s="270"/>
      <c r="C149" s="263"/>
      <c r="D149" s="263"/>
      <c r="E149" s="322"/>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c r="AJ149" s="285"/>
      <c r="AK149" s="285"/>
      <c r="AL149" s="285"/>
      <c r="AM149" s="285"/>
      <c r="AN149" s="285"/>
      <c r="AO149" s="285"/>
      <c r="AP149" s="285"/>
      <c r="AQ149" s="285"/>
      <c r="AR149" s="285"/>
      <c r="AS149" s="285"/>
      <c r="AT149" s="285"/>
      <c r="AU149" s="285"/>
      <c r="AV149" s="285"/>
      <c r="AW149" s="285"/>
      <c r="AX149" s="285"/>
      <c r="AY149" s="285"/>
      <c r="AZ149" s="285"/>
      <c r="BA149" s="285"/>
      <c r="BB149" s="285"/>
      <c r="BC149" s="285"/>
      <c r="BD149" s="285"/>
      <c r="BE149" s="285"/>
      <c r="BF149" s="285"/>
      <c r="BG149" s="285"/>
      <c r="BH149" s="285"/>
      <c r="BI149" s="285"/>
      <c r="BJ149" s="285"/>
      <c r="BK149" s="285"/>
      <c r="BL149" s="285"/>
      <c r="BM149" s="285"/>
      <c r="BN149" s="285"/>
      <c r="BO149" s="285"/>
      <c r="BP149" s="285"/>
      <c r="BQ149" s="285"/>
      <c r="BR149" s="285"/>
      <c r="BS149" s="285"/>
      <c r="BT149" s="285"/>
      <c r="BU149" s="285"/>
      <c r="BV149" s="285"/>
      <c r="BX149" s="268"/>
    </row>
    <row r="150" spans="2:76" x14ac:dyDescent="0.2">
      <c r="B150" s="270"/>
      <c r="C150" s="263"/>
      <c r="D150" s="263"/>
      <c r="E150" s="322"/>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c r="AJ150" s="285"/>
      <c r="AK150" s="285"/>
      <c r="AL150" s="285"/>
      <c r="AM150" s="285"/>
      <c r="AN150" s="285"/>
      <c r="AO150" s="285"/>
      <c r="AP150" s="285"/>
      <c r="AQ150" s="285"/>
      <c r="AR150" s="285"/>
      <c r="AS150" s="285"/>
      <c r="AT150" s="285"/>
      <c r="AU150" s="285"/>
      <c r="AV150" s="285"/>
      <c r="AW150" s="285"/>
      <c r="AX150" s="285"/>
      <c r="AY150" s="285"/>
      <c r="AZ150" s="285"/>
      <c r="BA150" s="285"/>
      <c r="BB150" s="285"/>
      <c r="BC150" s="285"/>
      <c r="BD150" s="285"/>
      <c r="BE150" s="285"/>
      <c r="BF150" s="285"/>
      <c r="BG150" s="285"/>
      <c r="BH150" s="285"/>
      <c r="BI150" s="285"/>
      <c r="BJ150" s="285"/>
      <c r="BK150" s="285"/>
      <c r="BL150" s="285"/>
      <c r="BM150" s="285"/>
      <c r="BN150" s="285"/>
      <c r="BO150" s="285"/>
      <c r="BP150" s="285"/>
      <c r="BQ150" s="285"/>
      <c r="BR150" s="285"/>
      <c r="BS150" s="285"/>
      <c r="BT150" s="285"/>
      <c r="BU150" s="285"/>
      <c r="BV150" s="285"/>
      <c r="BX150" s="268"/>
    </row>
    <row r="151" spans="2:76" x14ac:dyDescent="0.2">
      <c r="B151" s="270"/>
      <c r="C151" s="263"/>
      <c r="D151" s="263"/>
      <c r="E151" s="322"/>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c r="AJ151" s="285"/>
      <c r="AK151" s="285"/>
      <c r="AL151" s="285"/>
      <c r="AM151" s="285"/>
      <c r="AN151" s="285"/>
      <c r="AO151" s="285"/>
      <c r="AP151" s="285"/>
      <c r="AQ151" s="285"/>
      <c r="AR151" s="285"/>
      <c r="AS151" s="285"/>
      <c r="AT151" s="285"/>
      <c r="AU151" s="285"/>
      <c r="AV151" s="285"/>
      <c r="AW151" s="285"/>
      <c r="AX151" s="285"/>
      <c r="AY151" s="285"/>
      <c r="AZ151" s="285"/>
      <c r="BA151" s="285"/>
      <c r="BB151" s="285"/>
      <c r="BC151" s="285"/>
      <c r="BD151" s="285"/>
      <c r="BE151" s="285"/>
      <c r="BF151" s="285"/>
      <c r="BG151" s="285"/>
      <c r="BH151" s="285"/>
      <c r="BI151" s="285"/>
      <c r="BJ151" s="285"/>
      <c r="BK151" s="285"/>
      <c r="BL151" s="285"/>
      <c r="BM151" s="285"/>
      <c r="BN151" s="285"/>
      <c r="BO151" s="285"/>
      <c r="BP151" s="285"/>
      <c r="BQ151" s="285"/>
      <c r="BR151" s="285"/>
      <c r="BS151" s="285"/>
      <c r="BT151" s="285"/>
      <c r="BU151" s="285"/>
      <c r="BV151" s="285"/>
      <c r="BX151" s="268"/>
    </row>
    <row r="152" spans="2:76" x14ac:dyDescent="0.2">
      <c r="B152" s="270"/>
      <c r="C152" s="270"/>
      <c r="D152" s="270"/>
      <c r="E152" s="322"/>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c r="AJ152" s="285"/>
      <c r="AK152" s="285"/>
      <c r="AL152" s="285"/>
      <c r="AM152" s="285"/>
      <c r="AN152" s="285"/>
      <c r="AO152" s="285"/>
      <c r="AP152" s="285"/>
      <c r="AQ152" s="285"/>
      <c r="AR152" s="285"/>
      <c r="AS152" s="285"/>
      <c r="AT152" s="285"/>
      <c r="AU152" s="285"/>
      <c r="AV152" s="285"/>
      <c r="AW152" s="285"/>
      <c r="AX152" s="285"/>
      <c r="AY152" s="285"/>
      <c r="AZ152" s="285"/>
      <c r="BA152" s="285"/>
      <c r="BB152" s="285"/>
      <c r="BC152" s="285"/>
      <c r="BD152" s="285"/>
      <c r="BE152" s="285"/>
      <c r="BF152" s="285"/>
      <c r="BG152" s="285"/>
      <c r="BH152" s="285"/>
      <c r="BI152" s="285"/>
      <c r="BJ152" s="285"/>
      <c r="BK152" s="285"/>
      <c r="BL152" s="285"/>
      <c r="BM152" s="285"/>
      <c r="BN152" s="285"/>
      <c r="BO152" s="285"/>
      <c r="BP152" s="285"/>
      <c r="BQ152" s="285"/>
      <c r="BR152" s="285"/>
      <c r="BS152" s="285"/>
      <c r="BT152" s="285"/>
      <c r="BU152" s="285"/>
      <c r="BV152" s="285"/>
      <c r="BX152" s="268"/>
    </row>
    <row r="153" spans="2:76" x14ac:dyDescent="0.2">
      <c r="B153" s="270"/>
      <c r="C153" s="263"/>
      <c r="D153" s="263"/>
      <c r="E153" s="322"/>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c r="AJ153" s="285"/>
      <c r="AK153" s="285"/>
      <c r="AL153" s="285"/>
      <c r="AM153" s="285"/>
      <c r="AN153" s="285"/>
      <c r="AO153" s="285"/>
      <c r="AP153" s="285"/>
      <c r="AQ153" s="285"/>
      <c r="AR153" s="285"/>
      <c r="AS153" s="285"/>
      <c r="AT153" s="285"/>
      <c r="AU153" s="285"/>
      <c r="AV153" s="285"/>
      <c r="AW153" s="285"/>
      <c r="AX153" s="285"/>
      <c r="AY153" s="285"/>
      <c r="AZ153" s="285"/>
      <c r="BA153" s="285"/>
      <c r="BB153" s="285"/>
      <c r="BC153" s="285"/>
      <c r="BD153" s="285"/>
      <c r="BE153" s="285"/>
      <c r="BF153" s="285"/>
      <c r="BG153" s="285"/>
      <c r="BH153" s="285"/>
      <c r="BI153" s="285"/>
      <c r="BJ153" s="285"/>
      <c r="BK153" s="285"/>
      <c r="BL153" s="285"/>
      <c r="BM153" s="285"/>
      <c r="BN153" s="285"/>
      <c r="BO153" s="285"/>
      <c r="BP153" s="285"/>
      <c r="BQ153" s="285"/>
      <c r="BR153" s="285"/>
      <c r="BS153" s="285"/>
      <c r="BT153" s="285"/>
      <c r="BU153" s="285"/>
      <c r="BV153" s="285"/>
      <c r="BX153" s="268"/>
    </row>
    <row r="154" spans="2:76" x14ac:dyDescent="0.2">
      <c r="B154" s="270"/>
      <c r="C154" s="263"/>
      <c r="D154" s="263"/>
      <c r="E154" s="322"/>
      <c r="F154" s="285"/>
      <c r="G154" s="285"/>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c r="AJ154" s="285"/>
      <c r="AK154" s="285"/>
      <c r="AL154" s="285"/>
      <c r="AM154" s="285"/>
      <c r="AN154" s="285"/>
      <c r="AO154" s="285"/>
      <c r="AP154" s="285"/>
      <c r="AQ154" s="285"/>
      <c r="AR154" s="285"/>
      <c r="AS154" s="285"/>
      <c r="AT154" s="285"/>
      <c r="AU154" s="285"/>
      <c r="AV154" s="285"/>
      <c r="AW154" s="285"/>
      <c r="AX154" s="285"/>
      <c r="AY154" s="285"/>
      <c r="AZ154" s="285"/>
      <c r="BA154" s="285"/>
      <c r="BB154" s="285"/>
      <c r="BC154" s="285"/>
      <c r="BD154" s="285"/>
      <c r="BE154" s="285"/>
      <c r="BF154" s="285"/>
      <c r="BG154" s="285"/>
      <c r="BH154" s="285"/>
      <c r="BI154" s="285"/>
      <c r="BJ154" s="285"/>
      <c r="BK154" s="285"/>
      <c r="BL154" s="285"/>
      <c r="BM154" s="285"/>
      <c r="BN154" s="285"/>
      <c r="BO154" s="285"/>
      <c r="BP154" s="285"/>
      <c r="BQ154" s="285"/>
      <c r="BR154" s="285"/>
      <c r="BS154" s="285"/>
      <c r="BT154" s="285"/>
      <c r="BU154" s="285"/>
      <c r="BV154" s="285"/>
      <c r="BX154" s="268"/>
    </row>
    <row r="155" spans="2:76" x14ac:dyDescent="0.2">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X155" s="268"/>
    </row>
    <row r="156" spans="2:76" x14ac:dyDescent="0.2">
      <c r="B156" s="270"/>
      <c r="C156" s="263"/>
      <c r="D156" s="263"/>
      <c r="E156" s="322"/>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285"/>
      <c r="BJ156" s="285"/>
      <c r="BK156" s="285"/>
      <c r="BL156" s="285"/>
      <c r="BM156" s="285"/>
      <c r="BN156" s="285"/>
      <c r="BO156" s="285"/>
      <c r="BP156" s="285"/>
      <c r="BQ156" s="285"/>
      <c r="BR156" s="285"/>
      <c r="BS156" s="285"/>
      <c r="BT156" s="285"/>
      <c r="BU156" s="285"/>
      <c r="BV156" s="285"/>
      <c r="BX156" s="268"/>
    </row>
    <row r="157" spans="2:76" x14ac:dyDescent="0.2">
      <c r="B157" s="270"/>
      <c r="C157" s="263"/>
      <c r="D157" s="263"/>
      <c r="E157" s="322"/>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5"/>
      <c r="AK157" s="285"/>
      <c r="AL157" s="285"/>
      <c r="AM157" s="285"/>
      <c r="AN157" s="285"/>
      <c r="AO157" s="285"/>
      <c r="AP157" s="285"/>
      <c r="AQ157" s="285"/>
      <c r="AR157" s="285"/>
      <c r="AS157" s="285"/>
      <c r="AT157" s="285"/>
      <c r="AU157" s="285"/>
      <c r="AV157" s="285"/>
      <c r="AW157" s="285"/>
      <c r="AX157" s="285"/>
      <c r="AY157" s="285"/>
      <c r="AZ157" s="285"/>
      <c r="BA157" s="285"/>
      <c r="BB157" s="285"/>
      <c r="BC157" s="285"/>
      <c r="BD157" s="285"/>
      <c r="BE157" s="285"/>
      <c r="BF157" s="285"/>
      <c r="BG157" s="285"/>
      <c r="BH157" s="285"/>
      <c r="BI157" s="285"/>
      <c r="BJ157" s="285"/>
      <c r="BK157" s="285"/>
      <c r="BL157" s="285"/>
      <c r="BM157" s="285"/>
      <c r="BN157" s="285"/>
      <c r="BO157" s="285"/>
      <c r="BP157" s="285"/>
      <c r="BQ157" s="285"/>
      <c r="BR157" s="285"/>
      <c r="BS157" s="285"/>
      <c r="BT157" s="285"/>
      <c r="BU157" s="285"/>
      <c r="BV157" s="285"/>
      <c r="BX157" s="268"/>
    </row>
    <row r="158" spans="2:76" x14ac:dyDescent="0.2">
      <c r="B158" s="270"/>
      <c r="C158" s="263"/>
      <c r="D158" s="263"/>
      <c r="E158" s="322"/>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5"/>
      <c r="AK158" s="285"/>
      <c r="AL158" s="285"/>
      <c r="AM158" s="285"/>
      <c r="AN158" s="285"/>
      <c r="AO158" s="285"/>
      <c r="AP158" s="285"/>
      <c r="AQ158" s="285"/>
      <c r="AR158" s="285"/>
      <c r="AS158" s="285"/>
      <c r="AT158" s="285"/>
      <c r="AU158" s="285"/>
      <c r="AV158" s="285"/>
      <c r="AW158" s="285"/>
      <c r="AX158" s="285"/>
      <c r="AY158" s="285"/>
      <c r="AZ158" s="285"/>
      <c r="BA158" s="285"/>
      <c r="BB158" s="285"/>
      <c r="BC158" s="285"/>
      <c r="BD158" s="285"/>
      <c r="BE158" s="285"/>
      <c r="BF158" s="285"/>
      <c r="BG158" s="285"/>
      <c r="BH158" s="285"/>
      <c r="BI158" s="285"/>
      <c r="BJ158" s="285"/>
      <c r="BK158" s="285"/>
      <c r="BL158" s="285"/>
      <c r="BM158" s="285"/>
      <c r="BN158" s="285"/>
      <c r="BO158" s="285"/>
      <c r="BP158" s="285"/>
      <c r="BQ158" s="285"/>
      <c r="BR158" s="285"/>
      <c r="BS158" s="285"/>
      <c r="BT158" s="285"/>
      <c r="BU158" s="285"/>
      <c r="BV158" s="285"/>
      <c r="BX158" s="268"/>
    </row>
    <row r="159" spans="2:76" x14ac:dyDescent="0.2">
      <c r="B159" s="270"/>
      <c r="C159" s="263"/>
      <c r="D159" s="263"/>
      <c r="E159" s="322"/>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c r="AJ159" s="285"/>
      <c r="AK159" s="285"/>
      <c r="AL159" s="285"/>
      <c r="AM159" s="285"/>
      <c r="AN159" s="285"/>
      <c r="AO159" s="285"/>
      <c r="AP159" s="285"/>
      <c r="AQ159" s="285"/>
      <c r="AR159" s="285"/>
      <c r="AS159" s="285"/>
      <c r="AT159" s="285"/>
      <c r="AU159" s="285"/>
      <c r="AV159" s="285"/>
      <c r="AW159" s="285"/>
      <c r="AX159" s="285"/>
      <c r="AY159" s="285"/>
      <c r="AZ159" s="285"/>
      <c r="BA159" s="285"/>
      <c r="BB159" s="285"/>
      <c r="BC159" s="285"/>
      <c r="BD159" s="285"/>
      <c r="BE159" s="285"/>
      <c r="BF159" s="285"/>
      <c r="BG159" s="285"/>
      <c r="BH159" s="285"/>
      <c r="BI159" s="285"/>
      <c r="BJ159" s="285"/>
      <c r="BK159" s="285"/>
      <c r="BL159" s="285"/>
      <c r="BM159" s="285"/>
      <c r="BN159" s="285"/>
      <c r="BO159" s="285"/>
      <c r="BP159" s="285"/>
      <c r="BQ159" s="285"/>
      <c r="BR159" s="285"/>
      <c r="BS159" s="285"/>
      <c r="BT159" s="285"/>
      <c r="BU159" s="285"/>
      <c r="BV159" s="285"/>
      <c r="BX159" s="268"/>
    </row>
    <row r="160" spans="2:76" x14ac:dyDescent="0.2">
      <c r="B160" s="270"/>
      <c r="C160" s="263"/>
      <c r="D160" s="263"/>
      <c r="E160" s="322"/>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285"/>
      <c r="AL160" s="285"/>
      <c r="AM160" s="285"/>
      <c r="AN160" s="285"/>
      <c r="AO160" s="285"/>
      <c r="AP160" s="285"/>
      <c r="AQ160" s="285"/>
      <c r="AR160" s="285"/>
      <c r="AS160" s="285"/>
      <c r="AT160" s="285"/>
      <c r="AU160" s="285"/>
      <c r="AV160" s="285"/>
      <c r="AW160" s="285"/>
      <c r="AX160" s="285"/>
      <c r="AY160" s="285"/>
      <c r="AZ160" s="285"/>
      <c r="BA160" s="285"/>
      <c r="BB160" s="285"/>
      <c r="BC160" s="285"/>
      <c r="BD160" s="285"/>
      <c r="BE160" s="285"/>
      <c r="BF160" s="285"/>
      <c r="BG160" s="285"/>
      <c r="BH160" s="285"/>
      <c r="BI160" s="285"/>
      <c r="BJ160" s="285"/>
      <c r="BK160" s="285"/>
      <c r="BL160" s="285"/>
      <c r="BM160" s="285"/>
      <c r="BN160" s="285"/>
      <c r="BO160" s="285"/>
      <c r="BP160" s="285"/>
      <c r="BQ160" s="285"/>
      <c r="BR160" s="285"/>
      <c r="BS160" s="285"/>
      <c r="BT160" s="285"/>
      <c r="BU160" s="285"/>
      <c r="BV160" s="285"/>
      <c r="BX160" s="268"/>
    </row>
    <row r="161" spans="2:76" x14ac:dyDescent="0.2">
      <c r="B161" s="270"/>
      <c r="C161" s="263"/>
      <c r="D161" s="263"/>
      <c r="E161" s="322"/>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5"/>
      <c r="AN161" s="285"/>
      <c r="AO161" s="285"/>
      <c r="AP161" s="285"/>
      <c r="AQ161" s="285"/>
      <c r="AR161" s="285"/>
      <c r="AS161" s="285"/>
      <c r="AT161" s="285"/>
      <c r="AU161" s="285"/>
      <c r="AV161" s="285"/>
      <c r="AW161" s="285"/>
      <c r="AX161" s="285"/>
      <c r="AY161" s="285"/>
      <c r="AZ161" s="285"/>
      <c r="BA161" s="285"/>
      <c r="BB161" s="285"/>
      <c r="BC161" s="285"/>
      <c r="BD161" s="285"/>
      <c r="BE161" s="285"/>
      <c r="BF161" s="285"/>
      <c r="BG161" s="285"/>
      <c r="BH161" s="285"/>
      <c r="BI161" s="285"/>
      <c r="BJ161" s="285"/>
      <c r="BK161" s="285"/>
      <c r="BL161" s="285"/>
      <c r="BM161" s="285"/>
      <c r="BN161" s="285"/>
      <c r="BO161" s="285"/>
      <c r="BP161" s="285"/>
      <c r="BQ161" s="285"/>
      <c r="BR161" s="285"/>
      <c r="BS161" s="285"/>
      <c r="BT161" s="285"/>
      <c r="BU161" s="285"/>
      <c r="BV161" s="285"/>
      <c r="BX161" s="268"/>
    </row>
    <row r="162" spans="2:76" x14ac:dyDescent="0.2">
      <c r="B162" s="270"/>
      <c r="C162" s="263"/>
      <c r="D162" s="263"/>
      <c r="E162" s="322"/>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5"/>
      <c r="AN162" s="285"/>
      <c r="AO162" s="285"/>
      <c r="AP162" s="285"/>
      <c r="AQ162" s="285"/>
      <c r="AR162" s="285"/>
      <c r="AS162" s="285"/>
      <c r="AT162" s="285"/>
      <c r="AU162" s="285"/>
      <c r="AV162" s="285"/>
      <c r="AW162" s="285"/>
      <c r="AX162" s="285"/>
      <c r="AY162" s="285"/>
      <c r="AZ162" s="285"/>
      <c r="BA162" s="285"/>
      <c r="BB162" s="285"/>
      <c r="BC162" s="285"/>
      <c r="BD162" s="285"/>
      <c r="BE162" s="285"/>
      <c r="BF162" s="285"/>
      <c r="BG162" s="285"/>
      <c r="BH162" s="285"/>
      <c r="BI162" s="285"/>
      <c r="BJ162" s="285"/>
      <c r="BK162" s="285"/>
      <c r="BL162" s="285"/>
      <c r="BM162" s="285"/>
      <c r="BN162" s="285"/>
      <c r="BO162" s="285"/>
      <c r="BP162" s="285"/>
      <c r="BQ162" s="285"/>
      <c r="BR162" s="285"/>
      <c r="BS162" s="285"/>
      <c r="BT162" s="285"/>
      <c r="BU162" s="285"/>
      <c r="BV162" s="285"/>
      <c r="BX162" s="268"/>
    </row>
    <row r="163" spans="2:76" x14ac:dyDescent="0.2">
      <c r="B163" s="270"/>
      <c r="C163" s="263"/>
      <c r="D163" s="263"/>
      <c r="E163" s="322"/>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c r="AJ163" s="285"/>
      <c r="AK163" s="285"/>
      <c r="AL163" s="285"/>
      <c r="AM163" s="285"/>
      <c r="AN163" s="285"/>
      <c r="AO163" s="285"/>
      <c r="AP163" s="285"/>
      <c r="AQ163" s="285"/>
      <c r="AR163" s="285"/>
      <c r="AS163" s="285"/>
      <c r="AT163" s="285"/>
      <c r="AU163" s="285"/>
      <c r="AV163" s="285"/>
      <c r="AW163" s="285"/>
      <c r="AX163" s="285"/>
      <c r="AY163" s="285"/>
      <c r="AZ163" s="285"/>
      <c r="BA163" s="285"/>
      <c r="BB163" s="285"/>
      <c r="BC163" s="285"/>
      <c r="BD163" s="285"/>
      <c r="BE163" s="285"/>
      <c r="BF163" s="285"/>
      <c r="BG163" s="285"/>
      <c r="BH163" s="285"/>
      <c r="BI163" s="285"/>
      <c r="BJ163" s="285"/>
      <c r="BK163" s="285"/>
      <c r="BL163" s="285"/>
      <c r="BM163" s="285"/>
      <c r="BN163" s="285"/>
      <c r="BO163" s="285"/>
      <c r="BP163" s="285"/>
      <c r="BQ163" s="285"/>
      <c r="BR163" s="285"/>
      <c r="BS163" s="285"/>
      <c r="BT163" s="285"/>
      <c r="BU163" s="285"/>
      <c r="BV163" s="285"/>
      <c r="BX163" s="268"/>
    </row>
    <row r="164" spans="2:76" x14ac:dyDescent="0.2">
      <c r="B164" s="270"/>
      <c r="C164" s="263"/>
      <c r="D164" s="263"/>
      <c r="E164" s="322"/>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c r="AJ164" s="285"/>
      <c r="AK164" s="285"/>
      <c r="AL164" s="285"/>
      <c r="AM164" s="285"/>
      <c r="AN164" s="285"/>
      <c r="AO164" s="285"/>
      <c r="AP164" s="285"/>
      <c r="AQ164" s="285"/>
      <c r="AR164" s="285"/>
      <c r="AS164" s="285"/>
      <c r="AT164" s="285"/>
      <c r="AU164" s="285"/>
      <c r="AV164" s="285"/>
      <c r="AW164" s="285"/>
      <c r="AX164" s="285"/>
      <c r="AY164" s="285"/>
      <c r="AZ164" s="285"/>
      <c r="BA164" s="285"/>
      <c r="BB164" s="285"/>
      <c r="BC164" s="285"/>
      <c r="BD164" s="285"/>
      <c r="BE164" s="285"/>
      <c r="BF164" s="285"/>
      <c r="BG164" s="285"/>
      <c r="BH164" s="285"/>
      <c r="BI164" s="285"/>
      <c r="BJ164" s="285"/>
      <c r="BK164" s="285"/>
      <c r="BL164" s="285"/>
      <c r="BM164" s="285"/>
      <c r="BN164" s="285"/>
      <c r="BO164" s="285"/>
      <c r="BP164" s="285"/>
      <c r="BQ164" s="285"/>
      <c r="BR164" s="285"/>
      <c r="BS164" s="285"/>
      <c r="BT164" s="285"/>
      <c r="BU164" s="285"/>
      <c r="BV164" s="285"/>
      <c r="BX164" s="268"/>
    </row>
    <row r="165" spans="2:76" x14ac:dyDescent="0.2">
      <c r="B165" s="270"/>
      <c r="C165" s="263"/>
      <c r="D165" s="263"/>
      <c r="E165" s="322"/>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c r="AJ165" s="285"/>
      <c r="AK165" s="285"/>
      <c r="AL165" s="285"/>
      <c r="AM165" s="285"/>
      <c r="AN165" s="285"/>
      <c r="AO165" s="285"/>
      <c r="AP165" s="285"/>
      <c r="AQ165" s="285"/>
      <c r="AR165" s="285"/>
      <c r="AS165" s="285"/>
      <c r="AT165" s="285"/>
      <c r="AU165" s="285"/>
      <c r="AV165" s="285"/>
      <c r="AW165" s="285"/>
      <c r="AX165" s="285"/>
      <c r="AY165" s="285"/>
      <c r="AZ165" s="285"/>
      <c r="BA165" s="285"/>
      <c r="BB165" s="285"/>
      <c r="BC165" s="285"/>
      <c r="BD165" s="285"/>
      <c r="BE165" s="285"/>
      <c r="BF165" s="285"/>
      <c r="BG165" s="285"/>
      <c r="BH165" s="285"/>
      <c r="BI165" s="285"/>
      <c r="BJ165" s="285"/>
      <c r="BK165" s="285"/>
      <c r="BL165" s="285"/>
      <c r="BM165" s="285"/>
      <c r="BN165" s="285"/>
      <c r="BO165" s="285"/>
      <c r="BP165" s="285"/>
      <c r="BQ165" s="285"/>
      <c r="BR165" s="285"/>
      <c r="BS165" s="285"/>
      <c r="BT165" s="285"/>
      <c r="BU165" s="285"/>
      <c r="BV165" s="285"/>
      <c r="BX165" s="268"/>
    </row>
    <row r="166" spans="2:76" x14ac:dyDescent="0.2">
      <c r="B166" s="270"/>
      <c r="C166" s="263"/>
      <c r="D166" s="263"/>
      <c r="E166" s="322"/>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5"/>
      <c r="AK166" s="285"/>
      <c r="AL166" s="285"/>
      <c r="AM166" s="285"/>
      <c r="AN166" s="285"/>
      <c r="AO166" s="285"/>
      <c r="AP166" s="285"/>
      <c r="AQ166" s="285"/>
      <c r="AR166" s="285"/>
      <c r="AS166" s="285"/>
      <c r="AT166" s="285"/>
      <c r="AU166" s="285"/>
      <c r="AV166" s="285"/>
      <c r="AW166" s="285"/>
      <c r="AX166" s="285"/>
      <c r="AY166" s="285"/>
      <c r="AZ166" s="285"/>
      <c r="BA166" s="285"/>
      <c r="BB166" s="285"/>
      <c r="BC166" s="285"/>
      <c r="BD166" s="285"/>
      <c r="BE166" s="285"/>
      <c r="BF166" s="285"/>
      <c r="BG166" s="285"/>
      <c r="BH166" s="285"/>
      <c r="BI166" s="285"/>
      <c r="BJ166" s="285"/>
      <c r="BK166" s="285"/>
      <c r="BL166" s="285"/>
      <c r="BM166" s="285"/>
      <c r="BN166" s="285"/>
      <c r="BO166" s="285"/>
      <c r="BP166" s="285"/>
      <c r="BQ166" s="285"/>
      <c r="BR166" s="285"/>
      <c r="BS166" s="285"/>
      <c r="BT166" s="285"/>
      <c r="BU166" s="285"/>
      <c r="BV166" s="285"/>
      <c r="BX166" s="268"/>
    </row>
    <row r="167" spans="2:76" x14ac:dyDescent="0.2">
      <c r="B167" s="270"/>
      <c r="C167" s="263"/>
      <c r="D167" s="263"/>
      <c r="E167" s="322"/>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c r="AJ167" s="285"/>
      <c r="AK167" s="285"/>
      <c r="AL167" s="285"/>
      <c r="AM167" s="285"/>
      <c r="AN167" s="285"/>
      <c r="AO167" s="285"/>
      <c r="AP167" s="285"/>
      <c r="AQ167" s="285"/>
      <c r="AR167" s="285"/>
      <c r="AS167" s="285"/>
      <c r="AT167" s="285"/>
      <c r="AU167" s="285"/>
      <c r="AV167" s="285"/>
      <c r="AW167" s="285"/>
      <c r="AX167" s="285"/>
      <c r="AY167" s="285"/>
      <c r="AZ167" s="285"/>
      <c r="BA167" s="285"/>
      <c r="BB167" s="285"/>
      <c r="BC167" s="285"/>
      <c r="BD167" s="285"/>
      <c r="BE167" s="285"/>
      <c r="BF167" s="285"/>
      <c r="BG167" s="285"/>
      <c r="BH167" s="285"/>
      <c r="BI167" s="285"/>
      <c r="BJ167" s="285"/>
      <c r="BK167" s="285"/>
      <c r="BL167" s="285"/>
      <c r="BM167" s="285"/>
      <c r="BN167" s="285"/>
      <c r="BO167" s="285"/>
      <c r="BP167" s="285"/>
      <c r="BQ167" s="285"/>
      <c r="BR167" s="285"/>
      <c r="BS167" s="285"/>
      <c r="BT167" s="285"/>
      <c r="BU167" s="285"/>
      <c r="BV167" s="285"/>
      <c r="BX167" s="268"/>
    </row>
    <row r="168" spans="2:76" x14ac:dyDescent="0.2">
      <c r="B168" s="270"/>
      <c r="C168" s="263"/>
      <c r="D168" s="263"/>
      <c r="E168" s="322"/>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c r="AJ168" s="285"/>
      <c r="AK168" s="285"/>
      <c r="AL168" s="285"/>
      <c r="AM168" s="285"/>
      <c r="AN168" s="285"/>
      <c r="AO168" s="285"/>
      <c r="AP168" s="285"/>
      <c r="AQ168" s="285"/>
      <c r="AR168" s="285"/>
      <c r="AS168" s="285"/>
      <c r="AT168" s="285"/>
      <c r="AU168" s="285"/>
      <c r="AV168" s="285"/>
      <c r="AW168" s="285"/>
      <c r="AX168" s="285"/>
      <c r="AY168" s="285"/>
      <c r="AZ168" s="285"/>
      <c r="BA168" s="285"/>
      <c r="BB168" s="285"/>
      <c r="BC168" s="285"/>
      <c r="BD168" s="285"/>
      <c r="BE168" s="285"/>
      <c r="BF168" s="285"/>
      <c r="BG168" s="285"/>
      <c r="BH168" s="285"/>
      <c r="BI168" s="285"/>
      <c r="BJ168" s="285"/>
      <c r="BK168" s="285"/>
      <c r="BL168" s="285"/>
      <c r="BM168" s="285"/>
      <c r="BN168" s="285"/>
      <c r="BO168" s="285"/>
      <c r="BP168" s="285"/>
      <c r="BQ168" s="285"/>
      <c r="BR168" s="285"/>
      <c r="BS168" s="285"/>
      <c r="BT168" s="285"/>
      <c r="BU168" s="285"/>
      <c r="BV168" s="285"/>
      <c r="BX168" s="268"/>
    </row>
    <row r="169" spans="2:76" x14ac:dyDescent="0.2">
      <c r="B169" s="270"/>
      <c r="C169" s="263"/>
      <c r="D169" s="263"/>
      <c r="E169" s="322"/>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c r="AJ169" s="285"/>
      <c r="AK169" s="285"/>
      <c r="AL169" s="285"/>
      <c r="AM169" s="285"/>
      <c r="AN169" s="285"/>
      <c r="AO169" s="285"/>
      <c r="AP169" s="285"/>
      <c r="AQ169" s="285"/>
      <c r="AR169" s="285"/>
      <c r="AS169" s="285"/>
      <c r="AT169" s="285"/>
      <c r="AU169" s="285"/>
      <c r="AV169" s="285"/>
      <c r="AW169" s="285"/>
      <c r="AX169" s="285"/>
      <c r="AY169" s="285"/>
      <c r="AZ169" s="285"/>
      <c r="BA169" s="285"/>
      <c r="BB169" s="285"/>
      <c r="BC169" s="285"/>
      <c r="BD169" s="285"/>
      <c r="BE169" s="285"/>
      <c r="BF169" s="285"/>
      <c r="BG169" s="285"/>
      <c r="BH169" s="285"/>
      <c r="BI169" s="285"/>
      <c r="BJ169" s="285"/>
      <c r="BK169" s="285"/>
      <c r="BL169" s="285"/>
      <c r="BM169" s="285"/>
      <c r="BN169" s="285"/>
      <c r="BO169" s="285"/>
      <c r="BP169" s="285"/>
      <c r="BQ169" s="285"/>
      <c r="BR169" s="285"/>
      <c r="BS169" s="285"/>
      <c r="BT169" s="285"/>
      <c r="BU169" s="285"/>
      <c r="BV169" s="285"/>
    </row>
    <row r="170" spans="2:76" x14ac:dyDescent="0.2">
      <c r="B170" s="270"/>
      <c r="C170" s="263"/>
      <c r="D170" s="263"/>
      <c r="E170" s="322"/>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c r="AJ170" s="285"/>
      <c r="AK170" s="285"/>
      <c r="AL170" s="285"/>
      <c r="AM170" s="285"/>
      <c r="AN170" s="285"/>
      <c r="AO170" s="285"/>
      <c r="AP170" s="285"/>
      <c r="AQ170" s="285"/>
      <c r="AR170" s="285"/>
      <c r="AS170" s="285"/>
      <c r="AT170" s="285"/>
      <c r="AU170" s="285"/>
      <c r="AV170" s="285"/>
      <c r="AW170" s="285"/>
      <c r="AX170" s="285"/>
      <c r="AY170" s="285"/>
      <c r="AZ170" s="285"/>
      <c r="BA170" s="285"/>
      <c r="BB170" s="285"/>
      <c r="BC170" s="285"/>
      <c r="BD170" s="285"/>
      <c r="BE170" s="285"/>
      <c r="BF170" s="285"/>
      <c r="BG170" s="285"/>
      <c r="BH170" s="285"/>
      <c r="BI170" s="285"/>
      <c r="BJ170" s="285"/>
      <c r="BK170" s="285"/>
      <c r="BL170" s="285"/>
      <c r="BM170" s="285"/>
      <c r="BN170" s="285"/>
      <c r="BO170" s="285"/>
      <c r="BP170" s="285"/>
      <c r="BQ170" s="285"/>
      <c r="BR170" s="285"/>
      <c r="BS170" s="285"/>
      <c r="BT170" s="285"/>
      <c r="BU170" s="285"/>
      <c r="BV170" s="285"/>
    </row>
    <row r="171" spans="2:76" x14ac:dyDescent="0.2">
      <c r="B171" s="270"/>
      <c r="C171" s="263"/>
      <c r="D171" s="263"/>
      <c r="E171" s="322"/>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c r="AJ171" s="285"/>
      <c r="AK171" s="285"/>
      <c r="AL171" s="285"/>
      <c r="AM171" s="285"/>
      <c r="AN171" s="285"/>
      <c r="AO171" s="285"/>
      <c r="AP171" s="285"/>
      <c r="AQ171" s="285"/>
      <c r="AR171" s="285"/>
      <c r="AS171" s="285"/>
      <c r="AT171" s="285"/>
      <c r="AU171" s="285"/>
      <c r="AV171" s="285"/>
      <c r="AW171" s="285"/>
      <c r="AX171" s="285"/>
      <c r="AY171" s="285"/>
      <c r="AZ171" s="285"/>
      <c r="BA171" s="285"/>
      <c r="BB171" s="285"/>
      <c r="BC171" s="285"/>
      <c r="BD171" s="285"/>
      <c r="BE171" s="285"/>
      <c r="BF171" s="285"/>
      <c r="BG171" s="285"/>
      <c r="BH171" s="285"/>
      <c r="BI171" s="285"/>
      <c r="BJ171" s="285"/>
      <c r="BK171" s="285"/>
      <c r="BL171" s="285"/>
      <c r="BM171" s="285"/>
      <c r="BN171" s="285"/>
      <c r="BO171" s="285"/>
      <c r="BP171" s="285"/>
      <c r="BQ171" s="285"/>
      <c r="BR171" s="285"/>
      <c r="BS171" s="285"/>
      <c r="BT171" s="285"/>
      <c r="BU171" s="285"/>
      <c r="BV171" s="285"/>
    </row>
    <row r="172" spans="2:76" x14ac:dyDescent="0.2">
      <c r="B172" s="270"/>
      <c r="C172" s="263"/>
      <c r="D172" s="263"/>
      <c r="E172" s="322"/>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5"/>
      <c r="AN172" s="285"/>
      <c r="AO172" s="285"/>
      <c r="AP172" s="285"/>
      <c r="AQ172" s="285"/>
      <c r="AR172" s="285"/>
      <c r="AS172" s="285"/>
      <c r="AT172" s="285"/>
      <c r="AU172" s="285"/>
      <c r="AV172" s="285"/>
      <c r="AW172" s="285"/>
      <c r="AX172" s="285"/>
      <c r="AY172" s="285"/>
      <c r="AZ172" s="285"/>
      <c r="BA172" s="285"/>
      <c r="BB172" s="285"/>
      <c r="BC172" s="285"/>
      <c r="BD172" s="285"/>
      <c r="BE172" s="285"/>
      <c r="BF172" s="285"/>
      <c r="BG172" s="285"/>
      <c r="BH172" s="285"/>
      <c r="BI172" s="285"/>
      <c r="BJ172" s="285"/>
      <c r="BK172" s="285"/>
      <c r="BL172" s="285"/>
      <c r="BM172" s="285"/>
      <c r="BN172" s="285"/>
      <c r="BO172" s="285"/>
      <c r="BP172" s="285"/>
      <c r="BQ172" s="285"/>
      <c r="BR172" s="285"/>
      <c r="BS172" s="285"/>
      <c r="BT172" s="285"/>
      <c r="BU172" s="285"/>
      <c r="BV172" s="285"/>
    </row>
    <row r="173" spans="2:76" x14ac:dyDescent="0.2">
      <c r="B173" s="270"/>
      <c r="C173" s="263"/>
      <c r="D173" s="263"/>
      <c r="E173" s="322"/>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5"/>
      <c r="AN173" s="285"/>
      <c r="AO173" s="285"/>
      <c r="AP173" s="285"/>
      <c r="AQ173" s="285"/>
      <c r="AR173" s="285"/>
      <c r="AS173" s="285"/>
      <c r="AT173" s="285"/>
      <c r="AU173" s="285"/>
      <c r="AV173" s="285"/>
      <c r="AW173" s="285"/>
      <c r="AX173" s="285"/>
      <c r="AY173" s="285"/>
      <c r="AZ173" s="285"/>
      <c r="BA173" s="285"/>
      <c r="BB173" s="285"/>
      <c r="BC173" s="285"/>
      <c r="BD173" s="285"/>
      <c r="BE173" s="285"/>
      <c r="BF173" s="285"/>
      <c r="BG173" s="285"/>
      <c r="BH173" s="285"/>
      <c r="BI173" s="285"/>
      <c r="BJ173" s="285"/>
      <c r="BK173" s="285"/>
      <c r="BL173" s="285"/>
      <c r="BM173" s="285"/>
      <c r="BN173" s="285"/>
      <c r="BO173" s="285"/>
      <c r="BP173" s="285"/>
      <c r="BQ173" s="285"/>
      <c r="BR173" s="285"/>
      <c r="BS173" s="285"/>
      <c r="BT173" s="285"/>
      <c r="BU173" s="285"/>
      <c r="BV173" s="285"/>
    </row>
    <row r="174" spans="2:76" x14ac:dyDescent="0.2">
      <c r="B174" s="270"/>
      <c r="C174" s="263"/>
      <c r="D174" s="263"/>
      <c r="E174" s="322"/>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5"/>
      <c r="AN174" s="285"/>
      <c r="AO174" s="285"/>
      <c r="AP174" s="285"/>
      <c r="AQ174" s="285"/>
      <c r="AR174" s="285"/>
      <c r="AS174" s="285"/>
      <c r="AT174" s="285"/>
      <c r="AU174" s="285"/>
      <c r="AV174" s="285"/>
      <c r="AW174" s="285"/>
      <c r="AX174" s="285"/>
      <c r="AY174" s="285"/>
      <c r="AZ174" s="285"/>
      <c r="BA174" s="285"/>
      <c r="BB174" s="285"/>
      <c r="BC174" s="285"/>
      <c r="BD174" s="285"/>
      <c r="BE174" s="285"/>
      <c r="BF174" s="285"/>
      <c r="BG174" s="285"/>
      <c r="BH174" s="285"/>
      <c r="BI174" s="285"/>
      <c r="BJ174" s="285"/>
      <c r="BK174" s="285"/>
      <c r="BL174" s="285"/>
      <c r="BM174" s="285"/>
      <c r="BN174" s="285"/>
      <c r="BO174" s="285"/>
      <c r="BP174" s="285"/>
      <c r="BQ174" s="285"/>
      <c r="BR174" s="285"/>
      <c r="BS174" s="285"/>
      <c r="BT174" s="285"/>
      <c r="BU174" s="285"/>
      <c r="BV174" s="285"/>
    </row>
    <row r="175" spans="2:76" x14ac:dyDescent="0.2">
      <c r="B175" s="270"/>
      <c r="C175" s="270"/>
      <c r="D175" s="270"/>
      <c r="E175" s="322"/>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5"/>
      <c r="AN175" s="285"/>
      <c r="AO175" s="285"/>
      <c r="AP175" s="285"/>
      <c r="AQ175" s="285"/>
      <c r="AR175" s="285"/>
      <c r="AS175" s="285"/>
      <c r="AT175" s="285"/>
      <c r="AU175" s="285"/>
      <c r="AV175" s="285"/>
      <c r="AW175" s="285"/>
      <c r="AX175" s="285"/>
      <c r="AY175" s="285"/>
      <c r="AZ175" s="285"/>
      <c r="BA175" s="285"/>
      <c r="BB175" s="285"/>
      <c r="BC175" s="285"/>
      <c r="BD175" s="285"/>
      <c r="BE175" s="285"/>
      <c r="BF175" s="285"/>
      <c r="BG175" s="285"/>
      <c r="BH175" s="285"/>
      <c r="BI175" s="285"/>
      <c r="BJ175" s="285"/>
      <c r="BK175" s="285"/>
      <c r="BL175" s="285"/>
      <c r="BM175" s="285"/>
      <c r="BN175" s="285"/>
      <c r="BO175" s="285"/>
      <c r="BP175" s="285"/>
      <c r="BQ175" s="285"/>
      <c r="BR175" s="285"/>
      <c r="BS175" s="285"/>
      <c r="BT175" s="285"/>
      <c r="BU175" s="285"/>
      <c r="BV175" s="285"/>
    </row>
    <row r="176" spans="2:76" x14ac:dyDescent="0.2">
      <c r="B176" s="270"/>
      <c r="C176" s="263"/>
      <c r="D176" s="263"/>
      <c r="E176" s="322"/>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5"/>
      <c r="AN176" s="285"/>
      <c r="AO176" s="285"/>
      <c r="AP176" s="285"/>
      <c r="AQ176" s="285"/>
      <c r="AR176" s="285"/>
      <c r="AS176" s="285"/>
      <c r="AT176" s="285"/>
      <c r="AU176" s="285"/>
      <c r="AV176" s="285"/>
      <c r="AW176" s="285"/>
      <c r="AX176" s="285"/>
      <c r="AY176" s="285"/>
      <c r="AZ176" s="285"/>
      <c r="BA176" s="285"/>
      <c r="BB176" s="285"/>
      <c r="BC176" s="285"/>
      <c r="BD176" s="285"/>
      <c r="BE176" s="285"/>
      <c r="BF176" s="285"/>
      <c r="BG176" s="285"/>
      <c r="BH176" s="285"/>
      <c r="BI176" s="285"/>
      <c r="BJ176" s="285"/>
      <c r="BK176" s="285"/>
      <c r="BL176" s="285"/>
      <c r="BM176" s="285"/>
      <c r="BN176" s="285"/>
      <c r="BO176" s="285"/>
      <c r="BP176" s="285"/>
      <c r="BQ176" s="285"/>
      <c r="BR176" s="285"/>
      <c r="BS176" s="285"/>
      <c r="BT176" s="285"/>
      <c r="BU176" s="285"/>
      <c r="BV176" s="285"/>
    </row>
    <row r="177" spans="2:74" x14ac:dyDescent="0.2">
      <c r="C177" s="263"/>
      <c r="D177" s="263"/>
      <c r="E177" s="322"/>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285"/>
      <c r="AF177" s="285"/>
      <c r="AG177" s="285"/>
      <c r="AH177" s="285"/>
      <c r="AI177" s="285"/>
      <c r="AJ177" s="285"/>
      <c r="AK177" s="285"/>
      <c r="AL177" s="285"/>
      <c r="AM177" s="285"/>
      <c r="AN177" s="285"/>
      <c r="AO177" s="285"/>
      <c r="AP177" s="285"/>
      <c r="AQ177" s="285"/>
      <c r="AR177" s="285"/>
      <c r="AS177" s="285"/>
      <c r="AT177" s="285"/>
      <c r="AU177" s="285"/>
      <c r="AV177" s="285"/>
      <c r="AW177" s="285"/>
      <c r="AX177" s="285"/>
      <c r="AY177" s="285"/>
      <c r="AZ177" s="285"/>
      <c r="BA177" s="285"/>
      <c r="BB177" s="285"/>
      <c r="BC177" s="285"/>
      <c r="BD177" s="285"/>
      <c r="BE177" s="285"/>
      <c r="BF177" s="285"/>
      <c r="BG177" s="285"/>
      <c r="BH177" s="285"/>
      <c r="BI177" s="285"/>
      <c r="BJ177" s="285"/>
      <c r="BK177" s="285"/>
      <c r="BL177" s="285"/>
      <c r="BM177" s="285"/>
      <c r="BN177" s="285"/>
      <c r="BO177" s="285"/>
      <c r="BP177" s="285"/>
      <c r="BQ177" s="285"/>
      <c r="BR177" s="285"/>
      <c r="BS177" s="285"/>
      <c r="BT177" s="285"/>
      <c r="BU177" s="285"/>
      <c r="BV177" s="285"/>
    </row>
    <row r="178" spans="2:74" x14ac:dyDescent="0.2">
      <c r="B178" s="270"/>
      <c r="C178" s="263"/>
      <c r="D178" s="263"/>
      <c r="E178" s="322"/>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c r="AJ178" s="285"/>
      <c r="AK178" s="285"/>
      <c r="AL178" s="285"/>
      <c r="AM178" s="285"/>
      <c r="AN178" s="285"/>
      <c r="AO178" s="285"/>
      <c r="AP178" s="285"/>
      <c r="AQ178" s="285"/>
      <c r="AR178" s="285"/>
      <c r="AS178" s="285"/>
      <c r="AT178" s="285"/>
      <c r="AU178" s="285"/>
      <c r="AV178" s="285"/>
      <c r="AW178" s="285"/>
      <c r="AX178" s="285"/>
      <c r="AY178" s="285"/>
      <c r="AZ178" s="285"/>
      <c r="BA178" s="285"/>
      <c r="BB178" s="285"/>
      <c r="BC178" s="285"/>
      <c r="BD178" s="285"/>
      <c r="BE178" s="285"/>
      <c r="BF178" s="285"/>
      <c r="BG178" s="285"/>
      <c r="BH178" s="285"/>
      <c r="BI178" s="285"/>
      <c r="BJ178" s="285"/>
      <c r="BK178" s="285"/>
      <c r="BL178" s="285"/>
      <c r="BM178" s="285"/>
      <c r="BN178" s="285"/>
      <c r="BO178" s="285"/>
      <c r="BP178" s="285"/>
      <c r="BQ178" s="285"/>
      <c r="BR178" s="285"/>
      <c r="BS178" s="285"/>
      <c r="BT178" s="285"/>
      <c r="BU178" s="285"/>
      <c r="BV178" s="285"/>
    </row>
    <row r="179" spans="2:74" x14ac:dyDescent="0.2">
      <c r="B179" s="270"/>
      <c r="C179" s="263"/>
      <c r="D179" s="263"/>
      <c r="E179" s="322"/>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285"/>
      <c r="AF179" s="285"/>
      <c r="AG179" s="285"/>
      <c r="AH179" s="285"/>
      <c r="AI179" s="285"/>
      <c r="AJ179" s="285"/>
      <c r="AK179" s="285"/>
      <c r="AL179" s="285"/>
      <c r="AM179" s="285"/>
      <c r="AN179" s="285"/>
      <c r="AO179" s="285"/>
      <c r="AP179" s="285"/>
      <c r="AQ179" s="285"/>
      <c r="AR179" s="285"/>
      <c r="AS179" s="285"/>
      <c r="AT179" s="285"/>
      <c r="AU179" s="285"/>
      <c r="AV179" s="285"/>
      <c r="AW179" s="285"/>
      <c r="AX179" s="285"/>
      <c r="AY179" s="285"/>
      <c r="AZ179" s="285"/>
      <c r="BA179" s="285"/>
      <c r="BB179" s="285"/>
      <c r="BC179" s="285"/>
      <c r="BD179" s="285"/>
      <c r="BE179" s="285"/>
      <c r="BF179" s="285"/>
      <c r="BG179" s="285"/>
      <c r="BH179" s="285"/>
      <c r="BI179" s="285"/>
      <c r="BJ179" s="285"/>
      <c r="BK179" s="285"/>
      <c r="BL179" s="285"/>
      <c r="BM179" s="285"/>
      <c r="BN179" s="285"/>
      <c r="BO179" s="285"/>
      <c r="BP179" s="285"/>
      <c r="BQ179" s="285"/>
      <c r="BR179" s="285"/>
      <c r="BS179" s="285"/>
      <c r="BT179" s="285"/>
      <c r="BU179" s="285"/>
      <c r="BV179" s="285"/>
    </row>
    <row r="180" spans="2:74" x14ac:dyDescent="0.2">
      <c r="B180" s="270"/>
      <c r="C180" s="263"/>
      <c r="D180" s="263"/>
      <c r="E180" s="322"/>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c r="AJ180" s="285"/>
      <c r="AK180" s="285"/>
      <c r="AL180" s="285"/>
      <c r="AM180" s="285"/>
      <c r="AN180" s="285"/>
      <c r="AO180" s="285"/>
      <c r="AP180" s="285"/>
      <c r="AQ180" s="285"/>
      <c r="AR180" s="285"/>
      <c r="AS180" s="285"/>
      <c r="AT180" s="285"/>
      <c r="AU180" s="285"/>
      <c r="AV180" s="285"/>
      <c r="AW180" s="285"/>
      <c r="AX180" s="285"/>
      <c r="AY180" s="285"/>
      <c r="AZ180" s="285"/>
      <c r="BA180" s="285"/>
      <c r="BB180" s="285"/>
      <c r="BC180" s="285"/>
      <c r="BD180" s="285"/>
      <c r="BE180" s="285"/>
      <c r="BF180" s="285"/>
      <c r="BG180" s="285"/>
      <c r="BH180" s="285"/>
      <c r="BI180" s="285"/>
      <c r="BJ180" s="285"/>
      <c r="BK180" s="285"/>
      <c r="BL180" s="285"/>
      <c r="BM180" s="285"/>
      <c r="BN180" s="285"/>
      <c r="BO180" s="285"/>
      <c r="BP180" s="285"/>
      <c r="BQ180" s="285"/>
      <c r="BR180" s="285"/>
      <c r="BS180" s="285"/>
      <c r="BT180" s="285"/>
      <c r="BU180" s="285"/>
      <c r="BV180" s="285"/>
    </row>
    <row r="181" spans="2:74" x14ac:dyDescent="0.2">
      <c r="B181" s="270"/>
      <c r="C181" s="263"/>
      <c r="D181" s="263"/>
      <c r="E181" s="322"/>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285"/>
      <c r="AF181" s="285"/>
      <c r="AG181" s="285"/>
      <c r="AH181" s="285"/>
      <c r="AI181" s="285"/>
      <c r="AJ181" s="285"/>
      <c r="AK181" s="285"/>
      <c r="AL181" s="285"/>
      <c r="AM181" s="285"/>
      <c r="AN181" s="285"/>
      <c r="AO181" s="285"/>
      <c r="AP181" s="285"/>
      <c r="AQ181" s="285"/>
      <c r="AR181" s="285"/>
      <c r="AS181" s="285"/>
      <c r="AT181" s="285"/>
      <c r="AU181" s="285"/>
      <c r="AV181" s="285"/>
      <c r="AW181" s="285"/>
      <c r="AX181" s="285"/>
      <c r="AY181" s="285"/>
      <c r="AZ181" s="285"/>
      <c r="BA181" s="285"/>
      <c r="BB181" s="285"/>
      <c r="BC181" s="285"/>
      <c r="BD181" s="285"/>
      <c r="BE181" s="285"/>
      <c r="BF181" s="285"/>
      <c r="BG181" s="285"/>
      <c r="BH181" s="285"/>
      <c r="BI181" s="285"/>
      <c r="BJ181" s="285"/>
      <c r="BK181" s="285"/>
      <c r="BL181" s="285"/>
      <c r="BM181" s="285"/>
      <c r="BN181" s="285"/>
      <c r="BO181" s="285"/>
      <c r="BP181" s="285"/>
      <c r="BQ181" s="285"/>
      <c r="BR181" s="285"/>
      <c r="BS181" s="285"/>
      <c r="BT181" s="285"/>
      <c r="BU181" s="285"/>
      <c r="BV181" s="285"/>
    </row>
    <row r="182" spans="2:74" x14ac:dyDescent="0.2">
      <c r="B182" s="270"/>
      <c r="C182" s="263"/>
      <c r="D182" s="263"/>
      <c r="E182" s="322"/>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c r="AJ182" s="285"/>
      <c r="AK182" s="285"/>
      <c r="AL182" s="285"/>
      <c r="AM182" s="285"/>
      <c r="AN182" s="285"/>
      <c r="AO182" s="285"/>
      <c r="AP182" s="285"/>
      <c r="AQ182" s="285"/>
      <c r="AR182" s="285"/>
      <c r="AS182" s="285"/>
      <c r="AT182" s="285"/>
      <c r="AU182" s="285"/>
      <c r="AV182" s="285"/>
      <c r="AW182" s="285"/>
      <c r="AX182" s="285"/>
      <c r="AY182" s="285"/>
      <c r="AZ182" s="285"/>
      <c r="BA182" s="285"/>
      <c r="BB182" s="285"/>
      <c r="BC182" s="285"/>
      <c r="BD182" s="285"/>
      <c r="BE182" s="285"/>
      <c r="BF182" s="285"/>
      <c r="BG182" s="285"/>
      <c r="BH182" s="285"/>
      <c r="BI182" s="285"/>
      <c r="BJ182" s="285"/>
      <c r="BK182" s="285"/>
      <c r="BL182" s="285"/>
      <c r="BM182" s="285"/>
      <c r="BN182" s="285"/>
      <c r="BO182" s="285"/>
      <c r="BP182" s="285"/>
      <c r="BQ182" s="285"/>
      <c r="BR182" s="285"/>
      <c r="BS182" s="285"/>
      <c r="BT182" s="285"/>
      <c r="BU182" s="285"/>
      <c r="BV182" s="285"/>
    </row>
    <row r="183" spans="2:74" x14ac:dyDescent="0.2">
      <c r="B183" s="270"/>
      <c r="C183" s="263"/>
      <c r="D183" s="263"/>
      <c r="E183" s="322"/>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c r="AJ183" s="285"/>
      <c r="AK183" s="285"/>
      <c r="AL183" s="285"/>
      <c r="AM183" s="285"/>
      <c r="AN183" s="285"/>
      <c r="AO183" s="285"/>
      <c r="AP183" s="285"/>
      <c r="AQ183" s="285"/>
      <c r="AR183" s="285"/>
      <c r="AS183" s="285"/>
      <c r="AT183" s="285"/>
      <c r="AU183" s="285"/>
      <c r="AV183" s="285"/>
      <c r="AW183" s="285"/>
      <c r="AX183" s="285"/>
      <c r="AY183" s="285"/>
      <c r="AZ183" s="285"/>
      <c r="BA183" s="285"/>
      <c r="BB183" s="285"/>
      <c r="BC183" s="285"/>
      <c r="BD183" s="285"/>
      <c r="BE183" s="285"/>
      <c r="BF183" s="285"/>
      <c r="BG183" s="285"/>
      <c r="BH183" s="285"/>
      <c r="BI183" s="285"/>
      <c r="BJ183" s="285"/>
      <c r="BK183" s="285"/>
      <c r="BL183" s="285"/>
      <c r="BM183" s="285"/>
      <c r="BN183" s="285"/>
      <c r="BO183" s="285"/>
      <c r="BP183" s="285"/>
      <c r="BQ183" s="285"/>
      <c r="BR183" s="285"/>
      <c r="BS183" s="285"/>
      <c r="BT183" s="285"/>
      <c r="BU183" s="285"/>
      <c r="BV183" s="285"/>
    </row>
    <row r="184" spans="2:74" x14ac:dyDescent="0.2">
      <c r="B184" s="270"/>
      <c r="C184" s="263"/>
      <c r="D184" s="263"/>
      <c r="E184" s="322"/>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c r="AJ184" s="285"/>
      <c r="AK184" s="285"/>
      <c r="AL184" s="285"/>
      <c r="AM184" s="285"/>
      <c r="AN184" s="285"/>
      <c r="AO184" s="285"/>
      <c r="AP184" s="285"/>
      <c r="AQ184" s="285"/>
      <c r="AR184" s="285"/>
      <c r="AS184" s="285"/>
      <c r="AT184" s="285"/>
      <c r="AU184" s="285"/>
      <c r="AV184" s="285"/>
      <c r="AW184" s="285"/>
      <c r="AX184" s="285"/>
      <c r="AY184" s="285"/>
      <c r="AZ184" s="285"/>
      <c r="BA184" s="285"/>
      <c r="BB184" s="285"/>
      <c r="BC184" s="285"/>
      <c r="BD184" s="285"/>
      <c r="BE184" s="285"/>
      <c r="BF184" s="285"/>
      <c r="BG184" s="285"/>
      <c r="BH184" s="285"/>
      <c r="BI184" s="285"/>
      <c r="BJ184" s="285"/>
      <c r="BK184" s="285"/>
      <c r="BL184" s="285"/>
      <c r="BM184" s="285"/>
      <c r="BN184" s="285"/>
      <c r="BO184" s="285"/>
      <c r="BP184" s="285"/>
      <c r="BQ184" s="285"/>
      <c r="BR184" s="285"/>
      <c r="BS184" s="285"/>
      <c r="BT184" s="285"/>
      <c r="BU184" s="285"/>
      <c r="BV184" s="285"/>
    </row>
    <row r="185" spans="2:74" x14ac:dyDescent="0.2">
      <c r="B185" s="270"/>
      <c r="C185" s="263"/>
      <c r="D185" s="263"/>
      <c r="E185" s="322"/>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285"/>
      <c r="AF185" s="285"/>
      <c r="AG185" s="285"/>
      <c r="AH185" s="285"/>
      <c r="AI185" s="285"/>
      <c r="AJ185" s="285"/>
      <c r="AK185" s="285"/>
      <c r="AL185" s="285"/>
      <c r="AM185" s="285"/>
      <c r="AN185" s="285"/>
      <c r="AO185" s="285"/>
      <c r="AP185" s="285"/>
      <c r="AQ185" s="285"/>
      <c r="AR185" s="285"/>
      <c r="AS185" s="285"/>
      <c r="AT185" s="285"/>
      <c r="AU185" s="285"/>
      <c r="AV185" s="285"/>
      <c r="AW185" s="285"/>
      <c r="AX185" s="285"/>
      <c r="AY185" s="285"/>
      <c r="AZ185" s="285"/>
      <c r="BA185" s="285"/>
      <c r="BB185" s="285"/>
      <c r="BC185" s="285"/>
      <c r="BD185" s="285"/>
      <c r="BE185" s="285"/>
      <c r="BF185" s="285"/>
      <c r="BG185" s="285"/>
      <c r="BH185" s="285"/>
      <c r="BI185" s="285"/>
      <c r="BJ185" s="285"/>
      <c r="BK185" s="285"/>
      <c r="BL185" s="285"/>
      <c r="BM185" s="285"/>
      <c r="BN185" s="285"/>
      <c r="BO185" s="285"/>
      <c r="BP185" s="285"/>
      <c r="BQ185" s="285"/>
      <c r="BR185" s="285"/>
      <c r="BS185" s="285"/>
      <c r="BT185" s="285"/>
      <c r="BU185" s="285"/>
      <c r="BV185" s="285"/>
    </row>
    <row r="186" spans="2:74" x14ac:dyDescent="0.2">
      <c r="B186" s="270"/>
      <c r="C186" s="263"/>
      <c r="D186" s="263"/>
      <c r="E186" s="322"/>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285"/>
      <c r="AF186" s="285"/>
      <c r="AG186" s="285"/>
      <c r="AH186" s="285"/>
      <c r="AI186" s="285"/>
      <c r="AJ186" s="285"/>
      <c r="AK186" s="285"/>
      <c r="AL186" s="285"/>
      <c r="AM186" s="285"/>
      <c r="AN186" s="285"/>
      <c r="AO186" s="285"/>
      <c r="AP186" s="285"/>
      <c r="AQ186" s="285"/>
      <c r="AR186" s="285"/>
      <c r="AS186" s="285"/>
      <c r="AT186" s="285"/>
      <c r="AU186" s="285"/>
      <c r="AV186" s="285"/>
      <c r="AW186" s="285"/>
      <c r="AX186" s="285"/>
      <c r="AY186" s="285"/>
      <c r="AZ186" s="285"/>
      <c r="BA186" s="285"/>
      <c r="BB186" s="285"/>
      <c r="BC186" s="285"/>
      <c r="BD186" s="285"/>
      <c r="BE186" s="285"/>
      <c r="BF186" s="285"/>
      <c r="BG186" s="285"/>
      <c r="BH186" s="285"/>
      <c r="BI186" s="285"/>
      <c r="BJ186" s="285"/>
      <c r="BK186" s="285"/>
      <c r="BL186" s="285"/>
      <c r="BM186" s="285"/>
      <c r="BN186" s="285"/>
      <c r="BO186" s="285"/>
      <c r="BP186" s="285"/>
      <c r="BQ186" s="285"/>
      <c r="BR186" s="285"/>
      <c r="BS186" s="285"/>
      <c r="BT186" s="285"/>
      <c r="BU186" s="285"/>
      <c r="BV186" s="285"/>
    </row>
    <row r="187" spans="2:74" x14ac:dyDescent="0.2">
      <c r="B187" s="270"/>
      <c r="C187" s="270"/>
      <c r="D187" s="270"/>
      <c r="E187" s="322"/>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c r="AJ187" s="285"/>
      <c r="AK187" s="285"/>
      <c r="AL187" s="285"/>
      <c r="AM187" s="285"/>
      <c r="AN187" s="285"/>
      <c r="AO187" s="285"/>
      <c r="AP187" s="285"/>
      <c r="AQ187" s="285"/>
      <c r="AR187" s="285"/>
      <c r="AS187" s="285"/>
      <c r="AT187" s="285"/>
      <c r="AU187" s="285"/>
      <c r="AV187" s="285"/>
      <c r="AW187" s="285"/>
      <c r="AX187" s="285"/>
      <c r="AY187" s="285"/>
      <c r="AZ187" s="285"/>
      <c r="BA187" s="285"/>
      <c r="BB187" s="285"/>
      <c r="BC187" s="285"/>
      <c r="BD187" s="285"/>
      <c r="BE187" s="285"/>
      <c r="BF187" s="285"/>
      <c r="BG187" s="285"/>
      <c r="BH187" s="285"/>
      <c r="BI187" s="285"/>
      <c r="BJ187" s="285"/>
      <c r="BK187" s="285"/>
      <c r="BL187" s="285"/>
      <c r="BM187" s="285"/>
      <c r="BN187" s="285"/>
      <c r="BO187" s="285"/>
      <c r="BP187" s="285"/>
      <c r="BQ187" s="285"/>
      <c r="BR187" s="285"/>
      <c r="BS187" s="285"/>
      <c r="BT187" s="285"/>
      <c r="BU187" s="285"/>
      <c r="BV187" s="285"/>
    </row>
    <row r="188" spans="2:74" x14ac:dyDescent="0.2">
      <c r="B188" s="270"/>
      <c r="C188" s="263"/>
      <c r="D188" s="263"/>
      <c r="E188" s="322"/>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285"/>
      <c r="AF188" s="285"/>
      <c r="AG188" s="285"/>
      <c r="AH188" s="285"/>
      <c r="AI188" s="285"/>
      <c r="AJ188" s="285"/>
      <c r="AK188" s="285"/>
      <c r="AL188" s="285"/>
      <c r="AM188" s="285"/>
      <c r="AN188" s="285"/>
      <c r="AO188" s="285"/>
      <c r="AP188" s="285"/>
      <c r="AQ188" s="285"/>
      <c r="AR188" s="285"/>
      <c r="AS188" s="285"/>
      <c r="AT188" s="285"/>
      <c r="AU188" s="285"/>
      <c r="AV188" s="285"/>
      <c r="AW188" s="285"/>
      <c r="AX188" s="285"/>
      <c r="AY188" s="285"/>
      <c r="AZ188" s="285"/>
      <c r="BA188" s="285"/>
      <c r="BB188" s="285"/>
      <c r="BC188" s="285"/>
      <c r="BD188" s="285"/>
      <c r="BE188" s="285"/>
      <c r="BF188" s="285"/>
      <c r="BG188" s="285"/>
      <c r="BH188" s="285"/>
      <c r="BI188" s="285"/>
      <c r="BJ188" s="285"/>
      <c r="BK188" s="285"/>
      <c r="BL188" s="285"/>
      <c r="BM188" s="285"/>
      <c r="BN188" s="285"/>
      <c r="BO188" s="285"/>
      <c r="BP188" s="285"/>
      <c r="BQ188" s="285"/>
      <c r="BR188" s="285"/>
      <c r="BS188" s="285"/>
      <c r="BT188" s="285"/>
      <c r="BU188" s="285"/>
      <c r="BV188" s="285"/>
    </row>
    <row r="189" spans="2:74" x14ac:dyDescent="0.2">
      <c r="B189" s="270"/>
      <c r="C189" s="263"/>
      <c r="D189" s="263"/>
      <c r="E189" s="322"/>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c r="AJ189" s="285"/>
      <c r="AK189" s="285"/>
      <c r="AL189" s="285"/>
      <c r="AM189" s="285"/>
      <c r="AN189" s="285"/>
      <c r="AO189" s="285"/>
      <c r="AP189" s="285"/>
      <c r="AQ189" s="285"/>
      <c r="AR189" s="285"/>
      <c r="AS189" s="285"/>
      <c r="AT189" s="285"/>
      <c r="AU189" s="285"/>
      <c r="AV189" s="285"/>
      <c r="AW189" s="285"/>
      <c r="AX189" s="285"/>
      <c r="AY189" s="285"/>
      <c r="AZ189" s="285"/>
      <c r="BA189" s="285"/>
      <c r="BB189" s="285"/>
      <c r="BC189" s="285"/>
      <c r="BD189" s="285"/>
      <c r="BE189" s="285"/>
      <c r="BF189" s="285"/>
      <c r="BG189" s="285"/>
      <c r="BH189" s="285"/>
      <c r="BI189" s="285"/>
      <c r="BJ189" s="285"/>
      <c r="BK189" s="285"/>
      <c r="BL189" s="285"/>
      <c r="BM189" s="285"/>
      <c r="BN189" s="285"/>
      <c r="BO189" s="285"/>
      <c r="BP189" s="285"/>
      <c r="BQ189" s="285"/>
      <c r="BR189" s="285"/>
      <c r="BS189" s="285"/>
      <c r="BT189" s="285"/>
      <c r="BU189" s="285"/>
      <c r="BV189" s="285"/>
    </row>
    <row r="190" spans="2:74" x14ac:dyDescent="0.2">
      <c r="B190" s="270"/>
      <c r="C190" s="263"/>
      <c r="D190" s="263"/>
      <c r="E190" s="322"/>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c r="AJ190" s="285"/>
      <c r="AK190" s="285"/>
      <c r="AL190" s="285"/>
      <c r="AM190" s="285"/>
      <c r="AN190" s="285"/>
      <c r="AO190" s="285"/>
      <c r="AP190" s="285"/>
      <c r="AQ190" s="285"/>
      <c r="AR190" s="285"/>
      <c r="AS190" s="285"/>
      <c r="AT190" s="285"/>
      <c r="AU190" s="285"/>
      <c r="AV190" s="285"/>
      <c r="AW190" s="285"/>
      <c r="AX190" s="285"/>
      <c r="AY190" s="285"/>
      <c r="AZ190" s="285"/>
      <c r="BA190" s="285"/>
      <c r="BB190" s="285"/>
      <c r="BC190" s="285"/>
      <c r="BD190" s="285"/>
      <c r="BE190" s="285"/>
      <c r="BF190" s="285"/>
      <c r="BG190" s="285"/>
      <c r="BH190" s="285"/>
      <c r="BI190" s="285"/>
      <c r="BJ190" s="285"/>
      <c r="BK190" s="285"/>
      <c r="BL190" s="285"/>
      <c r="BM190" s="285"/>
      <c r="BN190" s="285"/>
      <c r="BO190" s="285"/>
      <c r="BP190" s="285"/>
      <c r="BQ190" s="285"/>
      <c r="BR190" s="285"/>
      <c r="BS190" s="285"/>
      <c r="BT190" s="285"/>
      <c r="BU190" s="285"/>
      <c r="BV190" s="285"/>
    </row>
    <row r="191" spans="2:74" x14ac:dyDescent="0.2">
      <c r="B191" s="270"/>
      <c r="C191" s="263"/>
      <c r="D191" s="263"/>
      <c r="E191" s="322"/>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285"/>
      <c r="AE191" s="285"/>
      <c r="AF191" s="285"/>
      <c r="AG191" s="285"/>
      <c r="AH191" s="285"/>
      <c r="AI191" s="285"/>
      <c r="AJ191" s="285"/>
      <c r="AK191" s="285"/>
      <c r="AL191" s="285"/>
      <c r="AM191" s="285"/>
      <c r="AN191" s="285"/>
      <c r="AO191" s="285"/>
      <c r="AP191" s="285"/>
      <c r="AQ191" s="285"/>
      <c r="AR191" s="285"/>
      <c r="AS191" s="285"/>
      <c r="AT191" s="285"/>
      <c r="AU191" s="285"/>
      <c r="AV191" s="285"/>
      <c r="AW191" s="285"/>
      <c r="AX191" s="285"/>
      <c r="AY191" s="285"/>
      <c r="AZ191" s="285"/>
      <c r="BA191" s="285"/>
      <c r="BB191" s="285"/>
      <c r="BC191" s="285"/>
      <c r="BD191" s="285"/>
      <c r="BE191" s="285"/>
      <c r="BF191" s="285"/>
      <c r="BG191" s="285"/>
      <c r="BH191" s="285"/>
      <c r="BI191" s="285"/>
      <c r="BJ191" s="285"/>
      <c r="BK191" s="285"/>
      <c r="BL191" s="285"/>
      <c r="BM191" s="285"/>
      <c r="BN191" s="285"/>
      <c r="BO191" s="285"/>
      <c r="BP191" s="285"/>
      <c r="BQ191" s="285"/>
      <c r="BR191" s="285"/>
      <c r="BS191" s="285"/>
      <c r="BT191" s="285"/>
      <c r="BU191" s="285"/>
      <c r="BV191" s="285"/>
    </row>
    <row r="192" spans="2:74" x14ac:dyDescent="0.2">
      <c r="B192" s="270"/>
      <c r="C192" s="263"/>
      <c r="D192" s="263"/>
      <c r="E192" s="322"/>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c r="AJ192" s="285"/>
      <c r="AK192" s="285"/>
      <c r="AL192" s="285"/>
      <c r="AM192" s="285"/>
      <c r="AN192" s="285"/>
      <c r="AO192" s="285"/>
      <c r="AP192" s="285"/>
      <c r="AQ192" s="285"/>
      <c r="AR192" s="285"/>
      <c r="AS192" s="285"/>
      <c r="AT192" s="285"/>
      <c r="AU192" s="285"/>
      <c r="AV192" s="285"/>
      <c r="AW192" s="285"/>
      <c r="AX192" s="285"/>
      <c r="AY192" s="285"/>
      <c r="AZ192" s="285"/>
      <c r="BA192" s="285"/>
      <c r="BB192" s="285"/>
      <c r="BC192" s="285"/>
      <c r="BD192" s="285"/>
      <c r="BE192" s="285"/>
      <c r="BF192" s="285"/>
      <c r="BG192" s="285"/>
      <c r="BH192" s="285"/>
      <c r="BI192" s="285"/>
      <c r="BJ192" s="285"/>
      <c r="BK192" s="285"/>
      <c r="BL192" s="285"/>
      <c r="BM192" s="285"/>
      <c r="BN192" s="285"/>
      <c r="BO192" s="285"/>
      <c r="BP192" s="285"/>
      <c r="BQ192" s="285"/>
      <c r="BR192" s="285"/>
      <c r="BS192" s="285"/>
      <c r="BT192" s="285"/>
      <c r="BU192" s="285"/>
      <c r="BV192" s="285"/>
    </row>
    <row r="193" spans="2:74" x14ac:dyDescent="0.2">
      <c r="B193" s="270"/>
      <c r="C193" s="263"/>
      <c r="D193" s="263"/>
      <c r="E193" s="322"/>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c r="AF193" s="285"/>
      <c r="AG193" s="285"/>
      <c r="AH193" s="285"/>
      <c r="AI193" s="285"/>
      <c r="AJ193" s="285"/>
      <c r="AK193" s="285"/>
      <c r="AL193" s="285"/>
      <c r="AM193" s="285"/>
      <c r="AN193" s="285"/>
      <c r="AO193" s="285"/>
      <c r="AP193" s="285"/>
      <c r="AQ193" s="285"/>
      <c r="AR193" s="285"/>
      <c r="AS193" s="285"/>
      <c r="AT193" s="285"/>
      <c r="AU193" s="285"/>
      <c r="AV193" s="285"/>
      <c r="AW193" s="285"/>
      <c r="AX193" s="285"/>
      <c r="AY193" s="285"/>
      <c r="AZ193" s="285"/>
      <c r="BA193" s="285"/>
      <c r="BB193" s="285"/>
      <c r="BC193" s="285"/>
      <c r="BD193" s="285"/>
      <c r="BE193" s="285"/>
      <c r="BF193" s="285"/>
      <c r="BG193" s="285"/>
      <c r="BH193" s="285"/>
      <c r="BI193" s="285"/>
      <c r="BJ193" s="285"/>
      <c r="BK193" s="285"/>
      <c r="BL193" s="285"/>
      <c r="BM193" s="285"/>
      <c r="BN193" s="285"/>
      <c r="BO193" s="285"/>
      <c r="BP193" s="285"/>
      <c r="BQ193" s="285"/>
      <c r="BR193" s="285"/>
      <c r="BS193" s="285"/>
      <c r="BT193" s="285"/>
      <c r="BU193" s="285"/>
      <c r="BV193" s="285"/>
    </row>
    <row r="194" spans="2:74" x14ac:dyDescent="0.2">
      <c r="B194" s="270"/>
      <c r="C194" s="263"/>
      <c r="D194" s="263"/>
      <c r="E194" s="322"/>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5"/>
      <c r="AK194" s="285"/>
      <c r="AL194" s="285"/>
      <c r="AM194" s="285"/>
      <c r="AN194" s="285"/>
      <c r="AO194" s="285"/>
      <c r="AP194" s="285"/>
      <c r="AQ194" s="285"/>
      <c r="AR194" s="285"/>
      <c r="AS194" s="285"/>
      <c r="AT194" s="285"/>
      <c r="AU194" s="285"/>
      <c r="AV194" s="285"/>
      <c r="AW194" s="285"/>
      <c r="AX194" s="285"/>
      <c r="AY194" s="285"/>
      <c r="AZ194" s="285"/>
      <c r="BA194" s="285"/>
      <c r="BB194" s="285"/>
      <c r="BC194" s="285"/>
      <c r="BD194" s="285"/>
      <c r="BE194" s="285"/>
      <c r="BF194" s="285"/>
      <c r="BG194" s="285"/>
      <c r="BH194" s="285"/>
      <c r="BI194" s="285"/>
      <c r="BJ194" s="285"/>
      <c r="BK194" s="285"/>
      <c r="BL194" s="285"/>
      <c r="BM194" s="285"/>
      <c r="BN194" s="285"/>
      <c r="BO194" s="285"/>
      <c r="BP194" s="285"/>
      <c r="BQ194" s="285"/>
      <c r="BR194" s="285"/>
      <c r="BS194" s="285"/>
      <c r="BT194" s="285"/>
      <c r="BU194" s="285"/>
      <c r="BV194" s="285"/>
    </row>
    <row r="195" spans="2:74" x14ac:dyDescent="0.2">
      <c r="B195" s="270"/>
      <c r="C195" s="263"/>
      <c r="D195" s="263"/>
      <c r="E195" s="322"/>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c r="AJ195" s="285"/>
      <c r="AK195" s="285"/>
      <c r="AL195" s="285"/>
      <c r="AM195" s="285"/>
      <c r="AN195" s="285"/>
      <c r="AO195" s="285"/>
      <c r="AP195" s="285"/>
      <c r="AQ195" s="285"/>
      <c r="AR195" s="285"/>
      <c r="AS195" s="285"/>
      <c r="AT195" s="285"/>
      <c r="AU195" s="285"/>
      <c r="AV195" s="285"/>
      <c r="AW195" s="285"/>
      <c r="AX195" s="285"/>
      <c r="AY195" s="285"/>
      <c r="AZ195" s="285"/>
      <c r="BA195" s="285"/>
      <c r="BB195" s="285"/>
      <c r="BC195" s="285"/>
      <c r="BD195" s="285"/>
      <c r="BE195" s="285"/>
      <c r="BF195" s="285"/>
      <c r="BG195" s="285"/>
      <c r="BH195" s="285"/>
      <c r="BI195" s="285"/>
      <c r="BJ195" s="285"/>
      <c r="BK195" s="285"/>
      <c r="BL195" s="285"/>
      <c r="BM195" s="285"/>
      <c r="BN195" s="285"/>
      <c r="BO195" s="285"/>
      <c r="BP195" s="285"/>
      <c r="BQ195" s="285"/>
      <c r="BR195" s="285"/>
      <c r="BS195" s="285"/>
      <c r="BT195" s="285"/>
      <c r="BU195" s="285"/>
      <c r="BV195" s="285"/>
    </row>
    <row r="196" spans="2:74" x14ac:dyDescent="0.2">
      <c r="B196" s="270"/>
      <c r="C196" s="263"/>
      <c r="D196" s="263"/>
      <c r="E196" s="322"/>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285"/>
      <c r="AE196" s="285"/>
      <c r="AF196" s="285"/>
      <c r="AG196" s="285"/>
      <c r="AH196" s="285"/>
      <c r="AI196" s="285"/>
      <c r="AJ196" s="285"/>
      <c r="AK196" s="285"/>
      <c r="AL196" s="285"/>
      <c r="AM196" s="285"/>
      <c r="AN196" s="285"/>
      <c r="AO196" s="285"/>
      <c r="AP196" s="285"/>
      <c r="AQ196" s="285"/>
      <c r="AR196" s="285"/>
      <c r="AS196" s="285"/>
      <c r="AT196" s="285"/>
      <c r="AU196" s="285"/>
      <c r="AV196" s="285"/>
      <c r="AW196" s="285"/>
      <c r="AX196" s="285"/>
      <c r="AY196" s="285"/>
      <c r="AZ196" s="285"/>
      <c r="BA196" s="285"/>
      <c r="BB196" s="285"/>
      <c r="BC196" s="285"/>
      <c r="BD196" s="285"/>
      <c r="BE196" s="285"/>
      <c r="BF196" s="285"/>
      <c r="BG196" s="285"/>
      <c r="BH196" s="285"/>
      <c r="BI196" s="285"/>
      <c r="BJ196" s="285"/>
      <c r="BK196" s="285"/>
      <c r="BL196" s="285"/>
      <c r="BM196" s="285"/>
      <c r="BN196" s="285"/>
      <c r="BO196" s="285"/>
      <c r="BP196" s="285"/>
      <c r="BQ196" s="285"/>
      <c r="BR196" s="285"/>
      <c r="BS196" s="285"/>
      <c r="BT196" s="285"/>
      <c r="BU196" s="285"/>
      <c r="BV196" s="285"/>
    </row>
    <row r="197" spans="2:74" x14ac:dyDescent="0.2">
      <c r="B197" s="270"/>
      <c r="C197" s="263"/>
      <c r="D197" s="263"/>
      <c r="E197" s="322"/>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c r="AJ197" s="285"/>
      <c r="AK197" s="285"/>
      <c r="AL197" s="285"/>
      <c r="AM197" s="285"/>
      <c r="AN197" s="285"/>
      <c r="AO197" s="285"/>
      <c r="AP197" s="285"/>
      <c r="AQ197" s="285"/>
      <c r="AR197" s="285"/>
      <c r="AS197" s="285"/>
      <c r="AT197" s="285"/>
      <c r="AU197" s="285"/>
      <c r="AV197" s="285"/>
      <c r="AW197" s="285"/>
      <c r="AX197" s="285"/>
      <c r="AY197" s="285"/>
      <c r="AZ197" s="285"/>
      <c r="BA197" s="285"/>
      <c r="BB197" s="285"/>
      <c r="BC197" s="285"/>
      <c r="BD197" s="285"/>
      <c r="BE197" s="285"/>
      <c r="BF197" s="285"/>
      <c r="BG197" s="285"/>
      <c r="BH197" s="285"/>
      <c r="BI197" s="285"/>
      <c r="BJ197" s="285"/>
      <c r="BK197" s="285"/>
      <c r="BL197" s="285"/>
      <c r="BM197" s="285"/>
      <c r="BN197" s="285"/>
      <c r="BO197" s="285"/>
      <c r="BP197" s="285"/>
      <c r="BQ197" s="285"/>
      <c r="BR197" s="285"/>
      <c r="BS197" s="285"/>
      <c r="BT197" s="285"/>
      <c r="BU197" s="285"/>
      <c r="BV197" s="285"/>
    </row>
    <row r="198" spans="2:74" x14ac:dyDescent="0.2">
      <c r="B198" s="270"/>
      <c r="C198" s="263"/>
      <c r="D198" s="263"/>
      <c r="E198" s="322"/>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285"/>
      <c r="AF198" s="285"/>
      <c r="AG198" s="285"/>
      <c r="AH198" s="285"/>
      <c r="AI198" s="285"/>
      <c r="AJ198" s="285"/>
      <c r="AK198" s="285"/>
      <c r="AL198" s="285"/>
      <c r="AM198" s="285"/>
      <c r="AN198" s="285"/>
      <c r="AO198" s="285"/>
      <c r="AP198" s="285"/>
      <c r="AQ198" s="285"/>
      <c r="AR198" s="285"/>
      <c r="AS198" s="285"/>
      <c r="AT198" s="285"/>
      <c r="AU198" s="285"/>
      <c r="AV198" s="285"/>
      <c r="AW198" s="285"/>
      <c r="AX198" s="285"/>
      <c r="AY198" s="285"/>
      <c r="AZ198" s="285"/>
      <c r="BA198" s="285"/>
      <c r="BB198" s="285"/>
      <c r="BC198" s="285"/>
      <c r="BD198" s="285"/>
      <c r="BE198" s="285"/>
      <c r="BF198" s="285"/>
      <c r="BG198" s="285"/>
      <c r="BH198" s="285"/>
      <c r="BI198" s="285"/>
      <c r="BJ198" s="285"/>
      <c r="BK198" s="285"/>
      <c r="BL198" s="285"/>
      <c r="BM198" s="285"/>
      <c r="BN198" s="285"/>
      <c r="BO198" s="285"/>
      <c r="BP198" s="285"/>
      <c r="BQ198" s="285"/>
      <c r="BR198" s="285"/>
      <c r="BS198" s="285"/>
      <c r="BT198" s="285"/>
      <c r="BU198" s="285"/>
      <c r="BV198" s="285"/>
    </row>
    <row r="199" spans="2:74" x14ac:dyDescent="0.2">
      <c r="B199" s="270"/>
      <c r="C199" s="263"/>
      <c r="D199" s="263"/>
      <c r="E199" s="322"/>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c r="AJ199" s="285"/>
      <c r="AK199" s="285"/>
      <c r="AL199" s="285"/>
      <c r="AM199" s="285"/>
      <c r="AN199" s="285"/>
      <c r="AO199" s="285"/>
      <c r="AP199" s="285"/>
      <c r="AQ199" s="285"/>
      <c r="AR199" s="285"/>
      <c r="AS199" s="285"/>
      <c r="AT199" s="285"/>
      <c r="AU199" s="285"/>
      <c r="AV199" s="285"/>
      <c r="AW199" s="285"/>
      <c r="AX199" s="285"/>
      <c r="AY199" s="285"/>
      <c r="AZ199" s="285"/>
      <c r="BA199" s="285"/>
      <c r="BB199" s="285"/>
      <c r="BC199" s="285"/>
      <c r="BD199" s="285"/>
      <c r="BE199" s="285"/>
      <c r="BF199" s="285"/>
      <c r="BG199" s="285"/>
      <c r="BH199" s="285"/>
      <c r="BI199" s="285"/>
      <c r="BJ199" s="285"/>
      <c r="BK199" s="285"/>
      <c r="BL199" s="285"/>
      <c r="BM199" s="285"/>
      <c r="BN199" s="285"/>
      <c r="BO199" s="285"/>
      <c r="BP199" s="285"/>
      <c r="BQ199" s="285"/>
      <c r="BR199" s="285"/>
      <c r="BS199" s="285"/>
      <c r="BT199" s="285"/>
      <c r="BU199" s="285"/>
      <c r="BV199" s="285"/>
    </row>
    <row r="200" spans="2:74" x14ac:dyDescent="0.2">
      <c r="B200" s="270"/>
      <c r="C200" s="270"/>
      <c r="D200" s="270"/>
      <c r="E200" s="322"/>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c r="AJ200" s="285"/>
      <c r="AK200" s="285"/>
      <c r="AL200" s="285"/>
      <c r="AM200" s="285"/>
      <c r="AN200" s="285"/>
      <c r="AO200" s="285"/>
      <c r="AP200" s="285"/>
      <c r="AQ200" s="285"/>
      <c r="AR200" s="285"/>
      <c r="AS200" s="285"/>
      <c r="AT200" s="285"/>
      <c r="AU200" s="285"/>
      <c r="AV200" s="285"/>
      <c r="AW200" s="285"/>
      <c r="AX200" s="285"/>
      <c r="AY200" s="285"/>
      <c r="AZ200" s="285"/>
      <c r="BA200" s="285"/>
      <c r="BB200" s="285"/>
      <c r="BC200" s="285"/>
      <c r="BD200" s="285"/>
      <c r="BE200" s="285"/>
      <c r="BF200" s="285"/>
      <c r="BG200" s="285"/>
      <c r="BH200" s="285"/>
      <c r="BI200" s="285"/>
      <c r="BJ200" s="285"/>
      <c r="BK200" s="285"/>
      <c r="BL200" s="285"/>
      <c r="BM200" s="285"/>
      <c r="BN200" s="285"/>
      <c r="BO200" s="285"/>
      <c r="BP200" s="285"/>
      <c r="BQ200" s="285"/>
      <c r="BR200" s="285"/>
      <c r="BS200" s="285"/>
      <c r="BT200" s="285"/>
      <c r="BU200" s="285"/>
      <c r="BV200" s="285"/>
    </row>
    <row r="201" spans="2:74" x14ac:dyDescent="0.2">
      <c r="B201" s="270"/>
      <c r="C201" s="270"/>
      <c r="D201" s="270"/>
      <c r="E201" s="322"/>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c r="AJ201" s="285"/>
      <c r="AK201" s="285"/>
      <c r="AL201" s="285"/>
      <c r="AM201" s="285"/>
      <c r="AN201" s="285"/>
      <c r="AO201" s="285"/>
      <c r="AP201" s="285"/>
      <c r="AQ201" s="285"/>
      <c r="AR201" s="285"/>
      <c r="AS201" s="285"/>
      <c r="AT201" s="285"/>
      <c r="AU201" s="285"/>
      <c r="AV201" s="285"/>
      <c r="AW201" s="285"/>
      <c r="AX201" s="285"/>
      <c r="AY201" s="285"/>
      <c r="AZ201" s="285"/>
      <c r="BA201" s="285"/>
      <c r="BB201" s="285"/>
      <c r="BC201" s="285"/>
      <c r="BD201" s="285"/>
      <c r="BE201" s="285"/>
      <c r="BF201" s="285"/>
      <c r="BG201" s="285"/>
      <c r="BH201" s="285"/>
      <c r="BI201" s="285"/>
      <c r="BJ201" s="285"/>
      <c r="BK201" s="285"/>
      <c r="BL201" s="285"/>
      <c r="BM201" s="285"/>
      <c r="BN201" s="285"/>
      <c r="BO201" s="285"/>
      <c r="BP201" s="285"/>
      <c r="BQ201" s="285"/>
      <c r="BR201" s="285"/>
      <c r="BS201" s="285"/>
      <c r="BT201" s="285"/>
      <c r="BU201" s="285"/>
      <c r="BV201" s="285"/>
    </row>
    <row r="202" spans="2:74" x14ac:dyDescent="0.2">
      <c r="B202" s="270"/>
      <c r="C202" s="263"/>
      <c r="D202" s="263"/>
      <c r="E202" s="322"/>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85"/>
      <c r="AE202" s="285"/>
      <c r="AF202" s="285"/>
      <c r="AG202" s="285"/>
      <c r="AH202" s="285"/>
      <c r="AI202" s="285"/>
      <c r="AJ202" s="285"/>
      <c r="AK202" s="285"/>
      <c r="AL202" s="285"/>
      <c r="AM202" s="285"/>
      <c r="AN202" s="285"/>
      <c r="AO202" s="285"/>
      <c r="AP202" s="285"/>
      <c r="AQ202" s="285"/>
      <c r="AR202" s="285"/>
      <c r="AS202" s="285"/>
      <c r="AT202" s="285"/>
      <c r="AU202" s="285"/>
      <c r="AV202" s="285"/>
      <c r="AW202" s="285"/>
      <c r="AX202" s="285"/>
      <c r="AY202" s="285"/>
      <c r="AZ202" s="285"/>
      <c r="BA202" s="285"/>
      <c r="BB202" s="285"/>
      <c r="BC202" s="285"/>
      <c r="BD202" s="285"/>
      <c r="BE202" s="285"/>
      <c r="BF202" s="285"/>
      <c r="BG202" s="285"/>
      <c r="BH202" s="285"/>
      <c r="BI202" s="285"/>
      <c r="BJ202" s="285"/>
      <c r="BK202" s="285"/>
      <c r="BL202" s="285"/>
      <c r="BM202" s="285"/>
      <c r="BN202" s="285"/>
      <c r="BO202" s="285"/>
      <c r="BP202" s="285"/>
      <c r="BQ202" s="285"/>
      <c r="BR202" s="285"/>
      <c r="BS202" s="285"/>
      <c r="BT202" s="285"/>
      <c r="BU202" s="285"/>
      <c r="BV202" s="285"/>
    </row>
    <row r="203" spans="2:74" x14ac:dyDescent="0.2">
      <c r="B203" s="270"/>
      <c r="C203" s="263"/>
      <c r="D203" s="263"/>
      <c r="E203" s="322"/>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285"/>
      <c r="AT203" s="285"/>
      <c r="AU203" s="285"/>
      <c r="AV203" s="285"/>
      <c r="AW203" s="285"/>
      <c r="AX203" s="285"/>
      <c r="AY203" s="285"/>
      <c r="AZ203" s="285"/>
      <c r="BA203" s="285"/>
      <c r="BB203" s="285"/>
      <c r="BC203" s="285"/>
      <c r="BD203" s="285"/>
      <c r="BE203" s="285"/>
      <c r="BF203" s="285"/>
      <c r="BG203" s="285"/>
      <c r="BH203" s="285"/>
      <c r="BI203" s="285"/>
      <c r="BJ203" s="285"/>
      <c r="BK203" s="285"/>
      <c r="BL203" s="285"/>
      <c r="BM203" s="285"/>
      <c r="BN203" s="285"/>
      <c r="BO203" s="285"/>
      <c r="BP203" s="285"/>
      <c r="BQ203" s="285"/>
      <c r="BR203" s="285"/>
      <c r="BS203" s="285"/>
      <c r="BT203" s="285"/>
      <c r="BU203" s="285"/>
      <c r="BV203" s="285"/>
    </row>
    <row r="204" spans="2:74" x14ac:dyDescent="0.2">
      <c r="B204" s="270"/>
      <c r="C204" s="263"/>
      <c r="D204" s="263"/>
      <c r="E204" s="322"/>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c r="AJ204" s="285"/>
      <c r="AK204" s="285"/>
      <c r="AL204" s="285"/>
      <c r="AM204" s="285"/>
      <c r="AN204" s="285"/>
      <c r="AO204" s="285"/>
      <c r="AP204" s="285"/>
      <c r="AQ204" s="285"/>
      <c r="AR204" s="285"/>
      <c r="AS204" s="285"/>
      <c r="AT204" s="285"/>
      <c r="AU204" s="285"/>
      <c r="AV204" s="285"/>
      <c r="AW204" s="285"/>
      <c r="AX204" s="285"/>
      <c r="AY204" s="285"/>
      <c r="AZ204" s="285"/>
      <c r="BA204" s="285"/>
      <c r="BB204" s="285"/>
      <c r="BC204" s="285"/>
      <c r="BD204" s="285"/>
      <c r="BE204" s="285"/>
      <c r="BF204" s="285"/>
      <c r="BG204" s="285"/>
      <c r="BH204" s="285"/>
      <c r="BI204" s="285"/>
      <c r="BJ204" s="285"/>
      <c r="BK204" s="285"/>
      <c r="BL204" s="285"/>
      <c r="BM204" s="285"/>
      <c r="BN204" s="285"/>
      <c r="BO204" s="285"/>
      <c r="BP204" s="285"/>
      <c r="BQ204" s="285"/>
      <c r="BR204" s="285"/>
      <c r="BS204" s="285"/>
      <c r="BT204" s="285"/>
      <c r="BU204" s="285"/>
      <c r="BV204" s="285"/>
    </row>
    <row r="220" spans="2:74" x14ac:dyDescent="0.2">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c r="BJ220" s="323"/>
      <c r="BK220" s="323"/>
      <c r="BL220" s="323"/>
      <c r="BM220" s="323"/>
      <c r="BN220" s="323"/>
      <c r="BO220" s="323"/>
      <c r="BP220" s="323"/>
      <c r="BQ220" s="323"/>
      <c r="BR220" s="323"/>
      <c r="BS220" s="323"/>
      <c r="BT220" s="323"/>
      <c r="BU220" s="323"/>
      <c r="BV220" s="323"/>
    </row>
    <row r="221" spans="2:74" x14ac:dyDescent="0.2">
      <c r="B221" s="270"/>
      <c r="C221" s="263"/>
      <c r="D221" s="263"/>
      <c r="E221" s="322"/>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85"/>
      <c r="AE221" s="285"/>
      <c r="AF221" s="285"/>
      <c r="AG221" s="285"/>
      <c r="AH221" s="285"/>
      <c r="AI221" s="285"/>
      <c r="AJ221" s="285"/>
      <c r="AK221" s="285"/>
      <c r="AL221" s="285"/>
      <c r="AM221" s="285"/>
      <c r="AN221" s="285"/>
      <c r="AO221" s="285"/>
      <c r="AP221" s="285"/>
      <c r="AQ221" s="285"/>
      <c r="AR221" s="285"/>
      <c r="AS221" s="285"/>
      <c r="AT221" s="285"/>
      <c r="AU221" s="285"/>
      <c r="AV221" s="285"/>
      <c r="AW221" s="285"/>
      <c r="AX221" s="285"/>
      <c r="AY221" s="285"/>
      <c r="AZ221" s="285"/>
      <c r="BA221" s="285"/>
      <c r="BB221" s="285"/>
      <c r="BC221" s="285"/>
      <c r="BD221" s="285"/>
      <c r="BE221" s="285"/>
      <c r="BF221" s="285"/>
      <c r="BG221" s="285"/>
      <c r="BH221" s="285"/>
      <c r="BI221" s="285"/>
      <c r="BJ221" s="285"/>
      <c r="BK221" s="285"/>
      <c r="BL221" s="285"/>
      <c r="BM221" s="285"/>
      <c r="BN221" s="285"/>
      <c r="BO221" s="285"/>
      <c r="BP221" s="285"/>
      <c r="BQ221" s="285"/>
      <c r="BR221" s="285"/>
      <c r="BS221" s="285"/>
      <c r="BT221" s="285"/>
      <c r="BU221" s="285"/>
      <c r="BV221" s="285"/>
    </row>
    <row r="222" spans="2:74" x14ac:dyDescent="0.2">
      <c r="B222" s="270"/>
      <c r="C222" s="263"/>
      <c r="D222" s="263"/>
      <c r="E222" s="322"/>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285"/>
      <c r="AE222" s="285"/>
      <c r="AF222" s="285"/>
      <c r="AG222" s="285"/>
      <c r="AH222" s="285"/>
      <c r="AI222" s="285"/>
      <c r="AJ222" s="285"/>
      <c r="AK222" s="285"/>
      <c r="AL222" s="285"/>
      <c r="AM222" s="285"/>
      <c r="AN222" s="285"/>
      <c r="AO222" s="285"/>
      <c r="AP222" s="285"/>
      <c r="AQ222" s="285"/>
      <c r="AR222" s="285"/>
      <c r="AS222" s="285"/>
      <c r="AT222" s="285"/>
      <c r="AU222" s="285"/>
      <c r="AV222" s="285"/>
      <c r="AW222" s="285"/>
      <c r="AX222" s="285"/>
      <c r="AY222" s="285"/>
      <c r="AZ222" s="285"/>
      <c r="BA222" s="285"/>
      <c r="BB222" s="285"/>
      <c r="BC222" s="285"/>
      <c r="BD222" s="285"/>
      <c r="BE222" s="285"/>
      <c r="BF222" s="285"/>
      <c r="BG222" s="285"/>
      <c r="BH222" s="285"/>
      <c r="BI222" s="285"/>
      <c r="BJ222" s="285"/>
      <c r="BK222" s="285"/>
      <c r="BL222" s="285"/>
      <c r="BM222" s="285"/>
      <c r="BN222" s="285"/>
      <c r="BO222" s="285"/>
      <c r="BP222" s="285"/>
      <c r="BQ222" s="285"/>
      <c r="BR222" s="285"/>
      <c r="BS222" s="285"/>
      <c r="BT222" s="285"/>
      <c r="BU222" s="285"/>
      <c r="BV222" s="285"/>
    </row>
    <row r="223" spans="2:74" x14ac:dyDescent="0.2">
      <c r="B223" s="270"/>
      <c r="C223" s="263"/>
      <c r="D223" s="263"/>
      <c r="E223" s="322"/>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285"/>
      <c r="AF223" s="285"/>
      <c r="AG223" s="285"/>
      <c r="AH223" s="285"/>
      <c r="AI223" s="285"/>
      <c r="AJ223" s="285"/>
      <c r="AK223" s="285"/>
      <c r="AL223" s="285"/>
      <c r="AM223" s="285"/>
      <c r="AN223" s="285"/>
      <c r="AO223" s="285"/>
      <c r="AP223" s="285"/>
      <c r="AQ223" s="285"/>
      <c r="AR223" s="285"/>
      <c r="AS223" s="285"/>
      <c r="AT223" s="285"/>
      <c r="AU223" s="285"/>
      <c r="AV223" s="285"/>
      <c r="AW223" s="285"/>
      <c r="AX223" s="285"/>
      <c r="AY223" s="285"/>
      <c r="AZ223" s="285"/>
      <c r="BA223" s="285"/>
      <c r="BB223" s="285"/>
      <c r="BC223" s="285"/>
      <c r="BD223" s="285"/>
      <c r="BE223" s="285"/>
      <c r="BF223" s="285"/>
      <c r="BG223" s="285"/>
      <c r="BH223" s="285"/>
      <c r="BI223" s="285"/>
      <c r="BJ223" s="285"/>
      <c r="BK223" s="285"/>
      <c r="BL223" s="285"/>
      <c r="BM223" s="285"/>
      <c r="BN223" s="285"/>
      <c r="BO223" s="285"/>
      <c r="BP223" s="285"/>
      <c r="BQ223" s="285"/>
      <c r="BR223" s="285"/>
      <c r="BS223" s="285"/>
      <c r="BT223" s="285"/>
      <c r="BU223" s="285"/>
      <c r="BV223" s="285"/>
    </row>
    <row r="224" spans="2:74" x14ac:dyDescent="0.2">
      <c r="B224" s="270"/>
      <c r="C224" s="263"/>
      <c r="D224" s="263"/>
      <c r="E224" s="322"/>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285"/>
      <c r="AF224" s="285"/>
      <c r="AG224" s="285"/>
      <c r="AH224" s="285"/>
      <c r="AI224" s="285"/>
      <c r="AJ224" s="285"/>
      <c r="AK224" s="285"/>
      <c r="AL224" s="285"/>
      <c r="AM224" s="285"/>
      <c r="AN224" s="285"/>
      <c r="AO224" s="285"/>
      <c r="AP224" s="285"/>
      <c r="AQ224" s="285"/>
      <c r="AR224" s="285"/>
      <c r="AS224" s="285"/>
      <c r="AT224" s="285"/>
      <c r="AU224" s="285"/>
      <c r="AV224" s="285"/>
      <c r="AW224" s="285"/>
      <c r="AX224" s="285"/>
      <c r="AY224" s="285"/>
      <c r="AZ224" s="285"/>
      <c r="BA224" s="285"/>
      <c r="BB224" s="285"/>
      <c r="BC224" s="285"/>
      <c r="BD224" s="285"/>
      <c r="BE224" s="285"/>
      <c r="BF224" s="285"/>
      <c r="BG224" s="285"/>
      <c r="BH224" s="285"/>
      <c r="BI224" s="285"/>
      <c r="BJ224" s="285"/>
      <c r="BK224" s="285"/>
      <c r="BL224" s="285"/>
      <c r="BM224" s="285"/>
      <c r="BN224" s="285"/>
      <c r="BO224" s="285"/>
      <c r="BP224" s="285"/>
      <c r="BQ224" s="285"/>
      <c r="BR224" s="285"/>
      <c r="BS224" s="285"/>
      <c r="BT224" s="285"/>
      <c r="BU224" s="285"/>
      <c r="BV224" s="285"/>
    </row>
    <row r="225" spans="2:74" x14ac:dyDescent="0.2">
      <c r="B225" s="270"/>
      <c r="C225" s="263"/>
      <c r="D225" s="263"/>
      <c r="E225" s="322"/>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c r="AF225" s="285"/>
      <c r="AG225" s="285"/>
      <c r="AH225" s="285"/>
      <c r="AI225" s="285"/>
      <c r="AJ225" s="285"/>
      <c r="AK225" s="285"/>
      <c r="AL225" s="285"/>
      <c r="AM225" s="285"/>
      <c r="AN225" s="285"/>
      <c r="AO225" s="285"/>
      <c r="AP225" s="285"/>
      <c r="AQ225" s="285"/>
      <c r="AR225" s="285"/>
      <c r="AS225" s="285"/>
      <c r="AT225" s="285"/>
      <c r="AU225" s="285"/>
      <c r="AV225" s="285"/>
      <c r="AW225" s="285"/>
      <c r="AX225" s="285"/>
      <c r="AY225" s="285"/>
      <c r="AZ225" s="285"/>
      <c r="BA225" s="285"/>
      <c r="BB225" s="285"/>
      <c r="BC225" s="285"/>
      <c r="BD225" s="285"/>
      <c r="BE225" s="285"/>
      <c r="BF225" s="285"/>
      <c r="BG225" s="285"/>
      <c r="BH225" s="285"/>
      <c r="BI225" s="285"/>
      <c r="BJ225" s="285"/>
      <c r="BK225" s="285"/>
      <c r="BL225" s="285"/>
      <c r="BM225" s="285"/>
      <c r="BN225" s="285"/>
      <c r="BO225" s="285"/>
      <c r="BP225" s="285"/>
      <c r="BQ225" s="285"/>
      <c r="BR225" s="285"/>
      <c r="BS225" s="285"/>
      <c r="BT225" s="285"/>
      <c r="BU225" s="285"/>
      <c r="BV225" s="285"/>
    </row>
    <row r="226" spans="2:74" x14ac:dyDescent="0.2">
      <c r="B226" s="270"/>
      <c r="C226" s="263"/>
      <c r="D226" s="263"/>
      <c r="E226" s="322"/>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c r="AF226" s="285"/>
      <c r="AG226" s="285"/>
      <c r="AH226" s="285"/>
      <c r="AI226" s="285"/>
      <c r="AJ226" s="285"/>
      <c r="AK226" s="285"/>
      <c r="AL226" s="285"/>
      <c r="AM226" s="285"/>
      <c r="AN226" s="285"/>
      <c r="AO226" s="285"/>
      <c r="AP226" s="285"/>
      <c r="AQ226" s="285"/>
      <c r="AR226" s="285"/>
      <c r="AS226" s="285"/>
      <c r="AT226" s="285"/>
      <c r="AU226" s="285"/>
      <c r="AV226" s="285"/>
      <c r="AW226" s="285"/>
      <c r="AX226" s="285"/>
      <c r="AY226" s="285"/>
      <c r="AZ226" s="285"/>
      <c r="BA226" s="285"/>
      <c r="BB226" s="285"/>
      <c r="BC226" s="285"/>
      <c r="BD226" s="285"/>
      <c r="BE226" s="285"/>
      <c r="BF226" s="285"/>
      <c r="BG226" s="285"/>
      <c r="BH226" s="285"/>
      <c r="BI226" s="285"/>
      <c r="BJ226" s="285"/>
      <c r="BK226" s="285"/>
      <c r="BL226" s="285"/>
      <c r="BM226" s="285"/>
      <c r="BN226" s="285"/>
      <c r="BO226" s="285"/>
      <c r="BP226" s="285"/>
      <c r="BQ226" s="285"/>
      <c r="BR226" s="285"/>
      <c r="BS226" s="285"/>
      <c r="BT226" s="285"/>
      <c r="BU226" s="285"/>
      <c r="BV226" s="285"/>
    </row>
    <row r="227" spans="2:74" x14ac:dyDescent="0.2">
      <c r="B227" s="270"/>
      <c r="C227" s="263"/>
      <c r="D227" s="263"/>
      <c r="E227" s="322"/>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c r="AF227" s="285"/>
      <c r="AG227" s="285"/>
      <c r="AH227" s="285"/>
      <c r="AI227" s="285"/>
      <c r="AJ227" s="285"/>
      <c r="AK227" s="285"/>
      <c r="AL227" s="285"/>
      <c r="AM227" s="285"/>
      <c r="AN227" s="285"/>
      <c r="AO227" s="285"/>
      <c r="AP227" s="285"/>
      <c r="AQ227" s="285"/>
      <c r="AR227" s="285"/>
      <c r="AS227" s="285"/>
      <c r="AT227" s="285"/>
      <c r="AU227" s="285"/>
      <c r="AV227" s="285"/>
      <c r="AW227" s="285"/>
      <c r="AX227" s="285"/>
      <c r="AY227" s="285"/>
      <c r="AZ227" s="285"/>
      <c r="BA227" s="285"/>
      <c r="BB227" s="285"/>
      <c r="BC227" s="285"/>
      <c r="BD227" s="285"/>
      <c r="BE227" s="285"/>
      <c r="BF227" s="285"/>
      <c r="BG227" s="285"/>
      <c r="BH227" s="285"/>
      <c r="BI227" s="285"/>
      <c r="BJ227" s="285"/>
      <c r="BK227" s="285"/>
      <c r="BL227" s="285"/>
      <c r="BM227" s="285"/>
      <c r="BN227" s="285"/>
      <c r="BO227" s="285"/>
      <c r="BP227" s="285"/>
      <c r="BQ227" s="285"/>
      <c r="BR227" s="285"/>
      <c r="BS227" s="285"/>
      <c r="BT227" s="285"/>
      <c r="BU227" s="285"/>
      <c r="BV227" s="285"/>
    </row>
    <row r="228" spans="2:74" x14ac:dyDescent="0.2">
      <c r="B228" s="270"/>
      <c r="C228" s="263"/>
      <c r="D228" s="263"/>
      <c r="E228" s="322"/>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c r="AF228" s="285"/>
      <c r="AG228" s="285"/>
      <c r="AH228" s="285"/>
      <c r="AI228" s="285"/>
      <c r="AJ228" s="285"/>
      <c r="AK228" s="285"/>
      <c r="AL228" s="285"/>
      <c r="AM228" s="285"/>
      <c r="AN228" s="285"/>
      <c r="AO228" s="285"/>
      <c r="AP228" s="285"/>
      <c r="AQ228" s="285"/>
      <c r="AR228" s="285"/>
      <c r="AS228" s="285"/>
      <c r="AT228" s="285"/>
      <c r="AU228" s="285"/>
      <c r="AV228" s="285"/>
      <c r="AW228" s="285"/>
      <c r="AX228" s="285"/>
      <c r="AY228" s="285"/>
      <c r="AZ228" s="285"/>
      <c r="BA228" s="285"/>
      <c r="BB228" s="285"/>
      <c r="BC228" s="285"/>
      <c r="BD228" s="285"/>
      <c r="BE228" s="285"/>
      <c r="BF228" s="285"/>
      <c r="BG228" s="285"/>
      <c r="BH228" s="285"/>
      <c r="BI228" s="285"/>
      <c r="BJ228" s="285"/>
      <c r="BK228" s="285"/>
      <c r="BL228" s="285"/>
      <c r="BM228" s="285"/>
      <c r="BN228" s="285"/>
      <c r="BO228" s="285"/>
      <c r="BP228" s="285"/>
      <c r="BQ228" s="285"/>
      <c r="BR228" s="285"/>
      <c r="BS228" s="285"/>
      <c r="BT228" s="285"/>
      <c r="BU228" s="285"/>
      <c r="BV228" s="285"/>
    </row>
    <row r="229" spans="2:74" x14ac:dyDescent="0.2">
      <c r="B229" s="270"/>
      <c r="C229" s="263"/>
      <c r="D229" s="263"/>
      <c r="E229" s="322"/>
      <c r="F229" s="285"/>
      <c r="G229" s="285"/>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85"/>
      <c r="AE229" s="285"/>
      <c r="AF229" s="285"/>
      <c r="AG229" s="285"/>
      <c r="AH229" s="285"/>
      <c r="AI229" s="285"/>
      <c r="AJ229" s="285"/>
      <c r="AK229" s="285"/>
      <c r="AL229" s="285"/>
      <c r="AM229" s="285"/>
      <c r="AN229" s="285"/>
      <c r="AO229" s="285"/>
      <c r="AP229" s="285"/>
      <c r="AQ229" s="285"/>
      <c r="AR229" s="285"/>
      <c r="AS229" s="285"/>
      <c r="AT229" s="285"/>
      <c r="AU229" s="285"/>
      <c r="AV229" s="285"/>
      <c r="AW229" s="285"/>
      <c r="AX229" s="285"/>
      <c r="AY229" s="285"/>
      <c r="AZ229" s="285"/>
      <c r="BA229" s="285"/>
      <c r="BB229" s="285"/>
      <c r="BC229" s="285"/>
      <c r="BD229" s="285"/>
      <c r="BE229" s="285"/>
      <c r="BF229" s="285"/>
      <c r="BG229" s="285"/>
      <c r="BH229" s="285"/>
      <c r="BI229" s="285"/>
      <c r="BJ229" s="285"/>
      <c r="BK229" s="285"/>
      <c r="BL229" s="285"/>
      <c r="BM229" s="285"/>
      <c r="BN229" s="285"/>
      <c r="BO229" s="285"/>
      <c r="BP229" s="285"/>
      <c r="BQ229" s="285"/>
      <c r="BR229" s="285"/>
      <c r="BS229" s="285"/>
      <c r="BT229" s="285"/>
      <c r="BU229" s="285"/>
      <c r="BV229" s="285"/>
    </row>
    <row r="230" spans="2:74" x14ac:dyDescent="0.2">
      <c r="B230" s="270"/>
      <c r="C230" s="263"/>
      <c r="D230" s="263"/>
      <c r="E230" s="322"/>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285"/>
      <c r="AE230" s="285"/>
      <c r="AF230" s="285"/>
      <c r="AG230" s="285"/>
      <c r="AH230" s="285"/>
      <c r="AI230" s="285"/>
      <c r="AJ230" s="285"/>
      <c r="AK230" s="285"/>
      <c r="AL230" s="285"/>
      <c r="AM230" s="285"/>
      <c r="AN230" s="285"/>
      <c r="AO230" s="285"/>
      <c r="AP230" s="285"/>
      <c r="AQ230" s="285"/>
      <c r="AR230" s="285"/>
      <c r="AS230" s="285"/>
      <c r="AT230" s="285"/>
      <c r="AU230" s="285"/>
      <c r="AV230" s="285"/>
      <c r="AW230" s="285"/>
      <c r="AX230" s="285"/>
      <c r="AY230" s="285"/>
      <c r="AZ230" s="285"/>
      <c r="BA230" s="285"/>
      <c r="BB230" s="285"/>
      <c r="BC230" s="285"/>
      <c r="BD230" s="285"/>
      <c r="BE230" s="285"/>
      <c r="BF230" s="285"/>
      <c r="BG230" s="285"/>
      <c r="BH230" s="285"/>
      <c r="BI230" s="285"/>
      <c r="BJ230" s="285"/>
      <c r="BK230" s="285"/>
      <c r="BL230" s="285"/>
      <c r="BM230" s="285"/>
      <c r="BN230" s="285"/>
      <c r="BO230" s="285"/>
      <c r="BP230" s="285"/>
      <c r="BQ230" s="285"/>
      <c r="BR230" s="285"/>
      <c r="BS230" s="285"/>
      <c r="BT230" s="285"/>
      <c r="BU230" s="285"/>
      <c r="BV230" s="285"/>
    </row>
    <row r="231" spans="2:74" x14ac:dyDescent="0.2">
      <c r="B231" s="270"/>
      <c r="C231" s="263"/>
      <c r="D231" s="263"/>
      <c r="E231" s="322"/>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I231" s="285"/>
      <c r="BJ231" s="285"/>
      <c r="BK231" s="285"/>
      <c r="BL231" s="285"/>
      <c r="BM231" s="285"/>
      <c r="BN231" s="285"/>
      <c r="BO231" s="285"/>
      <c r="BP231" s="285"/>
      <c r="BQ231" s="285"/>
      <c r="BR231" s="285"/>
      <c r="BS231" s="285"/>
      <c r="BT231" s="285"/>
      <c r="BU231" s="285"/>
      <c r="BV231" s="285"/>
    </row>
    <row r="232" spans="2:74" x14ac:dyDescent="0.2">
      <c r="B232" s="270"/>
      <c r="C232" s="263"/>
      <c r="D232" s="263"/>
      <c r="E232" s="322"/>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85"/>
      <c r="AE232" s="285"/>
      <c r="AF232" s="285"/>
      <c r="AG232" s="285"/>
      <c r="AH232" s="285"/>
      <c r="AI232" s="285"/>
      <c r="AJ232" s="285"/>
      <c r="AK232" s="285"/>
      <c r="AL232" s="285"/>
      <c r="AM232" s="285"/>
      <c r="AN232" s="285"/>
      <c r="AO232" s="285"/>
      <c r="AP232" s="285"/>
      <c r="AQ232" s="285"/>
      <c r="AR232" s="285"/>
      <c r="AS232" s="285"/>
      <c r="AT232" s="285"/>
      <c r="AU232" s="285"/>
      <c r="AV232" s="285"/>
      <c r="AW232" s="285"/>
      <c r="AX232" s="285"/>
      <c r="AY232" s="285"/>
      <c r="AZ232" s="285"/>
      <c r="BA232" s="285"/>
      <c r="BB232" s="285"/>
      <c r="BC232" s="285"/>
      <c r="BD232" s="285"/>
      <c r="BE232" s="285"/>
      <c r="BF232" s="285"/>
      <c r="BG232" s="285"/>
      <c r="BH232" s="285"/>
      <c r="BI232" s="285"/>
      <c r="BJ232" s="285"/>
      <c r="BK232" s="285"/>
      <c r="BL232" s="285"/>
      <c r="BM232" s="285"/>
      <c r="BN232" s="285"/>
      <c r="BO232" s="285"/>
      <c r="BP232" s="285"/>
      <c r="BQ232" s="285"/>
      <c r="BR232" s="285"/>
      <c r="BS232" s="285"/>
      <c r="BT232" s="285"/>
      <c r="BU232" s="285"/>
      <c r="BV232" s="285"/>
    </row>
    <row r="233" spans="2:74" x14ac:dyDescent="0.2">
      <c r="B233" s="270"/>
      <c r="C233" s="263"/>
      <c r="D233" s="263"/>
      <c r="E233" s="322"/>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285"/>
      <c r="AF233" s="285"/>
      <c r="AG233" s="285"/>
      <c r="AH233" s="285"/>
      <c r="AI233" s="285"/>
      <c r="AJ233" s="285"/>
      <c r="AK233" s="285"/>
      <c r="AL233" s="285"/>
      <c r="AM233" s="285"/>
      <c r="AN233" s="285"/>
      <c r="AO233" s="285"/>
      <c r="AP233" s="285"/>
      <c r="AQ233" s="285"/>
      <c r="AR233" s="285"/>
      <c r="AS233" s="285"/>
      <c r="AT233" s="285"/>
      <c r="AU233" s="285"/>
      <c r="AV233" s="285"/>
      <c r="AW233" s="285"/>
      <c r="AX233" s="285"/>
      <c r="AY233" s="285"/>
      <c r="AZ233" s="285"/>
      <c r="BA233" s="285"/>
      <c r="BB233" s="285"/>
      <c r="BC233" s="285"/>
      <c r="BD233" s="285"/>
      <c r="BE233" s="285"/>
      <c r="BF233" s="285"/>
      <c r="BG233" s="285"/>
      <c r="BH233" s="285"/>
      <c r="BI233" s="285"/>
      <c r="BJ233" s="285"/>
      <c r="BK233" s="285"/>
      <c r="BL233" s="285"/>
      <c r="BM233" s="285"/>
      <c r="BN233" s="285"/>
      <c r="BO233" s="285"/>
      <c r="BP233" s="285"/>
      <c r="BQ233" s="285"/>
      <c r="BR233" s="285"/>
      <c r="BS233" s="285"/>
      <c r="BT233" s="285"/>
      <c r="BU233" s="285"/>
      <c r="BV233" s="285"/>
    </row>
    <row r="234" spans="2:74" x14ac:dyDescent="0.2">
      <c r="B234" s="270"/>
      <c r="C234" s="263"/>
      <c r="D234" s="263"/>
      <c r="E234" s="322"/>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85"/>
      <c r="AE234" s="285"/>
      <c r="AF234" s="285"/>
      <c r="AG234" s="285"/>
      <c r="AH234" s="285"/>
      <c r="AI234" s="285"/>
      <c r="AJ234" s="285"/>
      <c r="AK234" s="285"/>
      <c r="AL234" s="285"/>
      <c r="AM234" s="285"/>
      <c r="AN234" s="285"/>
      <c r="AO234" s="285"/>
      <c r="AP234" s="285"/>
      <c r="AQ234" s="285"/>
      <c r="AR234" s="285"/>
      <c r="AS234" s="285"/>
      <c r="AT234" s="285"/>
      <c r="AU234" s="285"/>
      <c r="AV234" s="285"/>
      <c r="AW234" s="285"/>
      <c r="AX234" s="285"/>
      <c r="AY234" s="285"/>
      <c r="AZ234" s="285"/>
      <c r="BA234" s="285"/>
      <c r="BB234" s="285"/>
      <c r="BC234" s="285"/>
      <c r="BD234" s="285"/>
      <c r="BE234" s="285"/>
      <c r="BF234" s="285"/>
      <c r="BG234" s="285"/>
      <c r="BH234" s="285"/>
      <c r="BI234" s="285"/>
      <c r="BJ234" s="285"/>
      <c r="BK234" s="285"/>
      <c r="BL234" s="285"/>
      <c r="BM234" s="285"/>
      <c r="BN234" s="285"/>
      <c r="BO234" s="285"/>
      <c r="BP234" s="285"/>
      <c r="BQ234" s="285"/>
      <c r="BR234" s="285"/>
      <c r="BS234" s="285"/>
      <c r="BT234" s="285"/>
      <c r="BU234" s="285"/>
      <c r="BV234" s="285"/>
    </row>
    <row r="235" spans="2:74" x14ac:dyDescent="0.2">
      <c r="B235" s="270"/>
      <c r="C235" s="263"/>
      <c r="D235" s="263"/>
      <c r="E235" s="322"/>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c r="AF235" s="285"/>
      <c r="AG235" s="285"/>
      <c r="AH235" s="285"/>
      <c r="AI235" s="285"/>
      <c r="AJ235" s="285"/>
      <c r="AK235" s="285"/>
      <c r="AL235" s="285"/>
      <c r="AM235" s="285"/>
      <c r="AN235" s="285"/>
      <c r="AO235" s="285"/>
      <c r="AP235" s="285"/>
      <c r="AQ235" s="285"/>
      <c r="AR235" s="285"/>
      <c r="AS235" s="285"/>
      <c r="AT235" s="285"/>
      <c r="AU235" s="285"/>
      <c r="AV235" s="285"/>
      <c r="AW235" s="285"/>
      <c r="AX235" s="285"/>
      <c r="AY235" s="285"/>
      <c r="AZ235" s="285"/>
      <c r="BA235" s="285"/>
      <c r="BB235" s="285"/>
      <c r="BC235" s="285"/>
      <c r="BD235" s="285"/>
      <c r="BE235" s="285"/>
      <c r="BF235" s="285"/>
      <c r="BG235" s="285"/>
      <c r="BH235" s="285"/>
      <c r="BI235" s="285"/>
      <c r="BJ235" s="285"/>
      <c r="BK235" s="285"/>
      <c r="BL235" s="285"/>
      <c r="BM235" s="285"/>
      <c r="BN235" s="285"/>
      <c r="BO235" s="285"/>
      <c r="BP235" s="285"/>
      <c r="BQ235" s="285"/>
      <c r="BR235" s="285"/>
      <c r="BS235" s="285"/>
      <c r="BT235" s="285"/>
      <c r="BU235" s="285"/>
      <c r="BV235" s="285"/>
    </row>
    <row r="236" spans="2:74" x14ac:dyDescent="0.2">
      <c r="B236" s="270"/>
      <c r="C236" s="263"/>
      <c r="D236" s="263"/>
      <c r="E236" s="322"/>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85"/>
      <c r="AE236" s="285"/>
      <c r="AF236" s="285"/>
      <c r="AG236" s="285"/>
      <c r="AH236" s="285"/>
      <c r="AI236" s="285"/>
      <c r="AJ236" s="285"/>
      <c r="AK236" s="285"/>
      <c r="AL236" s="285"/>
      <c r="AM236" s="285"/>
      <c r="AN236" s="285"/>
      <c r="AO236" s="285"/>
      <c r="AP236" s="285"/>
      <c r="AQ236" s="285"/>
      <c r="AR236" s="285"/>
      <c r="AS236" s="285"/>
      <c r="AT236" s="285"/>
      <c r="AU236" s="285"/>
      <c r="AV236" s="285"/>
      <c r="AW236" s="285"/>
      <c r="AX236" s="285"/>
      <c r="AY236" s="285"/>
      <c r="AZ236" s="285"/>
      <c r="BA236" s="285"/>
      <c r="BB236" s="285"/>
      <c r="BC236" s="285"/>
      <c r="BD236" s="285"/>
      <c r="BE236" s="285"/>
      <c r="BF236" s="285"/>
      <c r="BG236" s="285"/>
      <c r="BH236" s="285"/>
      <c r="BI236" s="285"/>
      <c r="BJ236" s="285"/>
      <c r="BK236" s="285"/>
      <c r="BL236" s="285"/>
      <c r="BM236" s="285"/>
      <c r="BN236" s="285"/>
      <c r="BO236" s="285"/>
      <c r="BP236" s="285"/>
      <c r="BQ236" s="285"/>
      <c r="BR236" s="285"/>
      <c r="BS236" s="285"/>
      <c r="BT236" s="285"/>
      <c r="BU236" s="285"/>
      <c r="BV236" s="285"/>
    </row>
    <row r="237" spans="2:74" x14ac:dyDescent="0.2">
      <c r="B237" s="270"/>
      <c r="C237" s="263"/>
      <c r="D237" s="263"/>
      <c r="E237" s="322"/>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285"/>
      <c r="AE237" s="285"/>
      <c r="AF237" s="285"/>
      <c r="AG237" s="285"/>
      <c r="AH237" s="285"/>
      <c r="AI237" s="285"/>
      <c r="AJ237" s="285"/>
      <c r="AK237" s="285"/>
      <c r="AL237" s="285"/>
      <c r="AM237" s="285"/>
      <c r="AN237" s="285"/>
      <c r="AO237" s="285"/>
      <c r="AP237" s="285"/>
      <c r="AQ237" s="285"/>
      <c r="AR237" s="285"/>
      <c r="AS237" s="285"/>
      <c r="AT237" s="285"/>
      <c r="AU237" s="285"/>
      <c r="AV237" s="285"/>
      <c r="AW237" s="285"/>
      <c r="AX237" s="285"/>
      <c r="AY237" s="285"/>
      <c r="AZ237" s="285"/>
      <c r="BA237" s="285"/>
      <c r="BB237" s="285"/>
      <c r="BC237" s="285"/>
      <c r="BD237" s="285"/>
      <c r="BE237" s="285"/>
      <c r="BF237" s="285"/>
      <c r="BG237" s="285"/>
      <c r="BH237" s="285"/>
      <c r="BI237" s="285"/>
      <c r="BJ237" s="285"/>
      <c r="BK237" s="285"/>
      <c r="BL237" s="285"/>
      <c r="BM237" s="285"/>
      <c r="BN237" s="285"/>
      <c r="BO237" s="285"/>
      <c r="BP237" s="285"/>
      <c r="BQ237" s="285"/>
      <c r="BR237" s="285"/>
      <c r="BS237" s="285"/>
      <c r="BT237" s="285"/>
      <c r="BU237" s="285"/>
      <c r="BV237" s="285"/>
    </row>
    <row r="238" spans="2:74" x14ac:dyDescent="0.2">
      <c r="B238" s="270"/>
      <c r="C238" s="263"/>
      <c r="D238" s="263"/>
      <c r="E238" s="322"/>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85"/>
      <c r="AE238" s="285"/>
      <c r="AF238" s="285"/>
      <c r="AG238" s="285"/>
      <c r="AH238" s="285"/>
      <c r="AI238" s="285"/>
      <c r="AJ238" s="285"/>
      <c r="AK238" s="285"/>
      <c r="AL238" s="285"/>
      <c r="AM238" s="285"/>
      <c r="AN238" s="285"/>
      <c r="AO238" s="285"/>
      <c r="AP238" s="285"/>
      <c r="AQ238" s="285"/>
      <c r="AR238" s="285"/>
      <c r="AS238" s="285"/>
      <c r="AT238" s="285"/>
      <c r="AU238" s="285"/>
      <c r="AV238" s="285"/>
      <c r="AW238" s="285"/>
      <c r="AX238" s="285"/>
      <c r="AY238" s="285"/>
      <c r="AZ238" s="285"/>
      <c r="BA238" s="285"/>
      <c r="BB238" s="285"/>
      <c r="BC238" s="285"/>
      <c r="BD238" s="285"/>
      <c r="BE238" s="285"/>
      <c r="BF238" s="285"/>
      <c r="BG238" s="285"/>
      <c r="BH238" s="285"/>
      <c r="BI238" s="285"/>
      <c r="BJ238" s="285"/>
      <c r="BK238" s="285"/>
      <c r="BL238" s="285"/>
      <c r="BM238" s="285"/>
      <c r="BN238" s="285"/>
      <c r="BO238" s="285"/>
      <c r="BP238" s="285"/>
      <c r="BQ238" s="285"/>
      <c r="BR238" s="285"/>
      <c r="BS238" s="285"/>
      <c r="BT238" s="285"/>
      <c r="BU238" s="285"/>
      <c r="BV238" s="285"/>
    </row>
    <row r="239" spans="2:74" x14ac:dyDescent="0.2">
      <c r="B239" s="270"/>
      <c r="C239" s="263"/>
      <c r="D239" s="263"/>
      <c r="E239" s="322"/>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85"/>
      <c r="AE239" s="285"/>
      <c r="AF239" s="285"/>
      <c r="AG239" s="285"/>
      <c r="AH239" s="285"/>
      <c r="AI239" s="285"/>
      <c r="AJ239" s="285"/>
      <c r="AK239" s="285"/>
      <c r="AL239" s="285"/>
      <c r="AM239" s="285"/>
      <c r="AN239" s="285"/>
      <c r="AO239" s="285"/>
      <c r="AP239" s="285"/>
      <c r="AQ239" s="285"/>
      <c r="AR239" s="285"/>
      <c r="AS239" s="285"/>
      <c r="AT239" s="285"/>
      <c r="AU239" s="285"/>
      <c r="AV239" s="285"/>
      <c r="AW239" s="285"/>
      <c r="AX239" s="285"/>
      <c r="AY239" s="285"/>
      <c r="AZ239" s="285"/>
      <c r="BA239" s="285"/>
      <c r="BB239" s="285"/>
      <c r="BC239" s="285"/>
      <c r="BD239" s="285"/>
      <c r="BE239" s="285"/>
      <c r="BF239" s="285"/>
      <c r="BG239" s="285"/>
      <c r="BH239" s="285"/>
      <c r="BI239" s="285"/>
      <c r="BJ239" s="285"/>
      <c r="BK239" s="285"/>
      <c r="BL239" s="285"/>
      <c r="BM239" s="285"/>
      <c r="BN239" s="285"/>
      <c r="BO239" s="285"/>
      <c r="BP239" s="285"/>
      <c r="BQ239" s="285"/>
      <c r="BR239" s="285"/>
      <c r="BS239" s="285"/>
      <c r="BT239" s="285"/>
      <c r="BU239" s="285"/>
      <c r="BV239" s="285"/>
    </row>
    <row r="240" spans="2:74" x14ac:dyDescent="0.2">
      <c r="B240" s="270"/>
      <c r="C240" s="263"/>
      <c r="D240" s="263"/>
      <c r="E240" s="322"/>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285"/>
      <c r="AE240" s="285"/>
      <c r="AF240" s="285"/>
      <c r="AG240" s="285"/>
      <c r="AH240" s="285"/>
      <c r="AI240" s="285"/>
      <c r="AJ240" s="285"/>
      <c r="AK240" s="285"/>
      <c r="AL240" s="285"/>
      <c r="AM240" s="285"/>
      <c r="AN240" s="285"/>
      <c r="AO240" s="285"/>
      <c r="AP240" s="285"/>
      <c r="AQ240" s="285"/>
      <c r="AR240" s="285"/>
      <c r="AS240" s="285"/>
      <c r="AT240" s="285"/>
      <c r="AU240" s="285"/>
      <c r="AV240" s="285"/>
      <c r="AW240" s="285"/>
      <c r="AX240" s="285"/>
      <c r="AY240" s="285"/>
      <c r="AZ240" s="285"/>
      <c r="BA240" s="285"/>
      <c r="BB240" s="285"/>
      <c r="BC240" s="285"/>
      <c r="BD240" s="285"/>
      <c r="BE240" s="285"/>
      <c r="BF240" s="285"/>
      <c r="BG240" s="285"/>
      <c r="BH240" s="285"/>
      <c r="BI240" s="285"/>
      <c r="BJ240" s="285"/>
      <c r="BK240" s="285"/>
      <c r="BL240" s="285"/>
      <c r="BM240" s="285"/>
      <c r="BN240" s="285"/>
      <c r="BO240" s="285"/>
      <c r="BP240" s="285"/>
      <c r="BQ240" s="285"/>
      <c r="BR240" s="285"/>
      <c r="BS240" s="285"/>
      <c r="BT240" s="285"/>
      <c r="BU240" s="285"/>
      <c r="BV240" s="285"/>
    </row>
    <row r="241" spans="2:74" x14ac:dyDescent="0.2">
      <c r="B241" s="270"/>
      <c r="C241" s="263"/>
      <c r="D241" s="263"/>
      <c r="E241" s="322"/>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85"/>
      <c r="AE241" s="285"/>
      <c r="AF241" s="285"/>
      <c r="AG241" s="285"/>
      <c r="AH241" s="285"/>
      <c r="AI241" s="285"/>
      <c r="AJ241" s="285"/>
      <c r="AK241" s="285"/>
      <c r="AL241" s="285"/>
      <c r="AM241" s="285"/>
      <c r="AN241" s="285"/>
      <c r="AO241" s="285"/>
      <c r="AP241" s="285"/>
      <c r="AQ241" s="285"/>
      <c r="AR241" s="285"/>
      <c r="AS241" s="285"/>
      <c r="AT241" s="285"/>
      <c r="AU241" s="285"/>
      <c r="AV241" s="285"/>
      <c r="AW241" s="285"/>
      <c r="AX241" s="285"/>
      <c r="AY241" s="285"/>
      <c r="AZ241" s="285"/>
      <c r="BA241" s="285"/>
      <c r="BB241" s="285"/>
      <c r="BC241" s="285"/>
      <c r="BD241" s="285"/>
      <c r="BE241" s="285"/>
      <c r="BF241" s="285"/>
      <c r="BG241" s="285"/>
      <c r="BH241" s="285"/>
      <c r="BI241" s="285"/>
      <c r="BJ241" s="285"/>
      <c r="BK241" s="285"/>
      <c r="BL241" s="285"/>
      <c r="BM241" s="285"/>
      <c r="BN241" s="285"/>
      <c r="BO241" s="285"/>
      <c r="BP241" s="285"/>
      <c r="BQ241" s="285"/>
      <c r="BR241" s="285"/>
      <c r="BS241" s="285"/>
      <c r="BT241" s="285"/>
      <c r="BU241" s="285"/>
      <c r="BV241" s="285"/>
    </row>
    <row r="242" spans="2:74" x14ac:dyDescent="0.2">
      <c r="B242" s="270"/>
      <c r="C242" s="263"/>
      <c r="D242" s="263"/>
      <c r="E242" s="322"/>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285"/>
      <c r="AF242" s="285"/>
      <c r="AG242" s="285"/>
      <c r="AH242" s="285"/>
      <c r="AI242" s="285"/>
      <c r="AJ242" s="285"/>
      <c r="AK242" s="285"/>
      <c r="AL242" s="285"/>
      <c r="AM242" s="285"/>
      <c r="AN242" s="285"/>
      <c r="AO242" s="285"/>
      <c r="AP242" s="285"/>
      <c r="AQ242" s="285"/>
      <c r="AR242" s="285"/>
      <c r="AS242" s="285"/>
      <c r="AT242" s="285"/>
      <c r="AU242" s="285"/>
      <c r="AV242" s="285"/>
      <c r="AW242" s="285"/>
      <c r="AX242" s="285"/>
      <c r="AY242" s="285"/>
      <c r="AZ242" s="285"/>
      <c r="BA242" s="285"/>
      <c r="BB242" s="285"/>
      <c r="BC242" s="285"/>
      <c r="BD242" s="285"/>
      <c r="BE242" s="285"/>
      <c r="BF242" s="285"/>
      <c r="BG242" s="285"/>
      <c r="BH242" s="285"/>
      <c r="BI242" s="285"/>
      <c r="BJ242" s="285"/>
      <c r="BK242" s="285"/>
      <c r="BL242" s="285"/>
      <c r="BM242" s="285"/>
      <c r="BN242" s="285"/>
      <c r="BO242" s="285"/>
      <c r="BP242" s="285"/>
      <c r="BQ242" s="285"/>
      <c r="BR242" s="285"/>
      <c r="BS242" s="285"/>
      <c r="BT242" s="285"/>
      <c r="BU242" s="285"/>
      <c r="BV242" s="285"/>
    </row>
    <row r="243" spans="2:74" x14ac:dyDescent="0.2">
      <c r="B243" s="270"/>
      <c r="C243" s="263"/>
      <c r="D243" s="263"/>
      <c r="E243" s="322"/>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285"/>
      <c r="AF243" s="285"/>
      <c r="AG243" s="285"/>
      <c r="AH243" s="285"/>
      <c r="AI243" s="285"/>
      <c r="AJ243" s="285"/>
      <c r="AK243" s="285"/>
      <c r="AL243" s="285"/>
      <c r="AM243" s="285"/>
      <c r="AN243" s="285"/>
      <c r="AO243" s="285"/>
      <c r="AP243" s="285"/>
      <c r="AQ243" s="285"/>
      <c r="AR243" s="285"/>
      <c r="AS243" s="285"/>
      <c r="AT243" s="285"/>
      <c r="AU243" s="285"/>
      <c r="AV243" s="285"/>
      <c r="AW243" s="285"/>
      <c r="AX243" s="285"/>
      <c r="AY243" s="285"/>
      <c r="AZ243" s="285"/>
      <c r="BA243" s="285"/>
      <c r="BB243" s="285"/>
      <c r="BC243" s="285"/>
      <c r="BD243" s="285"/>
      <c r="BE243" s="285"/>
      <c r="BF243" s="285"/>
      <c r="BG243" s="285"/>
      <c r="BH243" s="285"/>
      <c r="BI243" s="285"/>
      <c r="BJ243" s="285"/>
      <c r="BK243" s="285"/>
      <c r="BL243" s="285"/>
      <c r="BM243" s="285"/>
      <c r="BN243" s="285"/>
      <c r="BO243" s="285"/>
      <c r="BP243" s="285"/>
      <c r="BQ243" s="285"/>
      <c r="BR243" s="285"/>
      <c r="BS243" s="285"/>
      <c r="BT243" s="285"/>
      <c r="BU243" s="285"/>
      <c r="BV243" s="285"/>
    </row>
    <row r="244" spans="2:74" x14ac:dyDescent="0.2">
      <c r="B244" s="270"/>
      <c r="C244" s="263"/>
      <c r="D244" s="263"/>
      <c r="E244" s="322"/>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285"/>
      <c r="AF244" s="285"/>
      <c r="AG244" s="285"/>
      <c r="AH244" s="285"/>
      <c r="AI244" s="285"/>
      <c r="AJ244" s="285"/>
      <c r="AK244" s="285"/>
      <c r="AL244" s="285"/>
      <c r="AM244" s="285"/>
      <c r="AN244" s="285"/>
      <c r="AO244" s="285"/>
      <c r="AP244" s="285"/>
      <c r="AQ244" s="285"/>
      <c r="AR244" s="285"/>
      <c r="AS244" s="285"/>
      <c r="AT244" s="285"/>
      <c r="AU244" s="285"/>
      <c r="AV244" s="285"/>
      <c r="AW244" s="285"/>
      <c r="AX244" s="285"/>
      <c r="AY244" s="285"/>
      <c r="AZ244" s="285"/>
      <c r="BA244" s="285"/>
      <c r="BB244" s="285"/>
      <c r="BC244" s="285"/>
      <c r="BD244" s="285"/>
      <c r="BE244" s="285"/>
      <c r="BF244" s="285"/>
      <c r="BG244" s="285"/>
      <c r="BH244" s="285"/>
      <c r="BI244" s="285"/>
      <c r="BJ244" s="285"/>
      <c r="BK244" s="285"/>
      <c r="BL244" s="285"/>
      <c r="BM244" s="285"/>
      <c r="BN244" s="285"/>
      <c r="BO244" s="285"/>
      <c r="BP244" s="285"/>
      <c r="BQ244" s="285"/>
      <c r="BR244" s="285"/>
      <c r="BS244" s="285"/>
      <c r="BT244" s="285"/>
      <c r="BU244" s="285"/>
      <c r="BV244" s="285"/>
    </row>
    <row r="245" spans="2:74" x14ac:dyDescent="0.2">
      <c r="B245" s="270"/>
      <c r="C245" s="263"/>
      <c r="D245" s="263"/>
      <c r="E245" s="322"/>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285"/>
      <c r="AE245" s="285"/>
      <c r="AF245" s="285"/>
      <c r="AG245" s="285"/>
      <c r="AH245" s="285"/>
      <c r="AI245" s="285"/>
      <c r="AJ245" s="285"/>
      <c r="AK245" s="285"/>
      <c r="AL245" s="285"/>
      <c r="AM245" s="285"/>
      <c r="AN245" s="285"/>
      <c r="AO245" s="285"/>
      <c r="AP245" s="285"/>
      <c r="AQ245" s="285"/>
      <c r="AR245" s="285"/>
      <c r="AS245" s="285"/>
      <c r="AT245" s="285"/>
      <c r="AU245" s="285"/>
      <c r="AV245" s="285"/>
      <c r="AW245" s="285"/>
      <c r="AX245" s="285"/>
      <c r="AY245" s="285"/>
      <c r="AZ245" s="285"/>
      <c r="BA245" s="285"/>
      <c r="BB245" s="285"/>
      <c r="BC245" s="285"/>
      <c r="BD245" s="285"/>
      <c r="BE245" s="285"/>
      <c r="BF245" s="285"/>
      <c r="BG245" s="285"/>
      <c r="BH245" s="285"/>
      <c r="BI245" s="285"/>
      <c r="BJ245" s="285"/>
      <c r="BK245" s="285"/>
      <c r="BL245" s="285"/>
      <c r="BM245" s="285"/>
      <c r="BN245" s="285"/>
      <c r="BO245" s="285"/>
      <c r="BP245" s="285"/>
      <c r="BQ245" s="285"/>
      <c r="BR245" s="285"/>
      <c r="BS245" s="285"/>
      <c r="BT245" s="285"/>
      <c r="BU245" s="285"/>
      <c r="BV245" s="285"/>
    </row>
    <row r="246" spans="2:74" x14ac:dyDescent="0.2">
      <c r="B246" s="270"/>
      <c r="C246" s="263"/>
      <c r="D246" s="263"/>
      <c r="E246" s="322"/>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285"/>
      <c r="AE246" s="285"/>
      <c r="AF246" s="285"/>
      <c r="AG246" s="285"/>
      <c r="AH246" s="285"/>
      <c r="AI246" s="285"/>
      <c r="AJ246" s="285"/>
      <c r="AK246" s="285"/>
      <c r="AL246" s="285"/>
      <c r="AM246" s="285"/>
      <c r="AN246" s="285"/>
      <c r="AO246" s="285"/>
      <c r="AP246" s="285"/>
      <c r="AQ246" s="285"/>
      <c r="AR246" s="285"/>
      <c r="AS246" s="285"/>
      <c r="AT246" s="285"/>
      <c r="AU246" s="285"/>
      <c r="AV246" s="285"/>
      <c r="AW246" s="285"/>
      <c r="AX246" s="285"/>
      <c r="AY246" s="285"/>
      <c r="AZ246" s="285"/>
      <c r="BA246" s="285"/>
      <c r="BB246" s="285"/>
      <c r="BC246" s="285"/>
      <c r="BD246" s="285"/>
      <c r="BE246" s="285"/>
      <c r="BF246" s="285"/>
      <c r="BG246" s="285"/>
      <c r="BH246" s="285"/>
      <c r="BI246" s="285"/>
      <c r="BJ246" s="285"/>
      <c r="BK246" s="285"/>
      <c r="BL246" s="285"/>
      <c r="BM246" s="285"/>
      <c r="BN246" s="285"/>
      <c r="BO246" s="285"/>
      <c r="BP246" s="285"/>
      <c r="BQ246" s="285"/>
      <c r="BR246" s="285"/>
      <c r="BS246" s="285"/>
      <c r="BT246" s="285"/>
      <c r="BU246" s="285"/>
      <c r="BV246" s="285"/>
    </row>
    <row r="247" spans="2:74" x14ac:dyDescent="0.2">
      <c r="B247" s="270"/>
      <c r="C247" s="263"/>
      <c r="D247" s="263"/>
      <c r="E247" s="322"/>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85"/>
      <c r="AE247" s="285"/>
      <c r="AF247" s="285"/>
      <c r="AG247" s="285"/>
      <c r="AH247" s="285"/>
      <c r="AI247" s="285"/>
      <c r="AJ247" s="285"/>
      <c r="AK247" s="285"/>
      <c r="AL247" s="285"/>
      <c r="AM247" s="285"/>
      <c r="AN247" s="285"/>
      <c r="AO247" s="285"/>
      <c r="AP247" s="285"/>
      <c r="AQ247" s="285"/>
      <c r="AR247" s="285"/>
      <c r="AS247" s="285"/>
      <c r="AT247" s="285"/>
      <c r="AU247" s="285"/>
      <c r="AV247" s="285"/>
      <c r="AW247" s="285"/>
      <c r="AX247" s="285"/>
      <c r="AY247" s="285"/>
      <c r="AZ247" s="285"/>
      <c r="BA247" s="285"/>
      <c r="BB247" s="285"/>
      <c r="BC247" s="285"/>
      <c r="BD247" s="285"/>
      <c r="BE247" s="285"/>
      <c r="BF247" s="285"/>
      <c r="BG247" s="285"/>
      <c r="BH247" s="285"/>
      <c r="BI247" s="285"/>
      <c r="BJ247" s="285"/>
      <c r="BK247" s="285"/>
      <c r="BL247" s="285"/>
      <c r="BM247" s="285"/>
      <c r="BN247" s="285"/>
      <c r="BO247" s="285"/>
      <c r="BP247" s="285"/>
      <c r="BQ247" s="285"/>
      <c r="BR247" s="285"/>
      <c r="BS247" s="285"/>
      <c r="BT247" s="285"/>
      <c r="BU247" s="285"/>
      <c r="BV247" s="285"/>
    </row>
    <row r="248" spans="2:74" x14ac:dyDescent="0.2">
      <c r="B248" s="270"/>
      <c r="C248" s="263"/>
      <c r="D248" s="263"/>
      <c r="E248" s="322"/>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285"/>
      <c r="AE248" s="285"/>
      <c r="AF248" s="285"/>
      <c r="AG248" s="285"/>
      <c r="AH248" s="285"/>
      <c r="AI248" s="285"/>
      <c r="AJ248" s="285"/>
      <c r="AK248" s="285"/>
      <c r="AL248" s="285"/>
      <c r="AM248" s="285"/>
      <c r="AN248" s="285"/>
      <c r="AO248" s="285"/>
      <c r="AP248" s="285"/>
      <c r="AQ248" s="285"/>
      <c r="AR248" s="285"/>
      <c r="AS248" s="285"/>
      <c r="AT248" s="285"/>
      <c r="AU248" s="285"/>
      <c r="AV248" s="285"/>
      <c r="AW248" s="285"/>
      <c r="AX248" s="285"/>
      <c r="AY248" s="285"/>
      <c r="AZ248" s="285"/>
      <c r="BA248" s="285"/>
      <c r="BB248" s="285"/>
      <c r="BC248" s="285"/>
      <c r="BD248" s="285"/>
      <c r="BE248" s="285"/>
      <c r="BF248" s="285"/>
      <c r="BG248" s="285"/>
      <c r="BH248" s="285"/>
      <c r="BI248" s="285"/>
      <c r="BJ248" s="285"/>
      <c r="BK248" s="285"/>
      <c r="BL248" s="285"/>
      <c r="BM248" s="285"/>
      <c r="BN248" s="285"/>
      <c r="BO248" s="285"/>
      <c r="BP248" s="285"/>
      <c r="BQ248" s="285"/>
      <c r="BR248" s="285"/>
      <c r="BS248" s="285"/>
      <c r="BT248" s="285"/>
      <c r="BU248" s="285"/>
      <c r="BV248" s="285"/>
    </row>
    <row r="249" spans="2:74" x14ac:dyDescent="0.2">
      <c r="B249" s="270"/>
      <c r="C249" s="263"/>
      <c r="D249" s="263"/>
      <c r="E249" s="322"/>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285"/>
      <c r="AF249" s="285"/>
      <c r="AG249" s="285"/>
      <c r="AH249" s="285"/>
      <c r="AI249" s="285"/>
      <c r="AJ249" s="285"/>
      <c r="AK249" s="285"/>
      <c r="AL249" s="285"/>
      <c r="AM249" s="285"/>
      <c r="AN249" s="285"/>
      <c r="AO249" s="285"/>
      <c r="AP249" s="285"/>
      <c r="AQ249" s="285"/>
      <c r="AR249" s="285"/>
      <c r="AS249" s="285"/>
      <c r="AT249" s="285"/>
      <c r="AU249" s="285"/>
      <c r="AV249" s="285"/>
      <c r="AW249" s="285"/>
      <c r="AX249" s="285"/>
      <c r="AY249" s="285"/>
      <c r="AZ249" s="285"/>
      <c r="BA249" s="285"/>
      <c r="BB249" s="285"/>
      <c r="BC249" s="285"/>
      <c r="BD249" s="285"/>
      <c r="BE249" s="285"/>
      <c r="BF249" s="285"/>
      <c r="BG249" s="285"/>
      <c r="BH249" s="285"/>
      <c r="BI249" s="285"/>
      <c r="BJ249" s="285"/>
      <c r="BK249" s="285"/>
      <c r="BL249" s="285"/>
      <c r="BM249" s="285"/>
      <c r="BN249" s="285"/>
      <c r="BO249" s="285"/>
      <c r="BP249" s="285"/>
      <c r="BQ249" s="285"/>
      <c r="BR249" s="285"/>
      <c r="BS249" s="285"/>
      <c r="BT249" s="285"/>
      <c r="BU249" s="285"/>
      <c r="BV249" s="285"/>
    </row>
    <row r="250" spans="2:74" x14ac:dyDescent="0.2">
      <c r="B250" s="270"/>
      <c r="C250" s="263"/>
      <c r="D250" s="263"/>
      <c r="E250" s="322"/>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285"/>
      <c r="AF250" s="285"/>
      <c r="AG250" s="285"/>
      <c r="AH250" s="285"/>
      <c r="AI250" s="285"/>
      <c r="AJ250" s="285"/>
      <c r="AK250" s="285"/>
      <c r="AL250" s="285"/>
      <c r="AM250" s="285"/>
      <c r="AN250" s="285"/>
      <c r="AO250" s="285"/>
      <c r="AP250" s="285"/>
      <c r="AQ250" s="285"/>
      <c r="AR250" s="285"/>
      <c r="AS250" s="285"/>
      <c r="AT250" s="285"/>
      <c r="AU250" s="285"/>
      <c r="AV250" s="285"/>
      <c r="AW250" s="285"/>
      <c r="AX250" s="285"/>
      <c r="AY250" s="285"/>
      <c r="AZ250" s="285"/>
      <c r="BA250" s="285"/>
      <c r="BB250" s="285"/>
      <c r="BC250" s="285"/>
      <c r="BD250" s="285"/>
      <c r="BE250" s="285"/>
      <c r="BF250" s="285"/>
      <c r="BG250" s="285"/>
      <c r="BH250" s="285"/>
      <c r="BI250" s="285"/>
      <c r="BJ250" s="285"/>
      <c r="BK250" s="285"/>
      <c r="BL250" s="285"/>
      <c r="BM250" s="285"/>
      <c r="BN250" s="285"/>
      <c r="BO250" s="285"/>
      <c r="BP250" s="285"/>
      <c r="BQ250" s="285"/>
      <c r="BR250" s="285"/>
      <c r="BS250" s="285"/>
      <c r="BT250" s="285"/>
      <c r="BU250" s="285"/>
      <c r="BV250" s="285"/>
    </row>
    <row r="251" spans="2:74" x14ac:dyDescent="0.2">
      <c r="B251" s="270"/>
      <c r="C251" s="263"/>
      <c r="D251" s="263"/>
      <c r="E251" s="322"/>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c r="AE251" s="285"/>
      <c r="AF251" s="285"/>
      <c r="AG251" s="285"/>
      <c r="AH251" s="285"/>
      <c r="AI251" s="285"/>
      <c r="AJ251" s="285"/>
      <c r="AK251" s="285"/>
      <c r="AL251" s="285"/>
      <c r="AM251" s="285"/>
      <c r="AN251" s="285"/>
      <c r="AO251" s="285"/>
      <c r="AP251" s="285"/>
      <c r="AQ251" s="285"/>
      <c r="AR251" s="285"/>
      <c r="AS251" s="285"/>
      <c r="AT251" s="285"/>
      <c r="AU251" s="285"/>
      <c r="AV251" s="285"/>
      <c r="AW251" s="285"/>
      <c r="AX251" s="285"/>
      <c r="AY251" s="285"/>
      <c r="AZ251" s="285"/>
      <c r="BA251" s="285"/>
      <c r="BB251" s="285"/>
      <c r="BC251" s="285"/>
      <c r="BD251" s="285"/>
      <c r="BE251" s="285"/>
      <c r="BF251" s="285"/>
      <c r="BG251" s="285"/>
      <c r="BH251" s="285"/>
      <c r="BI251" s="285"/>
      <c r="BJ251" s="285"/>
      <c r="BK251" s="285"/>
      <c r="BL251" s="285"/>
      <c r="BM251" s="285"/>
      <c r="BN251" s="285"/>
      <c r="BO251" s="285"/>
      <c r="BP251" s="285"/>
      <c r="BQ251" s="285"/>
      <c r="BR251" s="285"/>
      <c r="BS251" s="285"/>
      <c r="BT251" s="285"/>
      <c r="BU251" s="285"/>
      <c r="BV251" s="285"/>
    </row>
    <row r="252" spans="2:74" x14ac:dyDescent="0.2">
      <c r="B252" s="270"/>
      <c r="C252" s="263"/>
      <c r="D252" s="263"/>
      <c r="E252" s="322"/>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285"/>
      <c r="AF252" s="285"/>
      <c r="AG252" s="285"/>
      <c r="AH252" s="285"/>
      <c r="AI252" s="285"/>
      <c r="AJ252" s="285"/>
      <c r="AK252" s="285"/>
      <c r="AL252" s="285"/>
      <c r="AM252" s="285"/>
      <c r="AN252" s="285"/>
      <c r="AO252" s="285"/>
      <c r="AP252" s="285"/>
      <c r="AQ252" s="285"/>
      <c r="AR252" s="285"/>
      <c r="AS252" s="285"/>
      <c r="AT252" s="285"/>
      <c r="AU252" s="285"/>
      <c r="AV252" s="285"/>
      <c r="AW252" s="285"/>
      <c r="AX252" s="285"/>
      <c r="AY252" s="285"/>
      <c r="AZ252" s="285"/>
      <c r="BA252" s="285"/>
      <c r="BB252" s="285"/>
      <c r="BC252" s="285"/>
      <c r="BD252" s="285"/>
      <c r="BE252" s="285"/>
      <c r="BF252" s="285"/>
      <c r="BG252" s="285"/>
      <c r="BH252" s="285"/>
      <c r="BI252" s="285"/>
      <c r="BJ252" s="285"/>
      <c r="BK252" s="285"/>
      <c r="BL252" s="285"/>
      <c r="BM252" s="285"/>
      <c r="BN252" s="285"/>
      <c r="BO252" s="285"/>
      <c r="BP252" s="285"/>
      <c r="BQ252" s="285"/>
      <c r="BR252" s="285"/>
      <c r="BS252" s="285"/>
      <c r="BT252" s="285"/>
      <c r="BU252" s="285"/>
      <c r="BV252" s="285"/>
    </row>
    <row r="253" spans="2:74" x14ac:dyDescent="0.2">
      <c r="B253" s="270"/>
      <c r="C253" s="263"/>
      <c r="D253" s="263"/>
      <c r="E253" s="322"/>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285"/>
      <c r="AF253" s="285"/>
      <c r="AG253" s="285"/>
      <c r="AH253" s="285"/>
      <c r="AI253" s="285"/>
      <c r="AJ253" s="285"/>
      <c r="AK253" s="285"/>
      <c r="AL253" s="285"/>
      <c r="AM253" s="285"/>
      <c r="AN253" s="285"/>
      <c r="AO253" s="285"/>
      <c r="AP253" s="285"/>
      <c r="AQ253" s="285"/>
      <c r="AR253" s="285"/>
      <c r="AS253" s="285"/>
      <c r="AT253" s="285"/>
      <c r="AU253" s="285"/>
      <c r="AV253" s="285"/>
      <c r="AW253" s="285"/>
      <c r="AX253" s="285"/>
      <c r="AY253" s="285"/>
      <c r="AZ253" s="285"/>
      <c r="BA253" s="285"/>
      <c r="BB253" s="285"/>
      <c r="BC253" s="285"/>
      <c r="BD253" s="285"/>
      <c r="BE253" s="285"/>
      <c r="BF253" s="285"/>
      <c r="BG253" s="285"/>
      <c r="BH253" s="285"/>
      <c r="BI253" s="285"/>
      <c r="BJ253" s="285"/>
      <c r="BK253" s="285"/>
      <c r="BL253" s="285"/>
      <c r="BM253" s="285"/>
      <c r="BN253" s="285"/>
      <c r="BO253" s="285"/>
      <c r="BP253" s="285"/>
      <c r="BQ253" s="285"/>
      <c r="BR253" s="285"/>
      <c r="BS253" s="285"/>
      <c r="BT253" s="285"/>
      <c r="BU253" s="285"/>
      <c r="BV253" s="285"/>
    </row>
    <row r="254" spans="2:74" x14ac:dyDescent="0.2">
      <c r="B254" s="270"/>
      <c r="C254" s="263"/>
      <c r="D254" s="263"/>
      <c r="E254" s="322"/>
      <c r="F254" s="285"/>
      <c r="G254" s="285"/>
      <c r="H254" s="285"/>
      <c r="I254" s="285"/>
      <c r="J254" s="285"/>
      <c r="K254" s="285"/>
      <c r="L254" s="285"/>
      <c r="M254" s="285"/>
      <c r="N254" s="285"/>
      <c r="O254" s="285"/>
      <c r="P254" s="285"/>
      <c r="Q254" s="285"/>
      <c r="R254" s="285"/>
      <c r="S254" s="285"/>
      <c r="T254" s="285"/>
      <c r="U254" s="285"/>
      <c r="V254" s="285"/>
      <c r="W254" s="285"/>
      <c r="X254" s="285"/>
      <c r="Y254" s="285"/>
      <c r="Z254" s="285"/>
      <c r="AA254" s="285"/>
      <c r="AB254" s="285"/>
      <c r="AC254" s="285"/>
      <c r="AD254" s="285"/>
      <c r="AE254" s="285"/>
      <c r="AF254" s="285"/>
      <c r="AG254" s="285"/>
      <c r="AH254" s="285"/>
      <c r="AI254" s="285"/>
      <c r="AJ254" s="285"/>
      <c r="AK254" s="285"/>
      <c r="AL254" s="285"/>
      <c r="AM254" s="285"/>
      <c r="AN254" s="285"/>
      <c r="AO254" s="285"/>
      <c r="AP254" s="285"/>
      <c r="AQ254" s="285"/>
      <c r="AR254" s="285"/>
      <c r="AS254" s="285"/>
      <c r="AT254" s="285"/>
      <c r="AU254" s="285"/>
      <c r="AV254" s="285"/>
      <c r="AW254" s="285"/>
      <c r="AX254" s="285"/>
      <c r="AY254" s="285"/>
      <c r="AZ254" s="285"/>
      <c r="BA254" s="285"/>
      <c r="BB254" s="285"/>
      <c r="BC254" s="285"/>
      <c r="BD254" s="285"/>
      <c r="BE254" s="285"/>
      <c r="BF254" s="285"/>
      <c r="BG254" s="285"/>
      <c r="BH254" s="285"/>
      <c r="BI254" s="285"/>
      <c r="BJ254" s="285"/>
      <c r="BK254" s="285"/>
      <c r="BL254" s="285"/>
      <c r="BM254" s="285"/>
      <c r="BN254" s="285"/>
      <c r="BO254" s="285"/>
      <c r="BP254" s="285"/>
      <c r="BQ254" s="285"/>
      <c r="BR254" s="285"/>
      <c r="BS254" s="285"/>
      <c r="BT254" s="285"/>
      <c r="BU254" s="285"/>
      <c r="BV254" s="285"/>
    </row>
    <row r="255" spans="2:74" x14ac:dyDescent="0.2">
      <c r="B255" s="270"/>
      <c r="C255" s="263"/>
      <c r="D255" s="263"/>
      <c r="E255" s="322"/>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c r="AF255" s="285"/>
      <c r="AG255" s="285"/>
      <c r="AH255" s="285"/>
      <c r="AI255" s="285"/>
      <c r="AJ255" s="285"/>
      <c r="AK255" s="285"/>
      <c r="AL255" s="285"/>
      <c r="AM255" s="285"/>
      <c r="AN255" s="285"/>
      <c r="AO255" s="285"/>
      <c r="AP255" s="285"/>
      <c r="AQ255" s="285"/>
      <c r="AR255" s="285"/>
      <c r="AS255" s="285"/>
      <c r="AT255" s="285"/>
      <c r="AU255" s="285"/>
      <c r="AV255" s="285"/>
      <c r="AW255" s="285"/>
      <c r="AX255" s="285"/>
      <c r="AY255" s="285"/>
      <c r="AZ255" s="285"/>
      <c r="BA255" s="285"/>
      <c r="BB255" s="285"/>
      <c r="BC255" s="285"/>
      <c r="BD255" s="285"/>
      <c r="BE255" s="285"/>
      <c r="BF255" s="285"/>
      <c r="BG255" s="285"/>
      <c r="BH255" s="285"/>
      <c r="BI255" s="285"/>
      <c r="BJ255" s="285"/>
      <c r="BK255" s="285"/>
      <c r="BL255" s="285"/>
      <c r="BM255" s="285"/>
      <c r="BN255" s="285"/>
      <c r="BO255" s="285"/>
      <c r="BP255" s="285"/>
      <c r="BQ255" s="285"/>
      <c r="BR255" s="285"/>
      <c r="BS255" s="285"/>
      <c r="BT255" s="285"/>
      <c r="BU255" s="285"/>
      <c r="BV255" s="285"/>
    </row>
    <row r="256" spans="2:74" x14ac:dyDescent="0.2">
      <c r="B256" s="270"/>
      <c r="C256" s="263"/>
      <c r="D256" s="263"/>
      <c r="E256" s="322"/>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c r="AF256" s="285"/>
      <c r="AG256" s="285"/>
      <c r="AH256" s="285"/>
      <c r="AI256" s="285"/>
      <c r="AJ256" s="285"/>
      <c r="AK256" s="285"/>
      <c r="AL256" s="285"/>
      <c r="AM256" s="285"/>
      <c r="AN256" s="285"/>
      <c r="AO256" s="285"/>
      <c r="AP256" s="285"/>
      <c r="AQ256" s="285"/>
      <c r="AR256" s="285"/>
      <c r="AS256" s="285"/>
      <c r="AT256" s="285"/>
      <c r="AU256" s="285"/>
      <c r="AV256" s="285"/>
      <c r="AW256" s="285"/>
      <c r="AX256" s="285"/>
      <c r="AY256" s="285"/>
      <c r="AZ256" s="285"/>
      <c r="BA256" s="285"/>
      <c r="BB256" s="285"/>
      <c r="BC256" s="285"/>
      <c r="BD256" s="285"/>
      <c r="BE256" s="285"/>
      <c r="BF256" s="285"/>
      <c r="BG256" s="285"/>
      <c r="BH256" s="285"/>
      <c r="BI256" s="285"/>
      <c r="BJ256" s="285"/>
      <c r="BK256" s="285"/>
      <c r="BL256" s="285"/>
      <c r="BM256" s="285"/>
      <c r="BN256" s="285"/>
      <c r="BO256" s="285"/>
      <c r="BP256" s="285"/>
      <c r="BQ256" s="285"/>
      <c r="BR256" s="285"/>
      <c r="BS256" s="285"/>
      <c r="BT256" s="285"/>
      <c r="BU256" s="285"/>
      <c r="BV256" s="285"/>
    </row>
    <row r="257" spans="2:74" x14ac:dyDescent="0.2">
      <c r="B257" s="270"/>
      <c r="C257" s="263"/>
      <c r="D257" s="263"/>
      <c r="E257" s="322"/>
      <c r="F257" s="285"/>
      <c r="G257" s="285"/>
      <c r="H257" s="285"/>
      <c r="I257" s="285"/>
      <c r="J257" s="285"/>
      <c r="K257" s="285"/>
      <c r="L257" s="285"/>
      <c r="M257" s="285"/>
      <c r="N257" s="285"/>
      <c r="O257" s="285"/>
      <c r="P257" s="285"/>
      <c r="Q257" s="285"/>
      <c r="R257" s="285"/>
      <c r="S257" s="285"/>
      <c r="T257" s="285"/>
      <c r="U257" s="285"/>
      <c r="V257" s="285"/>
      <c r="W257" s="285"/>
      <c r="X257" s="285"/>
      <c r="Y257" s="285"/>
      <c r="Z257" s="285"/>
      <c r="AA257" s="285"/>
      <c r="AB257" s="285"/>
      <c r="AC257" s="285"/>
      <c r="AD257" s="285"/>
      <c r="AE257" s="285"/>
      <c r="AF257" s="285"/>
      <c r="AG257" s="285"/>
      <c r="AH257" s="285"/>
      <c r="AI257" s="285"/>
      <c r="AJ257" s="285"/>
      <c r="AK257" s="285"/>
      <c r="AL257" s="285"/>
      <c r="AM257" s="285"/>
      <c r="AN257" s="285"/>
      <c r="AO257" s="285"/>
      <c r="AP257" s="285"/>
      <c r="AQ257" s="285"/>
      <c r="AR257" s="285"/>
      <c r="AS257" s="285"/>
      <c r="AT257" s="285"/>
      <c r="AU257" s="285"/>
      <c r="AV257" s="285"/>
      <c r="AW257" s="285"/>
      <c r="AX257" s="285"/>
      <c r="AY257" s="285"/>
      <c r="AZ257" s="285"/>
      <c r="BA257" s="285"/>
      <c r="BB257" s="285"/>
      <c r="BC257" s="285"/>
      <c r="BD257" s="285"/>
      <c r="BE257" s="285"/>
      <c r="BF257" s="285"/>
      <c r="BG257" s="285"/>
      <c r="BH257" s="285"/>
      <c r="BI257" s="285"/>
      <c r="BJ257" s="285"/>
      <c r="BK257" s="285"/>
      <c r="BL257" s="285"/>
      <c r="BM257" s="285"/>
      <c r="BN257" s="285"/>
      <c r="BO257" s="285"/>
      <c r="BP257" s="285"/>
      <c r="BQ257" s="285"/>
      <c r="BR257" s="285"/>
      <c r="BS257" s="285"/>
      <c r="BT257" s="285"/>
      <c r="BU257" s="285"/>
      <c r="BV257" s="285"/>
    </row>
    <row r="258" spans="2:74" x14ac:dyDescent="0.2">
      <c r="B258" s="270"/>
      <c r="C258" s="263"/>
      <c r="D258" s="263"/>
      <c r="E258" s="322"/>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F258" s="285"/>
      <c r="AG258" s="285"/>
      <c r="AH258" s="285"/>
      <c r="AI258" s="285"/>
      <c r="AJ258" s="285"/>
      <c r="AK258" s="285"/>
      <c r="AL258" s="285"/>
      <c r="AM258" s="285"/>
      <c r="AN258" s="285"/>
      <c r="AO258" s="285"/>
      <c r="AP258" s="285"/>
      <c r="AQ258" s="285"/>
      <c r="AR258" s="285"/>
      <c r="AS258" s="285"/>
      <c r="AT258" s="285"/>
      <c r="AU258" s="285"/>
      <c r="AV258" s="285"/>
      <c r="AW258" s="285"/>
      <c r="AX258" s="285"/>
      <c r="AY258" s="285"/>
      <c r="AZ258" s="285"/>
      <c r="BA258" s="285"/>
      <c r="BB258" s="285"/>
      <c r="BC258" s="285"/>
      <c r="BD258" s="285"/>
      <c r="BE258" s="285"/>
      <c r="BF258" s="285"/>
      <c r="BG258" s="285"/>
      <c r="BH258" s="285"/>
      <c r="BI258" s="285"/>
      <c r="BJ258" s="285"/>
      <c r="BK258" s="285"/>
      <c r="BL258" s="285"/>
      <c r="BM258" s="285"/>
      <c r="BN258" s="285"/>
      <c r="BO258" s="285"/>
      <c r="BP258" s="285"/>
      <c r="BQ258" s="285"/>
      <c r="BR258" s="285"/>
      <c r="BS258" s="285"/>
      <c r="BT258" s="285"/>
      <c r="BU258" s="285"/>
      <c r="BV258" s="285"/>
    </row>
    <row r="259" spans="2:74" x14ac:dyDescent="0.2">
      <c r="B259" s="270"/>
      <c r="C259" s="270"/>
      <c r="D259" s="270"/>
      <c r="E259" s="322"/>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285"/>
      <c r="AF259" s="285"/>
      <c r="AG259" s="285"/>
      <c r="AH259" s="285"/>
      <c r="AI259" s="285"/>
      <c r="AJ259" s="285"/>
      <c r="AK259" s="285"/>
      <c r="AL259" s="285"/>
      <c r="AM259" s="285"/>
      <c r="AN259" s="285"/>
      <c r="AO259" s="285"/>
      <c r="AP259" s="285"/>
      <c r="AQ259" s="285"/>
      <c r="AR259" s="285"/>
      <c r="AS259" s="285"/>
      <c r="AT259" s="285"/>
      <c r="AU259" s="285"/>
      <c r="AV259" s="285"/>
      <c r="AW259" s="285"/>
      <c r="AX259" s="285"/>
      <c r="AY259" s="285"/>
      <c r="AZ259" s="285"/>
      <c r="BA259" s="285"/>
      <c r="BB259" s="285"/>
      <c r="BC259" s="285"/>
      <c r="BD259" s="285"/>
      <c r="BE259" s="285"/>
      <c r="BF259" s="285"/>
      <c r="BG259" s="285"/>
      <c r="BH259" s="285"/>
      <c r="BI259" s="285"/>
      <c r="BJ259" s="285"/>
      <c r="BK259" s="285"/>
      <c r="BL259" s="285"/>
      <c r="BM259" s="285"/>
      <c r="BN259" s="285"/>
      <c r="BO259" s="285"/>
      <c r="BP259" s="285"/>
      <c r="BQ259" s="285"/>
      <c r="BR259" s="285"/>
      <c r="BS259" s="285"/>
      <c r="BT259" s="285"/>
      <c r="BU259" s="285"/>
      <c r="BV259" s="285"/>
    </row>
    <row r="260" spans="2:74" x14ac:dyDescent="0.2">
      <c r="B260" s="270"/>
      <c r="C260" s="263"/>
      <c r="D260" s="263"/>
      <c r="E260" s="322"/>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85"/>
      <c r="AE260" s="285"/>
      <c r="AF260" s="285"/>
      <c r="AG260" s="285"/>
      <c r="AH260" s="285"/>
      <c r="AI260" s="285"/>
      <c r="AJ260" s="285"/>
      <c r="AK260" s="285"/>
      <c r="AL260" s="285"/>
      <c r="AM260" s="285"/>
      <c r="AN260" s="285"/>
      <c r="AO260" s="285"/>
      <c r="AP260" s="285"/>
      <c r="AQ260" s="285"/>
      <c r="AR260" s="285"/>
      <c r="AS260" s="285"/>
      <c r="AT260" s="285"/>
      <c r="AU260" s="285"/>
      <c r="AV260" s="285"/>
      <c r="AW260" s="285"/>
      <c r="AX260" s="285"/>
      <c r="AY260" s="285"/>
      <c r="AZ260" s="285"/>
      <c r="BA260" s="285"/>
      <c r="BB260" s="285"/>
      <c r="BC260" s="285"/>
      <c r="BD260" s="285"/>
      <c r="BE260" s="285"/>
      <c r="BF260" s="285"/>
      <c r="BG260" s="285"/>
      <c r="BH260" s="285"/>
      <c r="BI260" s="285"/>
      <c r="BJ260" s="285"/>
      <c r="BK260" s="285"/>
      <c r="BL260" s="285"/>
      <c r="BM260" s="285"/>
      <c r="BN260" s="285"/>
      <c r="BO260" s="285"/>
      <c r="BP260" s="285"/>
      <c r="BQ260" s="285"/>
      <c r="BR260" s="285"/>
      <c r="BS260" s="285"/>
      <c r="BT260" s="285"/>
      <c r="BU260" s="285"/>
      <c r="BV260" s="285"/>
    </row>
    <row r="261" spans="2:74" x14ac:dyDescent="0.2">
      <c r="C261" s="263"/>
      <c r="D261" s="263"/>
      <c r="E261" s="322"/>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85"/>
      <c r="AE261" s="285"/>
      <c r="AF261" s="285"/>
      <c r="AG261" s="285"/>
      <c r="AH261" s="285"/>
      <c r="AI261" s="285"/>
      <c r="AJ261" s="285"/>
      <c r="AK261" s="285"/>
      <c r="AL261" s="285"/>
      <c r="AM261" s="285"/>
      <c r="AN261" s="285"/>
      <c r="AO261" s="285"/>
      <c r="AP261" s="285"/>
      <c r="AQ261" s="285"/>
      <c r="AR261" s="285"/>
      <c r="AS261" s="285"/>
      <c r="AT261" s="285"/>
      <c r="AU261" s="285"/>
      <c r="AV261" s="285"/>
      <c r="AW261" s="285"/>
      <c r="AX261" s="285"/>
      <c r="AY261" s="285"/>
      <c r="AZ261" s="285"/>
      <c r="BA261" s="285"/>
      <c r="BB261" s="285"/>
      <c r="BC261" s="285"/>
      <c r="BD261" s="285"/>
      <c r="BE261" s="285"/>
      <c r="BF261" s="285"/>
      <c r="BG261" s="285"/>
      <c r="BH261" s="285"/>
      <c r="BI261" s="285"/>
      <c r="BJ261" s="285"/>
      <c r="BK261" s="285"/>
      <c r="BL261" s="285"/>
      <c r="BM261" s="285"/>
      <c r="BN261" s="285"/>
      <c r="BO261" s="285"/>
      <c r="BP261" s="285"/>
      <c r="BQ261" s="285"/>
      <c r="BR261" s="285"/>
      <c r="BS261" s="285"/>
      <c r="BT261" s="285"/>
      <c r="BU261" s="285"/>
      <c r="BV261" s="285"/>
    </row>
    <row r="262" spans="2:74" x14ac:dyDescent="0.2">
      <c r="B262" s="270"/>
      <c r="C262" s="263"/>
      <c r="D262" s="263"/>
      <c r="E262" s="322"/>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c r="AF262" s="285"/>
      <c r="AG262" s="285"/>
      <c r="AH262" s="285"/>
      <c r="AI262" s="285"/>
      <c r="AJ262" s="285"/>
      <c r="AK262" s="285"/>
      <c r="AL262" s="285"/>
      <c r="AM262" s="285"/>
      <c r="AN262" s="285"/>
      <c r="AO262" s="285"/>
      <c r="AP262" s="285"/>
      <c r="AQ262" s="285"/>
      <c r="AR262" s="285"/>
      <c r="AS262" s="285"/>
      <c r="AT262" s="285"/>
      <c r="AU262" s="285"/>
      <c r="AV262" s="285"/>
      <c r="AW262" s="285"/>
      <c r="AX262" s="285"/>
      <c r="AY262" s="285"/>
      <c r="AZ262" s="285"/>
      <c r="BA262" s="285"/>
      <c r="BB262" s="285"/>
      <c r="BC262" s="285"/>
      <c r="BD262" s="285"/>
      <c r="BE262" s="285"/>
      <c r="BF262" s="285"/>
      <c r="BG262" s="285"/>
      <c r="BH262" s="285"/>
      <c r="BI262" s="285"/>
      <c r="BJ262" s="285"/>
      <c r="BK262" s="285"/>
      <c r="BL262" s="285"/>
      <c r="BM262" s="285"/>
      <c r="BN262" s="285"/>
      <c r="BO262" s="285"/>
      <c r="BP262" s="285"/>
      <c r="BQ262" s="285"/>
      <c r="BR262" s="285"/>
      <c r="BS262" s="285"/>
      <c r="BT262" s="285"/>
      <c r="BU262" s="285"/>
      <c r="BV262" s="285"/>
    </row>
    <row r="263" spans="2:74" x14ac:dyDescent="0.2">
      <c r="B263" s="270"/>
      <c r="C263" s="263"/>
      <c r="D263" s="263"/>
      <c r="E263" s="322"/>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85"/>
      <c r="AE263" s="285"/>
      <c r="AF263" s="285"/>
      <c r="AG263" s="285"/>
      <c r="AH263" s="285"/>
      <c r="AI263" s="285"/>
      <c r="AJ263" s="285"/>
      <c r="AK263" s="285"/>
      <c r="AL263" s="285"/>
      <c r="AM263" s="285"/>
      <c r="AN263" s="285"/>
      <c r="AO263" s="285"/>
      <c r="AP263" s="285"/>
      <c r="AQ263" s="285"/>
      <c r="AR263" s="285"/>
      <c r="AS263" s="285"/>
      <c r="AT263" s="285"/>
      <c r="AU263" s="285"/>
      <c r="AV263" s="285"/>
      <c r="AW263" s="285"/>
      <c r="AX263" s="285"/>
      <c r="AY263" s="285"/>
      <c r="AZ263" s="285"/>
      <c r="BA263" s="285"/>
      <c r="BB263" s="285"/>
      <c r="BC263" s="285"/>
      <c r="BD263" s="285"/>
      <c r="BE263" s="285"/>
      <c r="BF263" s="285"/>
      <c r="BG263" s="285"/>
      <c r="BH263" s="285"/>
      <c r="BI263" s="285"/>
      <c r="BJ263" s="285"/>
      <c r="BK263" s="285"/>
      <c r="BL263" s="285"/>
      <c r="BM263" s="285"/>
      <c r="BN263" s="285"/>
      <c r="BO263" s="285"/>
      <c r="BP263" s="285"/>
      <c r="BQ263" s="285"/>
      <c r="BR263" s="285"/>
      <c r="BS263" s="285"/>
      <c r="BT263" s="285"/>
      <c r="BU263" s="285"/>
      <c r="BV263" s="285"/>
    </row>
    <row r="264" spans="2:74" x14ac:dyDescent="0.2">
      <c r="B264" s="270"/>
      <c r="C264" s="263"/>
      <c r="D264" s="263"/>
      <c r="E264" s="322"/>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c r="AJ264" s="285"/>
      <c r="AK264" s="285"/>
      <c r="AL264" s="285"/>
      <c r="AM264" s="285"/>
      <c r="AN264" s="285"/>
      <c r="AO264" s="285"/>
      <c r="AP264" s="285"/>
      <c r="AQ264" s="285"/>
      <c r="AR264" s="285"/>
      <c r="AS264" s="285"/>
      <c r="AT264" s="285"/>
      <c r="AU264" s="285"/>
      <c r="AV264" s="285"/>
      <c r="AW264" s="285"/>
      <c r="AX264" s="285"/>
      <c r="AY264" s="285"/>
      <c r="AZ264" s="285"/>
      <c r="BA264" s="285"/>
      <c r="BB264" s="285"/>
      <c r="BC264" s="285"/>
      <c r="BD264" s="285"/>
      <c r="BE264" s="285"/>
      <c r="BF264" s="285"/>
      <c r="BG264" s="285"/>
      <c r="BH264" s="285"/>
      <c r="BI264" s="285"/>
      <c r="BJ264" s="285"/>
      <c r="BK264" s="285"/>
      <c r="BL264" s="285"/>
      <c r="BM264" s="285"/>
      <c r="BN264" s="285"/>
      <c r="BO264" s="285"/>
      <c r="BP264" s="285"/>
      <c r="BQ264" s="285"/>
      <c r="BR264" s="285"/>
      <c r="BS264" s="285"/>
      <c r="BT264" s="285"/>
      <c r="BU264" s="285"/>
      <c r="BV264" s="285"/>
    </row>
    <row r="265" spans="2:74" x14ac:dyDescent="0.2">
      <c r="B265" s="270"/>
      <c r="C265" s="263"/>
      <c r="D265" s="263"/>
      <c r="E265" s="322"/>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85"/>
      <c r="AE265" s="285"/>
      <c r="AF265" s="285"/>
      <c r="AG265" s="285"/>
      <c r="AH265" s="285"/>
      <c r="AI265" s="285"/>
      <c r="AJ265" s="285"/>
      <c r="AK265" s="285"/>
      <c r="AL265" s="285"/>
      <c r="AM265" s="285"/>
      <c r="AN265" s="285"/>
      <c r="AO265" s="285"/>
      <c r="AP265" s="285"/>
      <c r="AQ265" s="285"/>
      <c r="AR265" s="285"/>
      <c r="AS265" s="285"/>
      <c r="AT265" s="285"/>
      <c r="AU265" s="285"/>
      <c r="AV265" s="285"/>
      <c r="AW265" s="285"/>
      <c r="AX265" s="285"/>
      <c r="AY265" s="285"/>
      <c r="AZ265" s="285"/>
      <c r="BA265" s="285"/>
      <c r="BB265" s="285"/>
      <c r="BC265" s="285"/>
      <c r="BD265" s="285"/>
      <c r="BE265" s="285"/>
      <c r="BF265" s="285"/>
      <c r="BG265" s="285"/>
      <c r="BH265" s="285"/>
      <c r="BI265" s="285"/>
      <c r="BJ265" s="285"/>
      <c r="BK265" s="285"/>
      <c r="BL265" s="285"/>
      <c r="BM265" s="285"/>
      <c r="BN265" s="285"/>
      <c r="BO265" s="285"/>
      <c r="BP265" s="285"/>
      <c r="BQ265" s="285"/>
      <c r="BR265" s="285"/>
      <c r="BS265" s="285"/>
      <c r="BT265" s="285"/>
      <c r="BU265" s="285"/>
      <c r="BV265" s="285"/>
    </row>
    <row r="266" spans="2:74" x14ac:dyDescent="0.2">
      <c r="B266" s="270"/>
      <c r="C266" s="263"/>
      <c r="D266" s="263"/>
      <c r="E266" s="322"/>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c r="AJ266" s="285"/>
      <c r="AK266" s="285"/>
      <c r="AL266" s="285"/>
      <c r="AM266" s="285"/>
      <c r="AN266" s="285"/>
      <c r="AO266" s="285"/>
      <c r="AP266" s="285"/>
      <c r="AQ266" s="285"/>
      <c r="AR266" s="285"/>
      <c r="AS266" s="285"/>
      <c r="AT266" s="285"/>
      <c r="AU266" s="285"/>
      <c r="AV266" s="285"/>
      <c r="AW266" s="285"/>
      <c r="AX266" s="285"/>
      <c r="AY266" s="285"/>
      <c r="AZ266" s="285"/>
      <c r="BA266" s="285"/>
      <c r="BB266" s="285"/>
      <c r="BC266" s="285"/>
      <c r="BD266" s="285"/>
      <c r="BE266" s="285"/>
      <c r="BF266" s="285"/>
      <c r="BG266" s="285"/>
      <c r="BH266" s="285"/>
      <c r="BI266" s="285"/>
      <c r="BJ266" s="285"/>
      <c r="BK266" s="285"/>
      <c r="BL266" s="285"/>
      <c r="BM266" s="285"/>
      <c r="BN266" s="285"/>
      <c r="BO266" s="285"/>
      <c r="BP266" s="285"/>
      <c r="BQ266" s="285"/>
      <c r="BR266" s="285"/>
      <c r="BS266" s="285"/>
      <c r="BT266" s="285"/>
      <c r="BU266" s="285"/>
      <c r="BV266" s="285"/>
    </row>
    <row r="267" spans="2:74" x14ac:dyDescent="0.2">
      <c r="B267" s="270"/>
      <c r="C267" s="263"/>
      <c r="D267" s="263"/>
      <c r="E267" s="322"/>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285"/>
      <c r="AE267" s="285"/>
      <c r="AF267" s="285"/>
      <c r="AG267" s="285"/>
      <c r="AH267" s="285"/>
      <c r="AI267" s="285"/>
      <c r="AJ267" s="285"/>
      <c r="AK267" s="285"/>
      <c r="AL267" s="285"/>
      <c r="AM267" s="285"/>
      <c r="AN267" s="285"/>
      <c r="AO267" s="285"/>
      <c r="AP267" s="285"/>
      <c r="AQ267" s="285"/>
      <c r="AR267" s="285"/>
      <c r="AS267" s="285"/>
      <c r="AT267" s="285"/>
      <c r="AU267" s="285"/>
      <c r="AV267" s="285"/>
      <c r="AW267" s="285"/>
      <c r="AX267" s="285"/>
      <c r="AY267" s="285"/>
      <c r="AZ267" s="285"/>
      <c r="BA267" s="285"/>
      <c r="BB267" s="285"/>
      <c r="BC267" s="285"/>
      <c r="BD267" s="285"/>
      <c r="BE267" s="285"/>
      <c r="BF267" s="285"/>
      <c r="BG267" s="285"/>
      <c r="BH267" s="285"/>
      <c r="BI267" s="285"/>
      <c r="BJ267" s="285"/>
      <c r="BK267" s="285"/>
      <c r="BL267" s="285"/>
      <c r="BM267" s="285"/>
      <c r="BN267" s="285"/>
      <c r="BO267" s="285"/>
      <c r="BP267" s="285"/>
      <c r="BQ267" s="285"/>
      <c r="BR267" s="285"/>
      <c r="BS267" s="285"/>
      <c r="BT267" s="285"/>
      <c r="BU267" s="285"/>
      <c r="BV267" s="285"/>
    </row>
    <row r="268" spans="2:74" x14ac:dyDescent="0.2">
      <c r="B268" s="270"/>
      <c r="C268" s="263"/>
      <c r="D268" s="263"/>
      <c r="E268" s="322"/>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c r="AJ268" s="285"/>
      <c r="AK268" s="285"/>
      <c r="AL268" s="285"/>
      <c r="AM268" s="285"/>
      <c r="AN268" s="285"/>
      <c r="AO268" s="285"/>
      <c r="AP268" s="285"/>
      <c r="AQ268" s="285"/>
      <c r="AR268" s="285"/>
      <c r="AS268" s="285"/>
      <c r="AT268" s="285"/>
      <c r="AU268" s="285"/>
      <c r="AV268" s="285"/>
      <c r="AW268" s="285"/>
      <c r="AX268" s="285"/>
      <c r="AY268" s="285"/>
      <c r="AZ268" s="285"/>
      <c r="BA268" s="285"/>
      <c r="BB268" s="285"/>
      <c r="BC268" s="285"/>
      <c r="BD268" s="285"/>
      <c r="BE268" s="285"/>
      <c r="BF268" s="285"/>
      <c r="BG268" s="285"/>
      <c r="BH268" s="285"/>
      <c r="BI268" s="285"/>
      <c r="BJ268" s="285"/>
      <c r="BK268" s="285"/>
      <c r="BL268" s="285"/>
      <c r="BM268" s="285"/>
      <c r="BN268" s="285"/>
      <c r="BO268" s="285"/>
      <c r="BP268" s="285"/>
      <c r="BQ268" s="285"/>
      <c r="BR268" s="285"/>
      <c r="BS268" s="285"/>
      <c r="BT268" s="285"/>
      <c r="BU268" s="285"/>
      <c r="BV268" s="285"/>
    </row>
    <row r="269" spans="2:74" x14ac:dyDescent="0.2">
      <c r="B269" s="270"/>
      <c r="C269" s="263"/>
      <c r="D269" s="263"/>
      <c r="E269" s="322"/>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F269" s="285"/>
      <c r="AG269" s="285"/>
      <c r="AH269" s="285"/>
      <c r="AI269" s="285"/>
      <c r="AJ269" s="285"/>
      <c r="AK269" s="285"/>
      <c r="AL269" s="285"/>
      <c r="AM269" s="285"/>
      <c r="AN269" s="285"/>
      <c r="AO269" s="285"/>
      <c r="AP269" s="285"/>
      <c r="AQ269" s="285"/>
      <c r="AR269" s="285"/>
      <c r="AS269" s="285"/>
      <c r="AT269" s="285"/>
      <c r="AU269" s="285"/>
      <c r="AV269" s="285"/>
      <c r="AW269" s="285"/>
      <c r="AX269" s="285"/>
      <c r="AY269" s="285"/>
      <c r="AZ269" s="285"/>
      <c r="BA269" s="285"/>
      <c r="BB269" s="285"/>
      <c r="BC269" s="285"/>
      <c r="BD269" s="285"/>
      <c r="BE269" s="285"/>
      <c r="BF269" s="285"/>
      <c r="BG269" s="285"/>
      <c r="BH269" s="285"/>
      <c r="BI269" s="285"/>
      <c r="BJ269" s="285"/>
      <c r="BK269" s="285"/>
      <c r="BL269" s="285"/>
      <c r="BM269" s="285"/>
      <c r="BN269" s="285"/>
      <c r="BO269" s="285"/>
      <c r="BP269" s="285"/>
      <c r="BQ269" s="285"/>
      <c r="BR269" s="285"/>
      <c r="BS269" s="285"/>
      <c r="BT269" s="285"/>
      <c r="BU269" s="285"/>
      <c r="BV269" s="285"/>
    </row>
    <row r="270" spans="2:74" x14ac:dyDescent="0.2">
      <c r="B270" s="270"/>
      <c r="C270" s="263"/>
      <c r="D270" s="263"/>
      <c r="E270" s="322"/>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285"/>
      <c r="AE270" s="285"/>
      <c r="AF270" s="285"/>
      <c r="AG270" s="285"/>
      <c r="AH270" s="285"/>
      <c r="AI270" s="285"/>
      <c r="AJ270" s="285"/>
      <c r="AK270" s="285"/>
      <c r="AL270" s="285"/>
      <c r="AM270" s="285"/>
      <c r="AN270" s="285"/>
      <c r="AO270" s="285"/>
      <c r="AP270" s="285"/>
      <c r="AQ270" s="285"/>
      <c r="AR270" s="285"/>
      <c r="AS270" s="285"/>
      <c r="AT270" s="285"/>
      <c r="AU270" s="285"/>
      <c r="AV270" s="285"/>
      <c r="AW270" s="285"/>
      <c r="AX270" s="285"/>
      <c r="AY270" s="285"/>
      <c r="AZ270" s="285"/>
      <c r="BA270" s="285"/>
      <c r="BB270" s="285"/>
      <c r="BC270" s="285"/>
      <c r="BD270" s="285"/>
      <c r="BE270" s="285"/>
      <c r="BF270" s="285"/>
      <c r="BG270" s="285"/>
      <c r="BH270" s="285"/>
      <c r="BI270" s="285"/>
      <c r="BJ270" s="285"/>
      <c r="BK270" s="285"/>
      <c r="BL270" s="285"/>
      <c r="BM270" s="285"/>
      <c r="BN270" s="285"/>
      <c r="BO270" s="285"/>
      <c r="BP270" s="285"/>
      <c r="BQ270" s="285"/>
      <c r="BR270" s="285"/>
      <c r="BS270" s="285"/>
      <c r="BT270" s="285"/>
      <c r="BU270" s="285"/>
      <c r="BV270" s="285"/>
    </row>
    <row r="271" spans="2:74" x14ac:dyDescent="0.2">
      <c r="B271" s="270"/>
      <c r="C271" s="270"/>
      <c r="D271" s="270"/>
      <c r="E271" s="322"/>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85"/>
      <c r="AE271" s="285"/>
      <c r="AF271" s="285"/>
      <c r="AG271" s="285"/>
      <c r="AH271" s="285"/>
      <c r="AI271" s="285"/>
      <c r="AJ271" s="285"/>
      <c r="AK271" s="285"/>
      <c r="AL271" s="285"/>
      <c r="AM271" s="285"/>
      <c r="AN271" s="285"/>
      <c r="AO271" s="285"/>
      <c r="AP271" s="285"/>
      <c r="AQ271" s="285"/>
      <c r="AR271" s="285"/>
      <c r="AS271" s="285"/>
      <c r="AT271" s="285"/>
      <c r="AU271" s="285"/>
      <c r="AV271" s="285"/>
      <c r="AW271" s="285"/>
      <c r="AX271" s="285"/>
      <c r="AY271" s="285"/>
      <c r="AZ271" s="285"/>
      <c r="BA271" s="285"/>
      <c r="BB271" s="285"/>
      <c r="BC271" s="285"/>
      <c r="BD271" s="285"/>
      <c r="BE271" s="285"/>
      <c r="BF271" s="285"/>
      <c r="BG271" s="285"/>
      <c r="BH271" s="285"/>
      <c r="BI271" s="285"/>
      <c r="BJ271" s="285"/>
      <c r="BK271" s="285"/>
      <c r="BL271" s="285"/>
      <c r="BM271" s="285"/>
      <c r="BN271" s="285"/>
      <c r="BO271" s="285"/>
      <c r="BP271" s="285"/>
      <c r="BQ271" s="285"/>
      <c r="BR271" s="285"/>
      <c r="BS271" s="285"/>
      <c r="BT271" s="285"/>
      <c r="BU271" s="285"/>
      <c r="BV271" s="285"/>
    </row>
    <row r="272" spans="2:74" x14ac:dyDescent="0.2">
      <c r="B272" s="270"/>
      <c r="C272" s="263"/>
      <c r="D272" s="263"/>
      <c r="E272" s="322"/>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285"/>
      <c r="AE272" s="285"/>
      <c r="AF272" s="285"/>
      <c r="AG272" s="285"/>
      <c r="AH272" s="285"/>
      <c r="AI272" s="285"/>
      <c r="AJ272" s="285"/>
      <c r="AK272" s="285"/>
      <c r="AL272" s="285"/>
      <c r="AM272" s="285"/>
      <c r="AN272" s="285"/>
      <c r="AO272" s="285"/>
      <c r="AP272" s="285"/>
      <c r="AQ272" s="285"/>
      <c r="AR272" s="285"/>
      <c r="AS272" s="285"/>
      <c r="AT272" s="285"/>
      <c r="AU272" s="285"/>
      <c r="AV272" s="285"/>
      <c r="AW272" s="285"/>
      <c r="AX272" s="285"/>
      <c r="AY272" s="285"/>
      <c r="AZ272" s="285"/>
      <c r="BA272" s="285"/>
      <c r="BB272" s="285"/>
      <c r="BC272" s="285"/>
      <c r="BD272" s="285"/>
      <c r="BE272" s="285"/>
      <c r="BF272" s="285"/>
      <c r="BG272" s="285"/>
      <c r="BH272" s="285"/>
      <c r="BI272" s="285"/>
      <c r="BJ272" s="285"/>
      <c r="BK272" s="285"/>
      <c r="BL272" s="285"/>
      <c r="BM272" s="285"/>
      <c r="BN272" s="285"/>
      <c r="BO272" s="285"/>
      <c r="BP272" s="285"/>
      <c r="BQ272" s="285"/>
      <c r="BR272" s="285"/>
      <c r="BS272" s="285"/>
      <c r="BT272" s="285"/>
      <c r="BU272" s="285"/>
      <c r="BV272" s="285"/>
    </row>
    <row r="273" spans="2:74" x14ac:dyDescent="0.2">
      <c r="B273" s="270"/>
      <c r="C273" s="263"/>
      <c r="D273" s="263"/>
      <c r="E273" s="322"/>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285"/>
      <c r="AF273" s="285"/>
      <c r="AG273" s="285"/>
      <c r="AH273" s="285"/>
      <c r="AI273" s="285"/>
      <c r="AJ273" s="285"/>
      <c r="AK273" s="285"/>
      <c r="AL273" s="285"/>
      <c r="AM273" s="285"/>
      <c r="AN273" s="285"/>
      <c r="AO273" s="285"/>
      <c r="AP273" s="285"/>
      <c r="AQ273" s="285"/>
      <c r="AR273" s="285"/>
      <c r="AS273" s="285"/>
      <c r="AT273" s="285"/>
      <c r="AU273" s="285"/>
      <c r="AV273" s="285"/>
      <c r="AW273" s="285"/>
      <c r="AX273" s="285"/>
      <c r="AY273" s="285"/>
      <c r="AZ273" s="285"/>
      <c r="BA273" s="285"/>
      <c r="BB273" s="285"/>
      <c r="BC273" s="285"/>
      <c r="BD273" s="285"/>
      <c r="BE273" s="285"/>
      <c r="BF273" s="285"/>
      <c r="BG273" s="285"/>
      <c r="BH273" s="285"/>
      <c r="BI273" s="285"/>
      <c r="BJ273" s="285"/>
      <c r="BK273" s="285"/>
      <c r="BL273" s="285"/>
      <c r="BM273" s="285"/>
      <c r="BN273" s="285"/>
      <c r="BO273" s="285"/>
      <c r="BP273" s="285"/>
      <c r="BQ273" s="285"/>
      <c r="BR273" s="285"/>
      <c r="BS273" s="285"/>
      <c r="BT273" s="285"/>
      <c r="BU273" s="285"/>
      <c r="BV273" s="285"/>
    </row>
    <row r="274" spans="2:74" x14ac:dyDescent="0.2">
      <c r="B274" s="270"/>
      <c r="C274" s="263"/>
      <c r="D274" s="263"/>
      <c r="E274" s="322"/>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c r="AJ274" s="285"/>
      <c r="AK274" s="285"/>
      <c r="AL274" s="285"/>
      <c r="AM274" s="285"/>
      <c r="AN274" s="285"/>
      <c r="AO274" s="285"/>
      <c r="AP274" s="285"/>
      <c r="AQ274" s="285"/>
      <c r="AR274" s="285"/>
      <c r="AS274" s="285"/>
      <c r="AT274" s="285"/>
      <c r="AU274" s="285"/>
      <c r="AV274" s="285"/>
      <c r="AW274" s="285"/>
      <c r="AX274" s="285"/>
      <c r="AY274" s="285"/>
      <c r="AZ274" s="285"/>
      <c r="BA274" s="285"/>
      <c r="BB274" s="285"/>
      <c r="BC274" s="285"/>
      <c r="BD274" s="285"/>
      <c r="BE274" s="285"/>
      <c r="BF274" s="285"/>
      <c r="BG274" s="285"/>
      <c r="BH274" s="285"/>
      <c r="BI274" s="285"/>
      <c r="BJ274" s="285"/>
      <c r="BK274" s="285"/>
      <c r="BL274" s="285"/>
      <c r="BM274" s="285"/>
      <c r="BN274" s="285"/>
      <c r="BO274" s="285"/>
      <c r="BP274" s="285"/>
      <c r="BQ274" s="285"/>
      <c r="BR274" s="285"/>
      <c r="BS274" s="285"/>
      <c r="BT274" s="285"/>
      <c r="BU274" s="285"/>
      <c r="BV274" s="285"/>
    </row>
    <row r="275" spans="2:74" x14ac:dyDescent="0.2">
      <c r="B275" s="270"/>
      <c r="C275" s="263"/>
      <c r="D275" s="263"/>
      <c r="E275" s="322"/>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285"/>
      <c r="AF275" s="285"/>
      <c r="AG275" s="285"/>
      <c r="AH275" s="285"/>
      <c r="AI275" s="285"/>
      <c r="AJ275" s="285"/>
      <c r="AK275" s="285"/>
      <c r="AL275" s="285"/>
      <c r="AM275" s="285"/>
      <c r="AN275" s="285"/>
      <c r="AO275" s="285"/>
      <c r="AP275" s="285"/>
      <c r="AQ275" s="285"/>
      <c r="AR275" s="285"/>
      <c r="AS275" s="285"/>
      <c r="AT275" s="285"/>
      <c r="AU275" s="285"/>
      <c r="AV275" s="285"/>
      <c r="AW275" s="285"/>
      <c r="AX275" s="285"/>
      <c r="AY275" s="285"/>
      <c r="AZ275" s="285"/>
      <c r="BA275" s="285"/>
      <c r="BB275" s="285"/>
      <c r="BC275" s="285"/>
      <c r="BD275" s="285"/>
      <c r="BE275" s="285"/>
      <c r="BF275" s="285"/>
      <c r="BG275" s="285"/>
      <c r="BH275" s="285"/>
      <c r="BI275" s="285"/>
      <c r="BJ275" s="285"/>
      <c r="BK275" s="285"/>
      <c r="BL275" s="285"/>
      <c r="BM275" s="285"/>
      <c r="BN275" s="285"/>
      <c r="BO275" s="285"/>
      <c r="BP275" s="285"/>
      <c r="BQ275" s="285"/>
      <c r="BR275" s="285"/>
      <c r="BS275" s="285"/>
      <c r="BT275" s="285"/>
      <c r="BU275" s="285"/>
      <c r="BV275" s="285"/>
    </row>
    <row r="276" spans="2:74" x14ac:dyDescent="0.2">
      <c r="B276" s="270"/>
      <c r="C276" s="263"/>
      <c r="D276" s="263"/>
      <c r="E276" s="322"/>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85"/>
      <c r="AE276" s="285"/>
      <c r="AF276" s="285"/>
      <c r="AG276" s="285"/>
      <c r="AH276" s="285"/>
      <c r="AI276" s="285"/>
      <c r="AJ276" s="285"/>
      <c r="AK276" s="285"/>
      <c r="AL276" s="285"/>
      <c r="AM276" s="285"/>
      <c r="AN276" s="285"/>
      <c r="AO276" s="285"/>
      <c r="AP276" s="285"/>
      <c r="AQ276" s="285"/>
      <c r="AR276" s="285"/>
      <c r="AS276" s="285"/>
      <c r="AT276" s="285"/>
      <c r="AU276" s="285"/>
      <c r="AV276" s="285"/>
      <c r="AW276" s="285"/>
      <c r="AX276" s="285"/>
      <c r="AY276" s="285"/>
      <c r="AZ276" s="285"/>
      <c r="BA276" s="285"/>
      <c r="BB276" s="285"/>
      <c r="BC276" s="285"/>
      <c r="BD276" s="285"/>
      <c r="BE276" s="285"/>
      <c r="BF276" s="285"/>
      <c r="BG276" s="285"/>
      <c r="BH276" s="285"/>
      <c r="BI276" s="285"/>
      <c r="BJ276" s="285"/>
      <c r="BK276" s="285"/>
      <c r="BL276" s="285"/>
      <c r="BM276" s="285"/>
      <c r="BN276" s="285"/>
      <c r="BO276" s="285"/>
      <c r="BP276" s="285"/>
      <c r="BQ276" s="285"/>
      <c r="BR276" s="285"/>
      <c r="BS276" s="285"/>
      <c r="BT276" s="285"/>
      <c r="BU276" s="285"/>
      <c r="BV276" s="285"/>
    </row>
    <row r="277" spans="2:74" x14ac:dyDescent="0.2">
      <c r="B277" s="270"/>
      <c r="C277" s="263"/>
      <c r="D277" s="263"/>
      <c r="E277" s="322"/>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285"/>
      <c r="AE277" s="285"/>
      <c r="AF277" s="285"/>
      <c r="AG277" s="285"/>
      <c r="AH277" s="285"/>
      <c r="AI277" s="285"/>
      <c r="AJ277" s="285"/>
      <c r="AK277" s="285"/>
      <c r="AL277" s="285"/>
      <c r="AM277" s="285"/>
      <c r="AN277" s="285"/>
      <c r="AO277" s="285"/>
      <c r="AP277" s="285"/>
      <c r="AQ277" s="285"/>
      <c r="AR277" s="285"/>
      <c r="AS277" s="285"/>
      <c r="AT277" s="285"/>
      <c r="AU277" s="285"/>
      <c r="AV277" s="285"/>
      <c r="AW277" s="285"/>
      <c r="AX277" s="285"/>
      <c r="AY277" s="285"/>
      <c r="AZ277" s="285"/>
      <c r="BA277" s="285"/>
      <c r="BB277" s="285"/>
      <c r="BC277" s="285"/>
      <c r="BD277" s="285"/>
      <c r="BE277" s="285"/>
      <c r="BF277" s="285"/>
      <c r="BG277" s="285"/>
      <c r="BH277" s="285"/>
      <c r="BI277" s="285"/>
      <c r="BJ277" s="285"/>
      <c r="BK277" s="285"/>
      <c r="BL277" s="285"/>
      <c r="BM277" s="285"/>
      <c r="BN277" s="285"/>
      <c r="BO277" s="285"/>
      <c r="BP277" s="285"/>
      <c r="BQ277" s="285"/>
      <c r="BR277" s="285"/>
      <c r="BS277" s="285"/>
      <c r="BT277" s="285"/>
      <c r="BU277" s="285"/>
      <c r="BV277" s="285"/>
    </row>
    <row r="278" spans="2:74" x14ac:dyDescent="0.2">
      <c r="B278" s="270"/>
      <c r="C278" s="263"/>
      <c r="D278" s="263"/>
      <c r="E278" s="322"/>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c r="AJ278" s="285"/>
      <c r="AK278" s="285"/>
      <c r="AL278" s="285"/>
      <c r="AM278" s="285"/>
      <c r="AN278" s="285"/>
      <c r="AO278" s="285"/>
      <c r="AP278" s="285"/>
      <c r="AQ278" s="285"/>
      <c r="AR278" s="285"/>
      <c r="AS278" s="285"/>
      <c r="AT278" s="285"/>
      <c r="AU278" s="285"/>
      <c r="AV278" s="285"/>
      <c r="AW278" s="285"/>
      <c r="AX278" s="285"/>
      <c r="AY278" s="285"/>
      <c r="AZ278" s="285"/>
      <c r="BA278" s="285"/>
      <c r="BB278" s="285"/>
      <c r="BC278" s="285"/>
      <c r="BD278" s="285"/>
      <c r="BE278" s="285"/>
      <c r="BF278" s="285"/>
      <c r="BG278" s="285"/>
      <c r="BH278" s="285"/>
      <c r="BI278" s="285"/>
      <c r="BJ278" s="285"/>
      <c r="BK278" s="285"/>
      <c r="BL278" s="285"/>
      <c r="BM278" s="285"/>
      <c r="BN278" s="285"/>
      <c r="BO278" s="285"/>
      <c r="BP278" s="285"/>
      <c r="BQ278" s="285"/>
      <c r="BR278" s="285"/>
      <c r="BS278" s="285"/>
      <c r="BT278" s="285"/>
      <c r="BU278" s="285"/>
      <c r="BV278" s="285"/>
    </row>
    <row r="279" spans="2:74" x14ac:dyDescent="0.2">
      <c r="B279" s="270"/>
      <c r="C279" s="263"/>
      <c r="D279" s="263"/>
      <c r="E279" s="322"/>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85"/>
      <c r="AK279" s="285"/>
      <c r="AL279" s="285"/>
      <c r="AM279" s="285"/>
      <c r="AN279" s="285"/>
      <c r="AO279" s="285"/>
      <c r="AP279" s="285"/>
      <c r="AQ279" s="285"/>
      <c r="AR279" s="285"/>
      <c r="AS279" s="285"/>
      <c r="AT279" s="285"/>
      <c r="AU279" s="285"/>
      <c r="AV279" s="285"/>
      <c r="AW279" s="285"/>
      <c r="AX279" s="285"/>
      <c r="AY279" s="285"/>
      <c r="AZ279" s="285"/>
      <c r="BA279" s="285"/>
      <c r="BB279" s="285"/>
      <c r="BC279" s="285"/>
      <c r="BD279" s="285"/>
      <c r="BE279" s="285"/>
      <c r="BF279" s="285"/>
      <c r="BG279" s="285"/>
      <c r="BH279" s="285"/>
      <c r="BI279" s="285"/>
      <c r="BJ279" s="285"/>
      <c r="BK279" s="285"/>
      <c r="BL279" s="285"/>
      <c r="BM279" s="285"/>
      <c r="BN279" s="285"/>
      <c r="BO279" s="285"/>
      <c r="BP279" s="285"/>
      <c r="BQ279" s="285"/>
      <c r="BR279" s="285"/>
      <c r="BS279" s="285"/>
      <c r="BT279" s="285"/>
      <c r="BU279" s="285"/>
      <c r="BV279" s="285"/>
    </row>
    <row r="280" spans="2:74" x14ac:dyDescent="0.2">
      <c r="B280" s="270"/>
      <c r="C280" s="263"/>
      <c r="D280" s="263"/>
      <c r="E280" s="322"/>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c r="AJ280" s="285"/>
      <c r="AK280" s="285"/>
      <c r="AL280" s="285"/>
      <c r="AM280" s="285"/>
      <c r="AN280" s="285"/>
      <c r="AO280" s="285"/>
      <c r="AP280" s="285"/>
      <c r="AQ280" s="285"/>
      <c r="AR280" s="285"/>
      <c r="AS280" s="285"/>
      <c r="AT280" s="285"/>
      <c r="AU280" s="285"/>
      <c r="AV280" s="285"/>
      <c r="AW280" s="285"/>
      <c r="AX280" s="285"/>
      <c r="AY280" s="285"/>
      <c r="AZ280" s="285"/>
      <c r="BA280" s="285"/>
      <c r="BB280" s="285"/>
      <c r="BC280" s="285"/>
      <c r="BD280" s="285"/>
      <c r="BE280" s="285"/>
      <c r="BF280" s="285"/>
      <c r="BG280" s="285"/>
      <c r="BH280" s="285"/>
      <c r="BI280" s="285"/>
      <c r="BJ280" s="285"/>
      <c r="BK280" s="285"/>
      <c r="BL280" s="285"/>
      <c r="BM280" s="285"/>
      <c r="BN280" s="285"/>
      <c r="BO280" s="285"/>
      <c r="BP280" s="285"/>
      <c r="BQ280" s="285"/>
      <c r="BR280" s="285"/>
      <c r="BS280" s="285"/>
      <c r="BT280" s="285"/>
      <c r="BU280" s="285"/>
      <c r="BV280" s="285"/>
    </row>
    <row r="281" spans="2:74" x14ac:dyDescent="0.2">
      <c r="B281" s="270"/>
      <c r="C281" s="263"/>
      <c r="D281" s="263"/>
      <c r="E281" s="322"/>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c r="AF281" s="285"/>
      <c r="AG281" s="285"/>
      <c r="AH281" s="285"/>
      <c r="AI281" s="285"/>
      <c r="AJ281" s="285"/>
      <c r="AK281" s="285"/>
      <c r="AL281" s="285"/>
      <c r="AM281" s="285"/>
      <c r="AN281" s="285"/>
      <c r="AO281" s="285"/>
      <c r="AP281" s="285"/>
      <c r="AQ281" s="285"/>
      <c r="AR281" s="285"/>
      <c r="AS281" s="285"/>
      <c r="AT281" s="285"/>
      <c r="AU281" s="285"/>
      <c r="AV281" s="285"/>
      <c r="AW281" s="285"/>
      <c r="AX281" s="285"/>
      <c r="AY281" s="285"/>
      <c r="AZ281" s="285"/>
      <c r="BA281" s="285"/>
      <c r="BB281" s="285"/>
      <c r="BC281" s="285"/>
      <c r="BD281" s="285"/>
      <c r="BE281" s="285"/>
      <c r="BF281" s="285"/>
      <c r="BG281" s="285"/>
      <c r="BH281" s="285"/>
      <c r="BI281" s="285"/>
      <c r="BJ281" s="285"/>
      <c r="BK281" s="285"/>
      <c r="BL281" s="285"/>
      <c r="BM281" s="285"/>
      <c r="BN281" s="285"/>
      <c r="BO281" s="285"/>
      <c r="BP281" s="285"/>
      <c r="BQ281" s="285"/>
      <c r="BR281" s="285"/>
      <c r="BS281" s="285"/>
      <c r="BT281" s="285"/>
      <c r="BU281" s="285"/>
      <c r="BV281" s="285"/>
    </row>
    <row r="282" spans="2:74" x14ac:dyDescent="0.2">
      <c r="B282" s="270"/>
      <c r="C282" s="263"/>
      <c r="D282" s="263"/>
      <c r="E282" s="322"/>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85"/>
      <c r="AE282" s="285"/>
      <c r="AF282" s="285"/>
      <c r="AG282" s="285"/>
      <c r="AH282" s="285"/>
      <c r="AI282" s="285"/>
      <c r="AJ282" s="285"/>
      <c r="AK282" s="285"/>
      <c r="AL282" s="285"/>
      <c r="AM282" s="285"/>
      <c r="AN282" s="285"/>
      <c r="AO282" s="285"/>
      <c r="AP282" s="285"/>
      <c r="AQ282" s="285"/>
      <c r="AR282" s="285"/>
      <c r="AS282" s="285"/>
      <c r="AT282" s="285"/>
      <c r="AU282" s="285"/>
      <c r="AV282" s="285"/>
      <c r="AW282" s="285"/>
      <c r="AX282" s="285"/>
      <c r="AY282" s="285"/>
      <c r="AZ282" s="285"/>
      <c r="BA282" s="285"/>
      <c r="BB282" s="285"/>
      <c r="BC282" s="285"/>
      <c r="BD282" s="285"/>
      <c r="BE282" s="285"/>
      <c r="BF282" s="285"/>
      <c r="BG282" s="285"/>
      <c r="BH282" s="285"/>
      <c r="BI282" s="285"/>
      <c r="BJ282" s="285"/>
      <c r="BK282" s="285"/>
      <c r="BL282" s="285"/>
      <c r="BM282" s="285"/>
      <c r="BN282" s="285"/>
      <c r="BO282" s="285"/>
      <c r="BP282" s="285"/>
      <c r="BQ282" s="285"/>
      <c r="BR282" s="285"/>
      <c r="BS282" s="285"/>
      <c r="BT282" s="285"/>
      <c r="BU282" s="285"/>
      <c r="BV282" s="285"/>
    </row>
    <row r="283" spans="2:74" x14ac:dyDescent="0.2">
      <c r="B283" s="270"/>
      <c r="C283" s="263"/>
      <c r="D283" s="263"/>
      <c r="E283" s="322"/>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85"/>
      <c r="AE283" s="285"/>
      <c r="AF283" s="285"/>
      <c r="AG283" s="285"/>
      <c r="AH283" s="285"/>
      <c r="AI283" s="285"/>
      <c r="AJ283" s="285"/>
      <c r="AK283" s="285"/>
      <c r="AL283" s="285"/>
      <c r="AM283" s="285"/>
      <c r="AN283" s="285"/>
      <c r="AO283" s="285"/>
      <c r="AP283" s="285"/>
      <c r="AQ283" s="285"/>
      <c r="AR283" s="285"/>
      <c r="AS283" s="285"/>
      <c r="AT283" s="285"/>
      <c r="AU283" s="285"/>
      <c r="AV283" s="285"/>
      <c r="AW283" s="285"/>
      <c r="AX283" s="285"/>
      <c r="AY283" s="285"/>
      <c r="AZ283" s="285"/>
      <c r="BA283" s="285"/>
      <c r="BB283" s="285"/>
      <c r="BC283" s="285"/>
      <c r="BD283" s="285"/>
      <c r="BE283" s="285"/>
      <c r="BF283" s="285"/>
      <c r="BG283" s="285"/>
      <c r="BH283" s="285"/>
      <c r="BI283" s="285"/>
      <c r="BJ283" s="285"/>
      <c r="BK283" s="285"/>
      <c r="BL283" s="285"/>
      <c r="BM283" s="285"/>
      <c r="BN283" s="285"/>
      <c r="BO283" s="285"/>
      <c r="BP283" s="285"/>
      <c r="BQ283" s="285"/>
      <c r="BR283" s="285"/>
      <c r="BS283" s="285"/>
      <c r="BT283" s="285"/>
      <c r="BU283" s="285"/>
      <c r="BV283" s="285"/>
    </row>
    <row r="284" spans="2:74" x14ac:dyDescent="0.2">
      <c r="B284" s="270"/>
      <c r="C284" s="270"/>
      <c r="D284" s="270"/>
      <c r="E284" s="322"/>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285"/>
      <c r="AE284" s="285"/>
      <c r="AF284" s="285"/>
      <c r="AG284" s="285"/>
      <c r="AH284" s="285"/>
      <c r="AI284" s="285"/>
      <c r="AJ284" s="285"/>
      <c r="AK284" s="285"/>
      <c r="AL284" s="285"/>
      <c r="AM284" s="285"/>
      <c r="AN284" s="285"/>
      <c r="AO284" s="285"/>
      <c r="AP284" s="285"/>
      <c r="AQ284" s="285"/>
      <c r="AR284" s="285"/>
      <c r="AS284" s="285"/>
      <c r="AT284" s="285"/>
      <c r="AU284" s="285"/>
      <c r="AV284" s="285"/>
      <c r="AW284" s="285"/>
      <c r="AX284" s="285"/>
      <c r="AY284" s="285"/>
      <c r="AZ284" s="285"/>
      <c r="BA284" s="285"/>
      <c r="BB284" s="285"/>
      <c r="BC284" s="285"/>
      <c r="BD284" s="285"/>
      <c r="BE284" s="285"/>
      <c r="BF284" s="285"/>
      <c r="BG284" s="285"/>
      <c r="BH284" s="285"/>
      <c r="BI284" s="285"/>
      <c r="BJ284" s="285"/>
      <c r="BK284" s="285"/>
      <c r="BL284" s="285"/>
      <c r="BM284" s="285"/>
      <c r="BN284" s="285"/>
      <c r="BO284" s="285"/>
      <c r="BP284" s="285"/>
      <c r="BQ284" s="285"/>
      <c r="BR284" s="285"/>
      <c r="BS284" s="285"/>
      <c r="BT284" s="285"/>
      <c r="BU284" s="285"/>
      <c r="BV284" s="285"/>
    </row>
    <row r="285" spans="2:74" x14ac:dyDescent="0.2">
      <c r="B285" s="270"/>
      <c r="C285" s="270"/>
      <c r="D285" s="270"/>
      <c r="E285" s="322"/>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c r="AJ285" s="285"/>
      <c r="AK285" s="285"/>
      <c r="AL285" s="285"/>
      <c r="AM285" s="285"/>
      <c r="AN285" s="285"/>
      <c r="AO285" s="285"/>
      <c r="AP285" s="285"/>
      <c r="AQ285" s="285"/>
      <c r="AR285" s="285"/>
      <c r="AS285" s="285"/>
      <c r="AT285" s="285"/>
      <c r="AU285" s="285"/>
      <c r="AV285" s="285"/>
      <c r="AW285" s="285"/>
      <c r="AX285" s="285"/>
      <c r="AY285" s="285"/>
      <c r="AZ285" s="285"/>
      <c r="BA285" s="285"/>
      <c r="BB285" s="285"/>
      <c r="BC285" s="285"/>
      <c r="BD285" s="285"/>
      <c r="BE285" s="285"/>
      <c r="BF285" s="285"/>
      <c r="BG285" s="285"/>
      <c r="BH285" s="285"/>
      <c r="BI285" s="285"/>
      <c r="BJ285" s="285"/>
      <c r="BK285" s="285"/>
      <c r="BL285" s="285"/>
      <c r="BM285" s="285"/>
      <c r="BN285" s="285"/>
      <c r="BO285" s="285"/>
      <c r="BP285" s="285"/>
      <c r="BQ285" s="285"/>
      <c r="BR285" s="285"/>
      <c r="BS285" s="285"/>
      <c r="BT285" s="285"/>
      <c r="BU285" s="285"/>
      <c r="BV285" s="285"/>
    </row>
    <row r="286" spans="2:74" x14ac:dyDescent="0.2">
      <c r="B286" s="270"/>
      <c r="C286" s="263"/>
      <c r="D286" s="263"/>
      <c r="E286" s="322"/>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285"/>
      <c r="AE286" s="285"/>
      <c r="AF286" s="285"/>
      <c r="AG286" s="285"/>
      <c r="AH286" s="285"/>
      <c r="AI286" s="285"/>
      <c r="AJ286" s="285"/>
      <c r="AK286" s="285"/>
      <c r="AL286" s="285"/>
      <c r="AM286" s="285"/>
      <c r="AN286" s="285"/>
      <c r="AO286" s="285"/>
      <c r="AP286" s="285"/>
      <c r="AQ286" s="285"/>
      <c r="AR286" s="285"/>
      <c r="AS286" s="285"/>
      <c r="AT286" s="285"/>
      <c r="AU286" s="285"/>
      <c r="AV286" s="285"/>
      <c r="AW286" s="285"/>
      <c r="AX286" s="285"/>
      <c r="AY286" s="285"/>
      <c r="AZ286" s="285"/>
      <c r="BA286" s="285"/>
      <c r="BB286" s="285"/>
      <c r="BC286" s="285"/>
      <c r="BD286" s="285"/>
      <c r="BE286" s="285"/>
      <c r="BF286" s="285"/>
      <c r="BG286" s="285"/>
      <c r="BH286" s="285"/>
      <c r="BI286" s="285"/>
      <c r="BJ286" s="285"/>
      <c r="BK286" s="285"/>
      <c r="BL286" s="285"/>
      <c r="BM286" s="285"/>
      <c r="BN286" s="285"/>
      <c r="BO286" s="285"/>
      <c r="BP286" s="285"/>
      <c r="BQ286" s="285"/>
      <c r="BR286" s="285"/>
      <c r="BS286" s="285"/>
      <c r="BT286" s="285"/>
      <c r="BU286" s="285"/>
      <c r="BV286" s="285"/>
    </row>
    <row r="287" spans="2:74" x14ac:dyDescent="0.2">
      <c r="B287" s="270"/>
      <c r="C287" s="263"/>
      <c r="D287" s="263"/>
      <c r="E287" s="322"/>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285"/>
      <c r="AE287" s="285"/>
      <c r="AF287" s="285"/>
      <c r="AG287" s="285"/>
      <c r="AH287" s="285"/>
      <c r="AI287" s="285"/>
      <c r="AJ287" s="285"/>
      <c r="AK287" s="285"/>
      <c r="AL287" s="285"/>
      <c r="AM287" s="285"/>
      <c r="AN287" s="285"/>
      <c r="AO287" s="285"/>
      <c r="AP287" s="285"/>
      <c r="AQ287" s="285"/>
      <c r="AR287" s="285"/>
      <c r="AS287" s="285"/>
      <c r="AT287" s="285"/>
      <c r="AU287" s="285"/>
      <c r="AV287" s="285"/>
      <c r="AW287" s="285"/>
      <c r="AX287" s="285"/>
      <c r="AY287" s="285"/>
      <c r="AZ287" s="285"/>
      <c r="BA287" s="285"/>
      <c r="BB287" s="285"/>
      <c r="BC287" s="285"/>
      <c r="BD287" s="285"/>
      <c r="BE287" s="285"/>
      <c r="BF287" s="285"/>
      <c r="BG287" s="285"/>
      <c r="BH287" s="285"/>
      <c r="BI287" s="285"/>
      <c r="BJ287" s="285"/>
      <c r="BK287" s="285"/>
      <c r="BL287" s="285"/>
      <c r="BM287" s="285"/>
      <c r="BN287" s="285"/>
      <c r="BO287" s="285"/>
      <c r="BP287" s="285"/>
      <c r="BQ287" s="285"/>
      <c r="BR287" s="285"/>
      <c r="BS287" s="285"/>
      <c r="BT287" s="285"/>
      <c r="BU287" s="285"/>
      <c r="BV287" s="285"/>
    </row>
    <row r="288" spans="2:74" x14ac:dyDescent="0.2">
      <c r="B288" s="270"/>
      <c r="C288" s="263"/>
      <c r="D288" s="263"/>
      <c r="E288" s="322"/>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285"/>
      <c r="AE288" s="285"/>
      <c r="AF288" s="285"/>
      <c r="AG288" s="285"/>
      <c r="AH288" s="285"/>
      <c r="AI288" s="285"/>
      <c r="AJ288" s="285"/>
      <c r="AK288" s="285"/>
      <c r="AL288" s="285"/>
      <c r="AM288" s="285"/>
      <c r="AN288" s="285"/>
      <c r="AO288" s="285"/>
      <c r="AP288" s="285"/>
      <c r="AQ288" s="285"/>
      <c r="AR288" s="285"/>
      <c r="AS288" s="285"/>
      <c r="AT288" s="285"/>
      <c r="AU288" s="285"/>
      <c r="AV288" s="285"/>
      <c r="AW288" s="285"/>
      <c r="AX288" s="285"/>
      <c r="AY288" s="285"/>
      <c r="AZ288" s="285"/>
      <c r="BA288" s="285"/>
      <c r="BB288" s="285"/>
      <c r="BC288" s="285"/>
      <c r="BD288" s="285"/>
      <c r="BE288" s="285"/>
      <c r="BF288" s="285"/>
      <c r="BG288" s="285"/>
      <c r="BH288" s="285"/>
      <c r="BI288" s="285"/>
      <c r="BJ288" s="285"/>
      <c r="BK288" s="285"/>
      <c r="BL288" s="285"/>
      <c r="BM288" s="285"/>
      <c r="BN288" s="285"/>
      <c r="BO288" s="285"/>
      <c r="BP288" s="285"/>
      <c r="BQ288" s="285"/>
      <c r="BR288" s="285"/>
      <c r="BS288" s="285"/>
      <c r="BT288" s="285"/>
      <c r="BU288" s="285"/>
      <c r="BV288" s="285"/>
    </row>
  </sheetData>
  <mergeCells count="16">
    <mergeCell ref="B26:C26"/>
    <mergeCell ref="AN3:AR3"/>
    <mergeCell ref="T3:X3"/>
    <mergeCell ref="Y3:AC3"/>
    <mergeCell ref="AD3:AH3"/>
    <mergeCell ref="E2:BV2"/>
    <mergeCell ref="E3:I3"/>
    <mergeCell ref="J3:N3"/>
    <mergeCell ref="O3:S3"/>
    <mergeCell ref="BR3:BV3"/>
    <mergeCell ref="AI3:AM3"/>
    <mergeCell ref="BM3:BQ3"/>
    <mergeCell ref="AS3:AW3"/>
    <mergeCell ref="AX3:BB3"/>
    <mergeCell ref="BC3:BG3"/>
    <mergeCell ref="BH3:BL3"/>
  </mergeCells>
  <pageMargins left="0.7" right="0.7" top="0.75" bottom="0.75" header="0.3" footer="0.3"/>
  <pageSetup paperSize="9" scale="26"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CF159-D6EC-4964-87EA-457CB76F7031}">
  <dimension ref="A1:CB290"/>
  <sheetViews>
    <sheetView view="pageBreakPreview" topLeftCell="D55" zoomScaleNormal="100" zoomScaleSheetLayoutView="100" workbookViewId="0">
      <selection activeCell="BR57" sqref="BR57"/>
    </sheetView>
  </sheetViews>
  <sheetFormatPr defaultRowHeight="12.75" x14ac:dyDescent="0.2"/>
  <cols>
    <col min="1" max="1" width="2.85546875" style="240" customWidth="1"/>
    <col min="2" max="2" width="3.28515625" style="240" customWidth="1"/>
    <col min="3" max="3" width="69.28515625" style="240" customWidth="1"/>
    <col min="4" max="4" width="6" style="240" customWidth="1"/>
    <col min="5" max="9" width="13.5703125" style="240" customWidth="1"/>
    <col min="10" max="14" width="13.5703125" style="240" hidden="1" customWidth="1"/>
    <col min="15" max="15" width="12.7109375" style="240" hidden="1" customWidth="1"/>
    <col min="16" max="17" width="11.28515625" style="240" hidden="1" customWidth="1"/>
    <col min="18" max="18" width="12.7109375" style="240" hidden="1" customWidth="1"/>
    <col min="19" max="19" width="13.140625" style="240" hidden="1" customWidth="1"/>
    <col min="20" max="22" width="11.28515625" style="240" hidden="1" customWidth="1"/>
    <col min="23" max="24" width="12.7109375" style="240" hidden="1" customWidth="1"/>
    <col min="25" max="27" width="11.28515625" style="240" hidden="1" customWidth="1"/>
    <col min="28" max="28" width="12.7109375" style="240" hidden="1" customWidth="1"/>
    <col min="29" max="29" width="11.28515625" style="240" hidden="1" customWidth="1"/>
    <col min="30" max="30" width="12.28515625" style="240" hidden="1" customWidth="1"/>
    <col min="31" max="31" width="12.7109375" style="240" hidden="1" customWidth="1"/>
    <col min="32" max="32" width="11.28515625" style="240" hidden="1" customWidth="1"/>
    <col min="33" max="33" width="12.7109375" style="240" hidden="1" customWidth="1"/>
    <col min="34" max="34" width="10.85546875" style="240" hidden="1" customWidth="1"/>
    <col min="35" max="35" width="11.28515625" style="240" hidden="1" customWidth="1"/>
    <col min="36" max="36" width="13.5703125" style="240" hidden="1" customWidth="1"/>
    <col min="37" max="37" width="11.28515625" style="240" hidden="1" customWidth="1"/>
    <col min="38" max="38" width="13.28515625" style="240" hidden="1" customWidth="1"/>
    <col min="39" max="42" width="11.28515625" style="240" hidden="1" customWidth="1"/>
    <col min="43" max="43" width="12.7109375" style="240" hidden="1" customWidth="1"/>
    <col min="44" max="44" width="11.28515625" style="240" hidden="1" customWidth="1"/>
    <col min="45" max="53" width="13.5703125" style="240" hidden="1" customWidth="1"/>
    <col min="54" max="54" width="13.140625" style="240" hidden="1" customWidth="1"/>
    <col min="55" max="57" width="11.28515625" style="240" customWidth="1"/>
    <col min="58" max="58" width="12.7109375" style="240" customWidth="1"/>
    <col min="59" max="59" width="11.28515625" style="240" customWidth="1"/>
    <col min="60" max="62" width="11.28515625" style="240" hidden="1" customWidth="1"/>
    <col min="63" max="63" width="13.140625" style="240" hidden="1" customWidth="1"/>
    <col min="64" max="64" width="11.28515625" style="240" hidden="1" customWidth="1"/>
    <col min="65" max="66" width="12.85546875" style="240" hidden="1" customWidth="1"/>
    <col min="67" max="67" width="12" style="240" hidden="1" customWidth="1"/>
    <col min="68" max="68" width="13.140625" style="240" hidden="1" customWidth="1"/>
    <col min="69" max="69" width="12.85546875" style="240" hidden="1" customWidth="1"/>
    <col min="70" max="74" width="13.5703125" style="240" customWidth="1"/>
    <col min="75" max="75" width="3.28515625" style="240" customWidth="1"/>
    <col min="76" max="76" width="7.85546875" style="240" hidden="1" customWidth="1"/>
    <col min="77" max="77" width="3.28515625" style="240" customWidth="1"/>
    <col min="78" max="78" width="9.85546875" style="240" bestFit="1" customWidth="1"/>
    <col min="79" max="79" width="9.5703125" style="240" bestFit="1" customWidth="1"/>
    <col min="80" max="256" width="9.140625" style="240"/>
    <col min="257" max="257" width="2.85546875" style="240" customWidth="1"/>
    <col min="258" max="258" width="3.28515625" style="240" customWidth="1"/>
    <col min="259" max="259" width="69.28515625" style="240" customWidth="1"/>
    <col min="260" max="260" width="6" style="240" customWidth="1"/>
    <col min="261" max="265" width="13.5703125" style="240" customWidth="1"/>
    <col min="266" max="310" width="0" style="240" hidden="1" customWidth="1"/>
    <col min="311" max="313" width="11.28515625" style="240" customWidth="1"/>
    <col min="314" max="314" width="12.7109375" style="240" customWidth="1"/>
    <col min="315" max="315" width="11.28515625" style="240" customWidth="1"/>
    <col min="316" max="325" width="0" style="240" hidden="1" customWidth="1"/>
    <col min="326" max="330" width="13.5703125" style="240" customWidth="1"/>
    <col min="331" max="331" width="3.28515625" style="240" customWidth="1"/>
    <col min="332" max="332" width="0" style="240" hidden="1" customWidth="1"/>
    <col min="333" max="333" width="3.28515625" style="240" customWidth="1"/>
    <col min="334" max="334" width="9.85546875" style="240" bestFit="1" customWidth="1"/>
    <col min="335" max="335" width="9.5703125" style="240" bestFit="1" customWidth="1"/>
    <col min="336" max="512" width="9.140625" style="240"/>
    <col min="513" max="513" width="2.85546875" style="240" customWidth="1"/>
    <col min="514" max="514" width="3.28515625" style="240" customWidth="1"/>
    <col min="515" max="515" width="69.28515625" style="240" customWidth="1"/>
    <col min="516" max="516" width="6" style="240" customWidth="1"/>
    <col min="517" max="521" width="13.5703125" style="240" customWidth="1"/>
    <col min="522" max="566" width="0" style="240" hidden="1" customWidth="1"/>
    <col min="567" max="569" width="11.28515625" style="240" customWidth="1"/>
    <col min="570" max="570" width="12.7109375" style="240" customWidth="1"/>
    <col min="571" max="571" width="11.28515625" style="240" customWidth="1"/>
    <col min="572" max="581" width="0" style="240" hidden="1" customWidth="1"/>
    <col min="582" max="586" width="13.5703125" style="240" customWidth="1"/>
    <col min="587" max="587" width="3.28515625" style="240" customWidth="1"/>
    <col min="588" max="588" width="0" style="240" hidden="1" customWidth="1"/>
    <col min="589" max="589" width="3.28515625" style="240" customWidth="1"/>
    <col min="590" max="590" width="9.85546875" style="240" bestFit="1" customWidth="1"/>
    <col min="591" max="591" width="9.5703125" style="240" bestFit="1" customWidth="1"/>
    <col min="592" max="768" width="9.140625" style="240"/>
    <col min="769" max="769" width="2.85546875" style="240" customWidth="1"/>
    <col min="770" max="770" width="3.28515625" style="240" customWidth="1"/>
    <col min="771" max="771" width="69.28515625" style="240" customWidth="1"/>
    <col min="772" max="772" width="6" style="240" customWidth="1"/>
    <col min="773" max="777" width="13.5703125" style="240" customWidth="1"/>
    <col min="778" max="822" width="0" style="240" hidden="1" customWidth="1"/>
    <col min="823" max="825" width="11.28515625" style="240" customWidth="1"/>
    <col min="826" max="826" width="12.7109375" style="240" customWidth="1"/>
    <col min="827" max="827" width="11.28515625" style="240" customWidth="1"/>
    <col min="828" max="837" width="0" style="240" hidden="1" customWidth="1"/>
    <col min="838" max="842" width="13.5703125" style="240" customWidth="1"/>
    <col min="843" max="843" width="3.28515625" style="240" customWidth="1"/>
    <col min="844" max="844" width="0" style="240" hidden="1" customWidth="1"/>
    <col min="845" max="845" width="3.28515625" style="240" customWidth="1"/>
    <col min="846" max="846" width="9.85546875" style="240" bestFit="1" customWidth="1"/>
    <col min="847" max="847" width="9.5703125" style="240" bestFit="1" customWidth="1"/>
    <col min="848" max="1024" width="9.140625" style="240"/>
    <col min="1025" max="1025" width="2.85546875" style="240" customWidth="1"/>
    <col min="1026" max="1026" width="3.28515625" style="240" customWidth="1"/>
    <col min="1027" max="1027" width="69.28515625" style="240" customWidth="1"/>
    <col min="1028" max="1028" width="6" style="240" customWidth="1"/>
    <col min="1029" max="1033" width="13.5703125" style="240" customWidth="1"/>
    <col min="1034" max="1078" width="0" style="240" hidden="1" customWidth="1"/>
    <col min="1079" max="1081" width="11.28515625" style="240" customWidth="1"/>
    <col min="1082" max="1082" width="12.7109375" style="240" customWidth="1"/>
    <col min="1083" max="1083" width="11.28515625" style="240" customWidth="1"/>
    <col min="1084" max="1093" width="0" style="240" hidden="1" customWidth="1"/>
    <col min="1094" max="1098" width="13.5703125" style="240" customWidth="1"/>
    <col min="1099" max="1099" width="3.28515625" style="240" customWidth="1"/>
    <col min="1100" max="1100" width="0" style="240" hidden="1" customWidth="1"/>
    <col min="1101" max="1101" width="3.28515625" style="240" customWidth="1"/>
    <col min="1102" max="1102" width="9.85546875" style="240" bestFit="1" customWidth="1"/>
    <col min="1103" max="1103" width="9.5703125" style="240" bestFit="1" customWidth="1"/>
    <col min="1104" max="1280" width="9.140625" style="240"/>
    <col min="1281" max="1281" width="2.85546875" style="240" customWidth="1"/>
    <col min="1282" max="1282" width="3.28515625" style="240" customWidth="1"/>
    <col min="1283" max="1283" width="69.28515625" style="240" customWidth="1"/>
    <col min="1284" max="1284" width="6" style="240" customWidth="1"/>
    <col min="1285" max="1289" width="13.5703125" style="240" customWidth="1"/>
    <col min="1290" max="1334" width="0" style="240" hidden="1" customWidth="1"/>
    <col min="1335" max="1337" width="11.28515625" style="240" customWidth="1"/>
    <col min="1338" max="1338" width="12.7109375" style="240" customWidth="1"/>
    <col min="1339" max="1339" width="11.28515625" style="240" customWidth="1"/>
    <col min="1340" max="1349" width="0" style="240" hidden="1" customWidth="1"/>
    <col min="1350" max="1354" width="13.5703125" style="240" customWidth="1"/>
    <col min="1355" max="1355" width="3.28515625" style="240" customWidth="1"/>
    <col min="1356" max="1356" width="0" style="240" hidden="1" customWidth="1"/>
    <col min="1357" max="1357" width="3.28515625" style="240" customWidth="1"/>
    <col min="1358" max="1358" width="9.85546875" style="240" bestFit="1" customWidth="1"/>
    <col min="1359" max="1359" width="9.5703125" style="240" bestFit="1" customWidth="1"/>
    <col min="1360" max="1536" width="9.140625" style="240"/>
    <col min="1537" max="1537" width="2.85546875" style="240" customWidth="1"/>
    <col min="1538" max="1538" width="3.28515625" style="240" customWidth="1"/>
    <col min="1539" max="1539" width="69.28515625" style="240" customWidth="1"/>
    <col min="1540" max="1540" width="6" style="240" customWidth="1"/>
    <col min="1541" max="1545" width="13.5703125" style="240" customWidth="1"/>
    <col min="1546" max="1590" width="0" style="240" hidden="1" customWidth="1"/>
    <col min="1591" max="1593" width="11.28515625" style="240" customWidth="1"/>
    <col min="1594" max="1594" width="12.7109375" style="240" customWidth="1"/>
    <col min="1595" max="1595" width="11.28515625" style="240" customWidth="1"/>
    <col min="1596" max="1605" width="0" style="240" hidden="1" customWidth="1"/>
    <col min="1606" max="1610" width="13.5703125" style="240" customWidth="1"/>
    <col min="1611" max="1611" width="3.28515625" style="240" customWidth="1"/>
    <col min="1612" max="1612" width="0" style="240" hidden="1" customWidth="1"/>
    <col min="1613" max="1613" width="3.28515625" style="240" customWidth="1"/>
    <col min="1614" max="1614" width="9.85546875" style="240" bestFit="1" customWidth="1"/>
    <col min="1615" max="1615" width="9.5703125" style="240" bestFit="1" customWidth="1"/>
    <col min="1616" max="1792" width="9.140625" style="240"/>
    <col min="1793" max="1793" width="2.85546875" style="240" customWidth="1"/>
    <col min="1794" max="1794" width="3.28515625" style="240" customWidth="1"/>
    <col min="1795" max="1795" width="69.28515625" style="240" customWidth="1"/>
    <col min="1796" max="1796" width="6" style="240" customWidth="1"/>
    <col min="1797" max="1801" width="13.5703125" style="240" customWidth="1"/>
    <col min="1802" max="1846" width="0" style="240" hidden="1" customWidth="1"/>
    <col min="1847" max="1849" width="11.28515625" style="240" customWidth="1"/>
    <col min="1850" max="1850" width="12.7109375" style="240" customWidth="1"/>
    <col min="1851" max="1851" width="11.28515625" style="240" customWidth="1"/>
    <col min="1852" max="1861" width="0" style="240" hidden="1" customWidth="1"/>
    <col min="1862" max="1866" width="13.5703125" style="240" customWidth="1"/>
    <col min="1867" max="1867" width="3.28515625" style="240" customWidth="1"/>
    <col min="1868" max="1868" width="0" style="240" hidden="1" customWidth="1"/>
    <col min="1869" max="1869" width="3.28515625" style="240" customWidth="1"/>
    <col min="1870" max="1870" width="9.85546875" style="240" bestFit="1" customWidth="1"/>
    <col min="1871" max="1871" width="9.5703125" style="240" bestFit="1" customWidth="1"/>
    <col min="1872" max="2048" width="9.140625" style="240"/>
    <col min="2049" max="2049" width="2.85546875" style="240" customWidth="1"/>
    <col min="2050" max="2050" width="3.28515625" style="240" customWidth="1"/>
    <col min="2051" max="2051" width="69.28515625" style="240" customWidth="1"/>
    <col min="2052" max="2052" width="6" style="240" customWidth="1"/>
    <col min="2053" max="2057" width="13.5703125" style="240" customWidth="1"/>
    <col min="2058" max="2102" width="0" style="240" hidden="1" customWidth="1"/>
    <col min="2103" max="2105" width="11.28515625" style="240" customWidth="1"/>
    <col min="2106" max="2106" width="12.7109375" style="240" customWidth="1"/>
    <col min="2107" max="2107" width="11.28515625" style="240" customWidth="1"/>
    <col min="2108" max="2117" width="0" style="240" hidden="1" customWidth="1"/>
    <col min="2118" max="2122" width="13.5703125" style="240" customWidth="1"/>
    <col min="2123" max="2123" width="3.28515625" style="240" customWidth="1"/>
    <col min="2124" max="2124" width="0" style="240" hidden="1" customWidth="1"/>
    <col min="2125" max="2125" width="3.28515625" style="240" customWidth="1"/>
    <col min="2126" max="2126" width="9.85546875" style="240" bestFit="1" customWidth="1"/>
    <col min="2127" max="2127" width="9.5703125" style="240" bestFit="1" customWidth="1"/>
    <col min="2128" max="2304" width="9.140625" style="240"/>
    <col min="2305" max="2305" width="2.85546875" style="240" customWidth="1"/>
    <col min="2306" max="2306" width="3.28515625" style="240" customWidth="1"/>
    <col min="2307" max="2307" width="69.28515625" style="240" customWidth="1"/>
    <col min="2308" max="2308" width="6" style="240" customWidth="1"/>
    <col min="2309" max="2313" width="13.5703125" style="240" customWidth="1"/>
    <col min="2314" max="2358" width="0" style="240" hidden="1" customWidth="1"/>
    <col min="2359" max="2361" width="11.28515625" style="240" customWidth="1"/>
    <col min="2362" max="2362" width="12.7109375" style="240" customWidth="1"/>
    <col min="2363" max="2363" width="11.28515625" style="240" customWidth="1"/>
    <col min="2364" max="2373" width="0" style="240" hidden="1" customWidth="1"/>
    <col min="2374" max="2378" width="13.5703125" style="240" customWidth="1"/>
    <col min="2379" max="2379" width="3.28515625" style="240" customWidth="1"/>
    <col min="2380" max="2380" width="0" style="240" hidden="1" customWidth="1"/>
    <col min="2381" max="2381" width="3.28515625" style="240" customWidth="1"/>
    <col min="2382" max="2382" width="9.85546875" style="240" bestFit="1" customWidth="1"/>
    <col min="2383" max="2383" width="9.5703125" style="240" bestFit="1" customWidth="1"/>
    <col min="2384" max="2560" width="9.140625" style="240"/>
    <col min="2561" max="2561" width="2.85546875" style="240" customWidth="1"/>
    <col min="2562" max="2562" width="3.28515625" style="240" customWidth="1"/>
    <col min="2563" max="2563" width="69.28515625" style="240" customWidth="1"/>
    <col min="2564" max="2564" width="6" style="240" customWidth="1"/>
    <col min="2565" max="2569" width="13.5703125" style="240" customWidth="1"/>
    <col min="2570" max="2614" width="0" style="240" hidden="1" customWidth="1"/>
    <col min="2615" max="2617" width="11.28515625" style="240" customWidth="1"/>
    <col min="2618" max="2618" width="12.7109375" style="240" customWidth="1"/>
    <col min="2619" max="2619" width="11.28515625" style="240" customWidth="1"/>
    <col min="2620" max="2629" width="0" style="240" hidden="1" customWidth="1"/>
    <col min="2630" max="2634" width="13.5703125" style="240" customWidth="1"/>
    <col min="2635" max="2635" width="3.28515625" style="240" customWidth="1"/>
    <col min="2636" max="2636" width="0" style="240" hidden="1" customWidth="1"/>
    <col min="2637" max="2637" width="3.28515625" style="240" customWidth="1"/>
    <col min="2638" max="2638" width="9.85546875" style="240" bestFit="1" customWidth="1"/>
    <col min="2639" max="2639" width="9.5703125" style="240" bestFit="1" customWidth="1"/>
    <col min="2640" max="2816" width="9.140625" style="240"/>
    <col min="2817" max="2817" width="2.85546875" style="240" customWidth="1"/>
    <col min="2818" max="2818" width="3.28515625" style="240" customWidth="1"/>
    <col min="2819" max="2819" width="69.28515625" style="240" customWidth="1"/>
    <col min="2820" max="2820" width="6" style="240" customWidth="1"/>
    <col min="2821" max="2825" width="13.5703125" style="240" customWidth="1"/>
    <col min="2826" max="2870" width="0" style="240" hidden="1" customWidth="1"/>
    <col min="2871" max="2873" width="11.28515625" style="240" customWidth="1"/>
    <col min="2874" max="2874" width="12.7109375" style="240" customWidth="1"/>
    <col min="2875" max="2875" width="11.28515625" style="240" customWidth="1"/>
    <col min="2876" max="2885" width="0" style="240" hidden="1" customWidth="1"/>
    <col min="2886" max="2890" width="13.5703125" style="240" customWidth="1"/>
    <col min="2891" max="2891" width="3.28515625" style="240" customWidth="1"/>
    <col min="2892" max="2892" width="0" style="240" hidden="1" customWidth="1"/>
    <col min="2893" max="2893" width="3.28515625" style="240" customWidth="1"/>
    <col min="2894" max="2894" width="9.85546875" style="240" bestFit="1" customWidth="1"/>
    <col min="2895" max="2895" width="9.5703125" style="240" bestFit="1" customWidth="1"/>
    <col min="2896" max="3072" width="9.140625" style="240"/>
    <col min="3073" max="3073" width="2.85546875" style="240" customWidth="1"/>
    <col min="3074" max="3074" width="3.28515625" style="240" customWidth="1"/>
    <col min="3075" max="3075" width="69.28515625" style="240" customWidth="1"/>
    <col min="3076" max="3076" width="6" style="240" customWidth="1"/>
    <col min="3077" max="3081" width="13.5703125" style="240" customWidth="1"/>
    <col min="3082" max="3126" width="0" style="240" hidden="1" customWidth="1"/>
    <col min="3127" max="3129" width="11.28515625" style="240" customWidth="1"/>
    <col min="3130" max="3130" width="12.7109375" style="240" customWidth="1"/>
    <col min="3131" max="3131" width="11.28515625" style="240" customWidth="1"/>
    <col min="3132" max="3141" width="0" style="240" hidden="1" customWidth="1"/>
    <col min="3142" max="3146" width="13.5703125" style="240" customWidth="1"/>
    <col min="3147" max="3147" width="3.28515625" style="240" customWidth="1"/>
    <col min="3148" max="3148" width="0" style="240" hidden="1" customWidth="1"/>
    <col min="3149" max="3149" width="3.28515625" style="240" customWidth="1"/>
    <col min="3150" max="3150" width="9.85546875" style="240" bestFit="1" customWidth="1"/>
    <col min="3151" max="3151" width="9.5703125" style="240" bestFit="1" customWidth="1"/>
    <col min="3152" max="3328" width="9.140625" style="240"/>
    <col min="3329" max="3329" width="2.85546875" style="240" customWidth="1"/>
    <col min="3330" max="3330" width="3.28515625" style="240" customWidth="1"/>
    <col min="3331" max="3331" width="69.28515625" style="240" customWidth="1"/>
    <col min="3332" max="3332" width="6" style="240" customWidth="1"/>
    <col min="3333" max="3337" width="13.5703125" style="240" customWidth="1"/>
    <col min="3338" max="3382" width="0" style="240" hidden="1" customWidth="1"/>
    <col min="3383" max="3385" width="11.28515625" style="240" customWidth="1"/>
    <col min="3386" max="3386" width="12.7109375" style="240" customWidth="1"/>
    <col min="3387" max="3387" width="11.28515625" style="240" customWidth="1"/>
    <col min="3388" max="3397" width="0" style="240" hidden="1" customWidth="1"/>
    <col min="3398" max="3402" width="13.5703125" style="240" customWidth="1"/>
    <col min="3403" max="3403" width="3.28515625" style="240" customWidth="1"/>
    <col min="3404" max="3404" width="0" style="240" hidden="1" customWidth="1"/>
    <col min="3405" max="3405" width="3.28515625" style="240" customWidth="1"/>
    <col min="3406" max="3406" width="9.85546875" style="240" bestFit="1" customWidth="1"/>
    <col min="3407" max="3407" width="9.5703125" style="240" bestFit="1" customWidth="1"/>
    <col min="3408" max="3584" width="9.140625" style="240"/>
    <col min="3585" max="3585" width="2.85546875" style="240" customWidth="1"/>
    <col min="3586" max="3586" width="3.28515625" style="240" customWidth="1"/>
    <col min="3587" max="3587" width="69.28515625" style="240" customWidth="1"/>
    <col min="3588" max="3588" width="6" style="240" customWidth="1"/>
    <col min="3589" max="3593" width="13.5703125" style="240" customWidth="1"/>
    <col min="3594" max="3638" width="0" style="240" hidden="1" customWidth="1"/>
    <col min="3639" max="3641" width="11.28515625" style="240" customWidth="1"/>
    <col min="3642" max="3642" width="12.7109375" style="240" customWidth="1"/>
    <col min="3643" max="3643" width="11.28515625" style="240" customWidth="1"/>
    <col min="3644" max="3653" width="0" style="240" hidden="1" customWidth="1"/>
    <col min="3654" max="3658" width="13.5703125" style="240" customWidth="1"/>
    <col min="3659" max="3659" width="3.28515625" style="240" customWidth="1"/>
    <col min="3660" max="3660" width="0" style="240" hidden="1" customWidth="1"/>
    <col min="3661" max="3661" width="3.28515625" style="240" customWidth="1"/>
    <col min="3662" max="3662" width="9.85546875" style="240" bestFit="1" customWidth="1"/>
    <col min="3663" max="3663" width="9.5703125" style="240" bestFit="1" customWidth="1"/>
    <col min="3664" max="3840" width="9.140625" style="240"/>
    <col min="3841" max="3841" width="2.85546875" style="240" customWidth="1"/>
    <col min="3842" max="3842" width="3.28515625" style="240" customWidth="1"/>
    <col min="3843" max="3843" width="69.28515625" style="240" customWidth="1"/>
    <col min="3844" max="3844" width="6" style="240" customWidth="1"/>
    <col min="3845" max="3849" width="13.5703125" style="240" customWidth="1"/>
    <col min="3850" max="3894" width="0" style="240" hidden="1" customWidth="1"/>
    <col min="3895" max="3897" width="11.28515625" style="240" customWidth="1"/>
    <col min="3898" max="3898" width="12.7109375" style="240" customWidth="1"/>
    <col min="3899" max="3899" width="11.28515625" style="240" customWidth="1"/>
    <col min="3900" max="3909" width="0" style="240" hidden="1" customWidth="1"/>
    <col min="3910" max="3914" width="13.5703125" style="240" customWidth="1"/>
    <col min="3915" max="3915" width="3.28515625" style="240" customWidth="1"/>
    <col min="3916" max="3916" width="0" style="240" hidden="1" customWidth="1"/>
    <col min="3917" max="3917" width="3.28515625" style="240" customWidth="1"/>
    <col min="3918" max="3918" width="9.85546875" style="240" bestFit="1" customWidth="1"/>
    <col min="3919" max="3919" width="9.5703125" style="240" bestFit="1" customWidth="1"/>
    <col min="3920" max="4096" width="9.140625" style="240"/>
    <col min="4097" max="4097" width="2.85546875" style="240" customWidth="1"/>
    <col min="4098" max="4098" width="3.28515625" style="240" customWidth="1"/>
    <col min="4099" max="4099" width="69.28515625" style="240" customWidth="1"/>
    <col min="4100" max="4100" width="6" style="240" customWidth="1"/>
    <col min="4101" max="4105" width="13.5703125" style="240" customWidth="1"/>
    <col min="4106" max="4150" width="0" style="240" hidden="1" customWidth="1"/>
    <col min="4151" max="4153" width="11.28515625" style="240" customWidth="1"/>
    <col min="4154" max="4154" width="12.7109375" style="240" customWidth="1"/>
    <col min="4155" max="4155" width="11.28515625" style="240" customWidth="1"/>
    <col min="4156" max="4165" width="0" style="240" hidden="1" customWidth="1"/>
    <col min="4166" max="4170" width="13.5703125" style="240" customWidth="1"/>
    <col min="4171" max="4171" width="3.28515625" style="240" customWidth="1"/>
    <col min="4172" max="4172" width="0" style="240" hidden="1" customWidth="1"/>
    <col min="4173" max="4173" width="3.28515625" style="240" customWidth="1"/>
    <col min="4174" max="4174" width="9.85546875" style="240" bestFit="1" customWidth="1"/>
    <col min="4175" max="4175" width="9.5703125" style="240" bestFit="1" customWidth="1"/>
    <col min="4176" max="4352" width="9.140625" style="240"/>
    <col min="4353" max="4353" width="2.85546875" style="240" customWidth="1"/>
    <col min="4354" max="4354" width="3.28515625" style="240" customWidth="1"/>
    <col min="4355" max="4355" width="69.28515625" style="240" customWidth="1"/>
    <col min="4356" max="4356" width="6" style="240" customWidth="1"/>
    <col min="4357" max="4361" width="13.5703125" style="240" customWidth="1"/>
    <col min="4362" max="4406" width="0" style="240" hidden="1" customWidth="1"/>
    <col min="4407" max="4409" width="11.28515625" style="240" customWidth="1"/>
    <col min="4410" max="4410" width="12.7109375" style="240" customWidth="1"/>
    <col min="4411" max="4411" width="11.28515625" style="240" customWidth="1"/>
    <col min="4412" max="4421" width="0" style="240" hidden="1" customWidth="1"/>
    <col min="4422" max="4426" width="13.5703125" style="240" customWidth="1"/>
    <col min="4427" max="4427" width="3.28515625" style="240" customWidth="1"/>
    <col min="4428" max="4428" width="0" style="240" hidden="1" customWidth="1"/>
    <col min="4429" max="4429" width="3.28515625" style="240" customWidth="1"/>
    <col min="4430" max="4430" width="9.85546875" style="240" bestFit="1" customWidth="1"/>
    <col min="4431" max="4431" width="9.5703125" style="240" bestFit="1" customWidth="1"/>
    <col min="4432" max="4608" width="9.140625" style="240"/>
    <col min="4609" max="4609" width="2.85546875" style="240" customWidth="1"/>
    <col min="4610" max="4610" width="3.28515625" style="240" customWidth="1"/>
    <col min="4611" max="4611" width="69.28515625" style="240" customWidth="1"/>
    <col min="4612" max="4612" width="6" style="240" customWidth="1"/>
    <col min="4613" max="4617" width="13.5703125" style="240" customWidth="1"/>
    <col min="4618" max="4662" width="0" style="240" hidden="1" customWidth="1"/>
    <col min="4663" max="4665" width="11.28515625" style="240" customWidth="1"/>
    <col min="4666" max="4666" width="12.7109375" style="240" customWidth="1"/>
    <col min="4667" max="4667" width="11.28515625" style="240" customWidth="1"/>
    <col min="4668" max="4677" width="0" style="240" hidden="1" customWidth="1"/>
    <col min="4678" max="4682" width="13.5703125" style="240" customWidth="1"/>
    <col min="4683" max="4683" width="3.28515625" style="240" customWidth="1"/>
    <col min="4684" max="4684" width="0" style="240" hidden="1" customWidth="1"/>
    <col min="4685" max="4685" width="3.28515625" style="240" customWidth="1"/>
    <col min="4686" max="4686" width="9.85546875" style="240" bestFit="1" customWidth="1"/>
    <col min="4687" max="4687" width="9.5703125" style="240" bestFit="1" customWidth="1"/>
    <col min="4688" max="4864" width="9.140625" style="240"/>
    <col min="4865" max="4865" width="2.85546875" style="240" customWidth="1"/>
    <col min="4866" max="4866" width="3.28515625" style="240" customWidth="1"/>
    <col min="4867" max="4867" width="69.28515625" style="240" customWidth="1"/>
    <col min="4868" max="4868" width="6" style="240" customWidth="1"/>
    <col min="4869" max="4873" width="13.5703125" style="240" customWidth="1"/>
    <col min="4874" max="4918" width="0" style="240" hidden="1" customWidth="1"/>
    <col min="4919" max="4921" width="11.28515625" style="240" customWidth="1"/>
    <col min="4922" max="4922" width="12.7109375" style="240" customWidth="1"/>
    <col min="4923" max="4923" width="11.28515625" style="240" customWidth="1"/>
    <col min="4924" max="4933" width="0" style="240" hidden="1" customWidth="1"/>
    <col min="4934" max="4938" width="13.5703125" style="240" customWidth="1"/>
    <col min="4939" max="4939" width="3.28515625" style="240" customWidth="1"/>
    <col min="4940" max="4940" width="0" style="240" hidden="1" customWidth="1"/>
    <col min="4941" max="4941" width="3.28515625" style="240" customWidth="1"/>
    <col min="4942" max="4942" width="9.85546875" style="240" bestFit="1" customWidth="1"/>
    <col min="4943" max="4943" width="9.5703125" style="240" bestFit="1" customWidth="1"/>
    <col min="4944" max="5120" width="9.140625" style="240"/>
    <col min="5121" max="5121" width="2.85546875" style="240" customWidth="1"/>
    <col min="5122" max="5122" width="3.28515625" style="240" customWidth="1"/>
    <col min="5123" max="5123" width="69.28515625" style="240" customWidth="1"/>
    <col min="5124" max="5124" width="6" style="240" customWidth="1"/>
    <col min="5125" max="5129" width="13.5703125" style="240" customWidth="1"/>
    <col min="5130" max="5174" width="0" style="240" hidden="1" customWidth="1"/>
    <col min="5175" max="5177" width="11.28515625" style="240" customWidth="1"/>
    <col min="5178" max="5178" width="12.7109375" style="240" customWidth="1"/>
    <col min="5179" max="5179" width="11.28515625" style="240" customWidth="1"/>
    <col min="5180" max="5189" width="0" style="240" hidden="1" customWidth="1"/>
    <col min="5190" max="5194" width="13.5703125" style="240" customWidth="1"/>
    <col min="5195" max="5195" width="3.28515625" style="240" customWidth="1"/>
    <col min="5196" max="5196" width="0" style="240" hidden="1" customWidth="1"/>
    <col min="5197" max="5197" width="3.28515625" style="240" customWidth="1"/>
    <col min="5198" max="5198" width="9.85546875" style="240" bestFit="1" customWidth="1"/>
    <col min="5199" max="5199" width="9.5703125" style="240" bestFit="1" customWidth="1"/>
    <col min="5200" max="5376" width="9.140625" style="240"/>
    <col min="5377" max="5377" width="2.85546875" style="240" customWidth="1"/>
    <col min="5378" max="5378" width="3.28515625" style="240" customWidth="1"/>
    <col min="5379" max="5379" width="69.28515625" style="240" customWidth="1"/>
    <col min="5380" max="5380" width="6" style="240" customWidth="1"/>
    <col min="5381" max="5385" width="13.5703125" style="240" customWidth="1"/>
    <col min="5386" max="5430" width="0" style="240" hidden="1" customWidth="1"/>
    <col min="5431" max="5433" width="11.28515625" style="240" customWidth="1"/>
    <col min="5434" max="5434" width="12.7109375" style="240" customWidth="1"/>
    <col min="5435" max="5435" width="11.28515625" style="240" customWidth="1"/>
    <col min="5436" max="5445" width="0" style="240" hidden="1" customWidth="1"/>
    <col min="5446" max="5450" width="13.5703125" style="240" customWidth="1"/>
    <col min="5451" max="5451" width="3.28515625" style="240" customWidth="1"/>
    <col min="5452" max="5452" width="0" style="240" hidden="1" customWidth="1"/>
    <col min="5453" max="5453" width="3.28515625" style="240" customWidth="1"/>
    <col min="5454" max="5454" width="9.85546875" style="240" bestFit="1" customWidth="1"/>
    <col min="5455" max="5455" width="9.5703125" style="240" bestFit="1" customWidth="1"/>
    <col min="5456" max="5632" width="9.140625" style="240"/>
    <col min="5633" max="5633" width="2.85546875" style="240" customWidth="1"/>
    <col min="5634" max="5634" width="3.28515625" style="240" customWidth="1"/>
    <col min="5635" max="5635" width="69.28515625" style="240" customWidth="1"/>
    <col min="5636" max="5636" width="6" style="240" customWidth="1"/>
    <col min="5637" max="5641" width="13.5703125" style="240" customWidth="1"/>
    <col min="5642" max="5686" width="0" style="240" hidden="1" customWidth="1"/>
    <col min="5687" max="5689" width="11.28515625" style="240" customWidth="1"/>
    <col min="5690" max="5690" width="12.7109375" style="240" customWidth="1"/>
    <col min="5691" max="5691" width="11.28515625" style="240" customWidth="1"/>
    <col min="5692" max="5701" width="0" style="240" hidden="1" customWidth="1"/>
    <col min="5702" max="5706" width="13.5703125" style="240" customWidth="1"/>
    <col min="5707" max="5707" width="3.28515625" style="240" customWidth="1"/>
    <col min="5708" max="5708" width="0" style="240" hidden="1" customWidth="1"/>
    <col min="5709" max="5709" width="3.28515625" style="240" customWidth="1"/>
    <col min="5710" max="5710" width="9.85546875" style="240" bestFit="1" customWidth="1"/>
    <col min="5711" max="5711" width="9.5703125" style="240" bestFit="1" customWidth="1"/>
    <col min="5712" max="5888" width="9.140625" style="240"/>
    <col min="5889" max="5889" width="2.85546875" style="240" customWidth="1"/>
    <col min="5890" max="5890" width="3.28515625" style="240" customWidth="1"/>
    <col min="5891" max="5891" width="69.28515625" style="240" customWidth="1"/>
    <col min="5892" max="5892" width="6" style="240" customWidth="1"/>
    <col min="5893" max="5897" width="13.5703125" style="240" customWidth="1"/>
    <col min="5898" max="5942" width="0" style="240" hidden="1" customWidth="1"/>
    <col min="5943" max="5945" width="11.28515625" style="240" customWidth="1"/>
    <col min="5946" max="5946" width="12.7109375" style="240" customWidth="1"/>
    <col min="5947" max="5947" width="11.28515625" style="240" customWidth="1"/>
    <col min="5948" max="5957" width="0" style="240" hidden="1" customWidth="1"/>
    <col min="5958" max="5962" width="13.5703125" style="240" customWidth="1"/>
    <col min="5963" max="5963" width="3.28515625" style="240" customWidth="1"/>
    <col min="5964" max="5964" width="0" style="240" hidden="1" customWidth="1"/>
    <col min="5965" max="5965" width="3.28515625" style="240" customWidth="1"/>
    <col min="5966" max="5966" width="9.85546875" style="240" bestFit="1" customWidth="1"/>
    <col min="5967" max="5967" width="9.5703125" style="240" bestFit="1" customWidth="1"/>
    <col min="5968" max="6144" width="9.140625" style="240"/>
    <col min="6145" max="6145" width="2.85546875" style="240" customWidth="1"/>
    <col min="6146" max="6146" width="3.28515625" style="240" customWidth="1"/>
    <col min="6147" max="6147" width="69.28515625" style="240" customWidth="1"/>
    <col min="6148" max="6148" width="6" style="240" customWidth="1"/>
    <col min="6149" max="6153" width="13.5703125" style="240" customWidth="1"/>
    <col min="6154" max="6198" width="0" style="240" hidden="1" customWidth="1"/>
    <col min="6199" max="6201" width="11.28515625" style="240" customWidth="1"/>
    <col min="6202" max="6202" width="12.7109375" style="240" customWidth="1"/>
    <col min="6203" max="6203" width="11.28515625" style="240" customWidth="1"/>
    <col min="6204" max="6213" width="0" style="240" hidden="1" customWidth="1"/>
    <col min="6214" max="6218" width="13.5703125" style="240" customWidth="1"/>
    <col min="6219" max="6219" width="3.28515625" style="240" customWidth="1"/>
    <col min="6220" max="6220" width="0" style="240" hidden="1" customWidth="1"/>
    <col min="6221" max="6221" width="3.28515625" style="240" customWidth="1"/>
    <col min="6222" max="6222" width="9.85546875" style="240" bestFit="1" customWidth="1"/>
    <col min="6223" max="6223" width="9.5703125" style="240" bestFit="1" customWidth="1"/>
    <col min="6224" max="6400" width="9.140625" style="240"/>
    <col min="6401" max="6401" width="2.85546875" style="240" customWidth="1"/>
    <col min="6402" max="6402" width="3.28515625" style="240" customWidth="1"/>
    <col min="6403" max="6403" width="69.28515625" style="240" customWidth="1"/>
    <col min="6404" max="6404" width="6" style="240" customWidth="1"/>
    <col min="6405" max="6409" width="13.5703125" style="240" customWidth="1"/>
    <col min="6410" max="6454" width="0" style="240" hidden="1" customWidth="1"/>
    <col min="6455" max="6457" width="11.28515625" style="240" customWidth="1"/>
    <col min="6458" max="6458" width="12.7109375" style="240" customWidth="1"/>
    <col min="6459" max="6459" width="11.28515625" style="240" customWidth="1"/>
    <col min="6460" max="6469" width="0" style="240" hidden="1" customWidth="1"/>
    <col min="6470" max="6474" width="13.5703125" style="240" customWidth="1"/>
    <col min="6475" max="6475" width="3.28515625" style="240" customWidth="1"/>
    <col min="6476" max="6476" width="0" style="240" hidden="1" customWidth="1"/>
    <col min="6477" max="6477" width="3.28515625" style="240" customWidth="1"/>
    <col min="6478" max="6478" width="9.85546875" style="240" bestFit="1" customWidth="1"/>
    <col min="6479" max="6479" width="9.5703125" style="240" bestFit="1" customWidth="1"/>
    <col min="6480" max="6656" width="9.140625" style="240"/>
    <col min="6657" max="6657" width="2.85546875" style="240" customWidth="1"/>
    <col min="6658" max="6658" width="3.28515625" style="240" customWidth="1"/>
    <col min="6659" max="6659" width="69.28515625" style="240" customWidth="1"/>
    <col min="6660" max="6660" width="6" style="240" customWidth="1"/>
    <col min="6661" max="6665" width="13.5703125" style="240" customWidth="1"/>
    <col min="6666" max="6710" width="0" style="240" hidden="1" customWidth="1"/>
    <col min="6711" max="6713" width="11.28515625" style="240" customWidth="1"/>
    <col min="6714" max="6714" width="12.7109375" style="240" customWidth="1"/>
    <col min="6715" max="6715" width="11.28515625" style="240" customWidth="1"/>
    <col min="6716" max="6725" width="0" style="240" hidden="1" customWidth="1"/>
    <col min="6726" max="6730" width="13.5703125" style="240" customWidth="1"/>
    <col min="6731" max="6731" width="3.28515625" style="240" customWidth="1"/>
    <col min="6732" max="6732" width="0" style="240" hidden="1" customWidth="1"/>
    <col min="6733" max="6733" width="3.28515625" style="240" customWidth="1"/>
    <col min="6734" max="6734" width="9.85546875" style="240" bestFit="1" customWidth="1"/>
    <col min="6735" max="6735" width="9.5703125" style="240" bestFit="1" customWidth="1"/>
    <col min="6736" max="6912" width="9.140625" style="240"/>
    <col min="6913" max="6913" width="2.85546875" style="240" customWidth="1"/>
    <col min="6914" max="6914" width="3.28515625" style="240" customWidth="1"/>
    <col min="6915" max="6915" width="69.28515625" style="240" customWidth="1"/>
    <col min="6916" max="6916" width="6" style="240" customWidth="1"/>
    <col min="6917" max="6921" width="13.5703125" style="240" customWidth="1"/>
    <col min="6922" max="6966" width="0" style="240" hidden="1" customWidth="1"/>
    <col min="6967" max="6969" width="11.28515625" style="240" customWidth="1"/>
    <col min="6970" max="6970" width="12.7109375" style="240" customWidth="1"/>
    <col min="6971" max="6971" width="11.28515625" style="240" customWidth="1"/>
    <col min="6972" max="6981" width="0" style="240" hidden="1" customWidth="1"/>
    <col min="6982" max="6986" width="13.5703125" style="240" customWidth="1"/>
    <col min="6987" max="6987" width="3.28515625" style="240" customWidth="1"/>
    <col min="6988" max="6988" width="0" style="240" hidden="1" customWidth="1"/>
    <col min="6989" max="6989" width="3.28515625" style="240" customWidth="1"/>
    <col min="6990" max="6990" width="9.85546875" style="240" bestFit="1" customWidth="1"/>
    <col min="6991" max="6991" width="9.5703125" style="240" bestFit="1" customWidth="1"/>
    <col min="6992" max="7168" width="9.140625" style="240"/>
    <col min="7169" max="7169" width="2.85546875" style="240" customWidth="1"/>
    <col min="7170" max="7170" width="3.28515625" style="240" customWidth="1"/>
    <col min="7171" max="7171" width="69.28515625" style="240" customWidth="1"/>
    <col min="7172" max="7172" width="6" style="240" customWidth="1"/>
    <col min="7173" max="7177" width="13.5703125" style="240" customWidth="1"/>
    <col min="7178" max="7222" width="0" style="240" hidden="1" customWidth="1"/>
    <col min="7223" max="7225" width="11.28515625" style="240" customWidth="1"/>
    <col min="7226" max="7226" width="12.7109375" style="240" customWidth="1"/>
    <col min="7227" max="7227" width="11.28515625" style="240" customWidth="1"/>
    <col min="7228" max="7237" width="0" style="240" hidden="1" customWidth="1"/>
    <col min="7238" max="7242" width="13.5703125" style="240" customWidth="1"/>
    <col min="7243" max="7243" width="3.28515625" style="240" customWidth="1"/>
    <col min="7244" max="7244" width="0" style="240" hidden="1" customWidth="1"/>
    <col min="7245" max="7245" width="3.28515625" style="240" customWidth="1"/>
    <col min="7246" max="7246" width="9.85546875" style="240" bestFit="1" customWidth="1"/>
    <col min="7247" max="7247" width="9.5703125" style="240" bestFit="1" customWidth="1"/>
    <col min="7248" max="7424" width="9.140625" style="240"/>
    <col min="7425" max="7425" width="2.85546875" style="240" customWidth="1"/>
    <col min="7426" max="7426" width="3.28515625" style="240" customWidth="1"/>
    <col min="7427" max="7427" width="69.28515625" style="240" customWidth="1"/>
    <col min="7428" max="7428" width="6" style="240" customWidth="1"/>
    <col min="7429" max="7433" width="13.5703125" style="240" customWidth="1"/>
    <col min="7434" max="7478" width="0" style="240" hidden="1" customWidth="1"/>
    <col min="7479" max="7481" width="11.28515625" style="240" customWidth="1"/>
    <col min="7482" max="7482" width="12.7109375" style="240" customWidth="1"/>
    <col min="7483" max="7483" width="11.28515625" style="240" customWidth="1"/>
    <col min="7484" max="7493" width="0" style="240" hidden="1" customWidth="1"/>
    <col min="7494" max="7498" width="13.5703125" style="240" customWidth="1"/>
    <col min="7499" max="7499" width="3.28515625" style="240" customWidth="1"/>
    <col min="7500" max="7500" width="0" style="240" hidden="1" customWidth="1"/>
    <col min="7501" max="7501" width="3.28515625" style="240" customWidth="1"/>
    <col min="7502" max="7502" width="9.85546875" style="240" bestFit="1" customWidth="1"/>
    <col min="7503" max="7503" width="9.5703125" style="240" bestFit="1" customWidth="1"/>
    <col min="7504" max="7680" width="9.140625" style="240"/>
    <col min="7681" max="7681" width="2.85546875" style="240" customWidth="1"/>
    <col min="7682" max="7682" width="3.28515625" style="240" customWidth="1"/>
    <col min="7683" max="7683" width="69.28515625" style="240" customWidth="1"/>
    <col min="7684" max="7684" width="6" style="240" customWidth="1"/>
    <col min="7685" max="7689" width="13.5703125" style="240" customWidth="1"/>
    <col min="7690" max="7734" width="0" style="240" hidden="1" customWidth="1"/>
    <col min="7735" max="7737" width="11.28515625" style="240" customWidth="1"/>
    <col min="7738" max="7738" width="12.7109375" style="240" customWidth="1"/>
    <col min="7739" max="7739" width="11.28515625" style="240" customWidth="1"/>
    <col min="7740" max="7749" width="0" style="240" hidden="1" customWidth="1"/>
    <col min="7750" max="7754" width="13.5703125" style="240" customWidth="1"/>
    <col min="7755" max="7755" width="3.28515625" style="240" customWidth="1"/>
    <col min="7756" max="7756" width="0" style="240" hidden="1" customWidth="1"/>
    <col min="7757" max="7757" width="3.28515625" style="240" customWidth="1"/>
    <col min="7758" max="7758" width="9.85546875" style="240" bestFit="1" customWidth="1"/>
    <col min="7759" max="7759" width="9.5703125" style="240" bestFit="1" customWidth="1"/>
    <col min="7760" max="7936" width="9.140625" style="240"/>
    <col min="7937" max="7937" width="2.85546875" style="240" customWidth="1"/>
    <col min="7938" max="7938" width="3.28515625" style="240" customWidth="1"/>
    <col min="7939" max="7939" width="69.28515625" style="240" customWidth="1"/>
    <col min="7940" max="7940" width="6" style="240" customWidth="1"/>
    <col min="7941" max="7945" width="13.5703125" style="240" customWidth="1"/>
    <col min="7946" max="7990" width="0" style="240" hidden="1" customWidth="1"/>
    <col min="7991" max="7993" width="11.28515625" style="240" customWidth="1"/>
    <col min="7994" max="7994" width="12.7109375" style="240" customWidth="1"/>
    <col min="7995" max="7995" width="11.28515625" style="240" customWidth="1"/>
    <col min="7996" max="8005" width="0" style="240" hidden="1" customWidth="1"/>
    <col min="8006" max="8010" width="13.5703125" style="240" customWidth="1"/>
    <col min="8011" max="8011" width="3.28515625" style="240" customWidth="1"/>
    <col min="8012" max="8012" width="0" style="240" hidden="1" customWidth="1"/>
    <col min="8013" max="8013" width="3.28515625" style="240" customWidth="1"/>
    <col min="8014" max="8014" width="9.85546875" style="240" bestFit="1" customWidth="1"/>
    <col min="8015" max="8015" width="9.5703125" style="240" bestFit="1" customWidth="1"/>
    <col min="8016" max="8192" width="9.140625" style="240"/>
    <col min="8193" max="8193" width="2.85546875" style="240" customWidth="1"/>
    <col min="8194" max="8194" width="3.28515625" style="240" customWidth="1"/>
    <col min="8195" max="8195" width="69.28515625" style="240" customWidth="1"/>
    <col min="8196" max="8196" width="6" style="240" customWidth="1"/>
    <col min="8197" max="8201" width="13.5703125" style="240" customWidth="1"/>
    <col min="8202" max="8246" width="0" style="240" hidden="1" customWidth="1"/>
    <col min="8247" max="8249" width="11.28515625" style="240" customWidth="1"/>
    <col min="8250" max="8250" width="12.7109375" style="240" customWidth="1"/>
    <col min="8251" max="8251" width="11.28515625" style="240" customWidth="1"/>
    <col min="8252" max="8261" width="0" style="240" hidden="1" customWidth="1"/>
    <col min="8262" max="8266" width="13.5703125" style="240" customWidth="1"/>
    <col min="8267" max="8267" width="3.28515625" style="240" customWidth="1"/>
    <col min="8268" max="8268" width="0" style="240" hidden="1" customWidth="1"/>
    <col min="8269" max="8269" width="3.28515625" style="240" customWidth="1"/>
    <col min="8270" max="8270" width="9.85546875" style="240" bestFit="1" customWidth="1"/>
    <col min="8271" max="8271" width="9.5703125" style="240" bestFit="1" customWidth="1"/>
    <col min="8272" max="8448" width="9.140625" style="240"/>
    <col min="8449" max="8449" width="2.85546875" style="240" customWidth="1"/>
    <col min="8450" max="8450" width="3.28515625" style="240" customWidth="1"/>
    <col min="8451" max="8451" width="69.28515625" style="240" customWidth="1"/>
    <col min="8452" max="8452" width="6" style="240" customWidth="1"/>
    <col min="8453" max="8457" width="13.5703125" style="240" customWidth="1"/>
    <col min="8458" max="8502" width="0" style="240" hidden="1" customWidth="1"/>
    <col min="8503" max="8505" width="11.28515625" style="240" customWidth="1"/>
    <col min="8506" max="8506" width="12.7109375" style="240" customWidth="1"/>
    <col min="8507" max="8507" width="11.28515625" style="240" customWidth="1"/>
    <col min="8508" max="8517" width="0" style="240" hidden="1" customWidth="1"/>
    <col min="8518" max="8522" width="13.5703125" style="240" customWidth="1"/>
    <col min="8523" max="8523" width="3.28515625" style="240" customWidth="1"/>
    <col min="8524" max="8524" width="0" style="240" hidden="1" customWidth="1"/>
    <col min="8525" max="8525" width="3.28515625" style="240" customWidth="1"/>
    <col min="8526" max="8526" width="9.85546875" style="240" bestFit="1" customWidth="1"/>
    <col min="8527" max="8527" width="9.5703125" style="240" bestFit="1" customWidth="1"/>
    <col min="8528" max="8704" width="9.140625" style="240"/>
    <col min="8705" max="8705" width="2.85546875" style="240" customWidth="1"/>
    <col min="8706" max="8706" width="3.28515625" style="240" customWidth="1"/>
    <col min="8707" max="8707" width="69.28515625" style="240" customWidth="1"/>
    <col min="8708" max="8708" width="6" style="240" customWidth="1"/>
    <col min="8709" max="8713" width="13.5703125" style="240" customWidth="1"/>
    <col min="8714" max="8758" width="0" style="240" hidden="1" customWidth="1"/>
    <col min="8759" max="8761" width="11.28515625" style="240" customWidth="1"/>
    <col min="8762" max="8762" width="12.7109375" style="240" customWidth="1"/>
    <col min="8763" max="8763" width="11.28515625" style="240" customWidth="1"/>
    <col min="8764" max="8773" width="0" style="240" hidden="1" customWidth="1"/>
    <col min="8774" max="8778" width="13.5703125" style="240" customWidth="1"/>
    <col min="8779" max="8779" width="3.28515625" style="240" customWidth="1"/>
    <col min="8780" max="8780" width="0" style="240" hidden="1" customWidth="1"/>
    <col min="8781" max="8781" width="3.28515625" style="240" customWidth="1"/>
    <col min="8782" max="8782" width="9.85546875" style="240" bestFit="1" customWidth="1"/>
    <col min="8783" max="8783" width="9.5703125" style="240" bestFit="1" customWidth="1"/>
    <col min="8784" max="8960" width="9.140625" style="240"/>
    <col min="8961" max="8961" width="2.85546875" style="240" customWidth="1"/>
    <col min="8962" max="8962" width="3.28515625" style="240" customWidth="1"/>
    <col min="8963" max="8963" width="69.28515625" style="240" customWidth="1"/>
    <col min="8964" max="8964" width="6" style="240" customWidth="1"/>
    <col min="8965" max="8969" width="13.5703125" style="240" customWidth="1"/>
    <col min="8970" max="9014" width="0" style="240" hidden="1" customWidth="1"/>
    <col min="9015" max="9017" width="11.28515625" style="240" customWidth="1"/>
    <col min="9018" max="9018" width="12.7109375" style="240" customWidth="1"/>
    <col min="9019" max="9019" width="11.28515625" style="240" customWidth="1"/>
    <col min="9020" max="9029" width="0" style="240" hidden="1" customWidth="1"/>
    <col min="9030" max="9034" width="13.5703125" style="240" customWidth="1"/>
    <col min="9035" max="9035" width="3.28515625" style="240" customWidth="1"/>
    <col min="9036" max="9036" width="0" style="240" hidden="1" customWidth="1"/>
    <col min="9037" max="9037" width="3.28515625" style="240" customWidth="1"/>
    <col min="9038" max="9038" width="9.85546875" style="240" bestFit="1" customWidth="1"/>
    <col min="9039" max="9039" width="9.5703125" style="240" bestFit="1" customWidth="1"/>
    <col min="9040" max="9216" width="9.140625" style="240"/>
    <col min="9217" max="9217" width="2.85546875" style="240" customWidth="1"/>
    <col min="9218" max="9218" width="3.28515625" style="240" customWidth="1"/>
    <col min="9219" max="9219" width="69.28515625" style="240" customWidth="1"/>
    <col min="9220" max="9220" width="6" style="240" customWidth="1"/>
    <col min="9221" max="9225" width="13.5703125" style="240" customWidth="1"/>
    <col min="9226" max="9270" width="0" style="240" hidden="1" customWidth="1"/>
    <col min="9271" max="9273" width="11.28515625" style="240" customWidth="1"/>
    <col min="9274" max="9274" width="12.7109375" style="240" customWidth="1"/>
    <col min="9275" max="9275" width="11.28515625" style="240" customWidth="1"/>
    <col min="9276" max="9285" width="0" style="240" hidden="1" customWidth="1"/>
    <col min="9286" max="9290" width="13.5703125" style="240" customWidth="1"/>
    <col min="9291" max="9291" width="3.28515625" style="240" customWidth="1"/>
    <col min="9292" max="9292" width="0" style="240" hidden="1" customWidth="1"/>
    <col min="9293" max="9293" width="3.28515625" style="240" customWidth="1"/>
    <col min="9294" max="9294" width="9.85546875" style="240" bestFit="1" customWidth="1"/>
    <col min="9295" max="9295" width="9.5703125" style="240" bestFit="1" customWidth="1"/>
    <col min="9296" max="9472" width="9.140625" style="240"/>
    <col min="9473" max="9473" width="2.85546875" style="240" customWidth="1"/>
    <col min="9474" max="9474" width="3.28515625" style="240" customWidth="1"/>
    <col min="9475" max="9475" width="69.28515625" style="240" customWidth="1"/>
    <col min="9476" max="9476" width="6" style="240" customWidth="1"/>
    <col min="9477" max="9481" width="13.5703125" style="240" customWidth="1"/>
    <col min="9482" max="9526" width="0" style="240" hidden="1" customWidth="1"/>
    <col min="9527" max="9529" width="11.28515625" style="240" customWidth="1"/>
    <col min="9530" max="9530" width="12.7109375" style="240" customWidth="1"/>
    <col min="9531" max="9531" width="11.28515625" style="240" customWidth="1"/>
    <col min="9532" max="9541" width="0" style="240" hidden="1" customWidth="1"/>
    <col min="9542" max="9546" width="13.5703125" style="240" customWidth="1"/>
    <col min="9547" max="9547" width="3.28515625" style="240" customWidth="1"/>
    <col min="9548" max="9548" width="0" style="240" hidden="1" customWidth="1"/>
    <col min="9549" max="9549" width="3.28515625" style="240" customWidth="1"/>
    <col min="9550" max="9550" width="9.85546875" style="240" bestFit="1" customWidth="1"/>
    <col min="9551" max="9551" width="9.5703125" style="240" bestFit="1" customWidth="1"/>
    <col min="9552" max="9728" width="9.140625" style="240"/>
    <col min="9729" max="9729" width="2.85546875" style="240" customWidth="1"/>
    <col min="9730" max="9730" width="3.28515625" style="240" customWidth="1"/>
    <col min="9731" max="9731" width="69.28515625" style="240" customWidth="1"/>
    <col min="9732" max="9732" width="6" style="240" customWidth="1"/>
    <col min="9733" max="9737" width="13.5703125" style="240" customWidth="1"/>
    <col min="9738" max="9782" width="0" style="240" hidden="1" customWidth="1"/>
    <col min="9783" max="9785" width="11.28515625" style="240" customWidth="1"/>
    <col min="9786" max="9786" width="12.7109375" style="240" customWidth="1"/>
    <col min="9787" max="9787" width="11.28515625" style="240" customWidth="1"/>
    <col min="9788" max="9797" width="0" style="240" hidden="1" customWidth="1"/>
    <col min="9798" max="9802" width="13.5703125" style="240" customWidth="1"/>
    <col min="9803" max="9803" width="3.28515625" style="240" customWidth="1"/>
    <col min="9804" max="9804" width="0" style="240" hidden="1" customWidth="1"/>
    <col min="9805" max="9805" width="3.28515625" style="240" customWidth="1"/>
    <col min="9806" max="9806" width="9.85546875" style="240" bestFit="1" customWidth="1"/>
    <col min="9807" max="9807" width="9.5703125" style="240" bestFit="1" customWidth="1"/>
    <col min="9808" max="9984" width="9.140625" style="240"/>
    <col min="9985" max="9985" width="2.85546875" style="240" customWidth="1"/>
    <col min="9986" max="9986" width="3.28515625" style="240" customWidth="1"/>
    <col min="9987" max="9987" width="69.28515625" style="240" customWidth="1"/>
    <col min="9988" max="9988" width="6" style="240" customWidth="1"/>
    <col min="9989" max="9993" width="13.5703125" style="240" customWidth="1"/>
    <col min="9994" max="10038" width="0" style="240" hidden="1" customWidth="1"/>
    <col min="10039" max="10041" width="11.28515625" style="240" customWidth="1"/>
    <col min="10042" max="10042" width="12.7109375" style="240" customWidth="1"/>
    <col min="10043" max="10043" width="11.28515625" style="240" customWidth="1"/>
    <col min="10044" max="10053" width="0" style="240" hidden="1" customWidth="1"/>
    <col min="10054" max="10058" width="13.5703125" style="240" customWidth="1"/>
    <col min="10059" max="10059" width="3.28515625" style="240" customWidth="1"/>
    <col min="10060" max="10060" width="0" style="240" hidden="1" customWidth="1"/>
    <col min="10061" max="10061" width="3.28515625" style="240" customWidth="1"/>
    <col min="10062" max="10062" width="9.85546875" style="240" bestFit="1" customWidth="1"/>
    <col min="10063" max="10063" width="9.5703125" style="240" bestFit="1" customWidth="1"/>
    <col min="10064" max="10240" width="9.140625" style="240"/>
    <col min="10241" max="10241" width="2.85546875" style="240" customWidth="1"/>
    <col min="10242" max="10242" width="3.28515625" style="240" customWidth="1"/>
    <col min="10243" max="10243" width="69.28515625" style="240" customWidth="1"/>
    <col min="10244" max="10244" width="6" style="240" customWidth="1"/>
    <col min="10245" max="10249" width="13.5703125" style="240" customWidth="1"/>
    <col min="10250" max="10294" width="0" style="240" hidden="1" customWidth="1"/>
    <col min="10295" max="10297" width="11.28515625" style="240" customWidth="1"/>
    <col min="10298" max="10298" width="12.7109375" style="240" customWidth="1"/>
    <col min="10299" max="10299" width="11.28515625" style="240" customWidth="1"/>
    <col min="10300" max="10309" width="0" style="240" hidden="1" customWidth="1"/>
    <col min="10310" max="10314" width="13.5703125" style="240" customWidth="1"/>
    <col min="10315" max="10315" width="3.28515625" style="240" customWidth="1"/>
    <col min="10316" max="10316" width="0" style="240" hidden="1" customWidth="1"/>
    <col min="10317" max="10317" width="3.28515625" style="240" customWidth="1"/>
    <col min="10318" max="10318" width="9.85546875" style="240" bestFit="1" customWidth="1"/>
    <col min="10319" max="10319" width="9.5703125" style="240" bestFit="1" customWidth="1"/>
    <col min="10320" max="10496" width="9.140625" style="240"/>
    <col min="10497" max="10497" width="2.85546875" style="240" customWidth="1"/>
    <col min="10498" max="10498" width="3.28515625" style="240" customWidth="1"/>
    <col min="10499" max="10499" width="69.28515625" style="240" customWidth="1"/>
    <col min="10500" max="10500" width="6" style="240" customWidth="1"/>
    <col min="10501" max="10505" width="13.5703125" style="240" customWidth="1"/>
    <col min="10506" max="10550" width="0" style="240" hidden="1" customWidth="1"/>
    <col min="10551" max="10553" width="11.28515625" style="240" customWidth="1"/>
    <col min="10554" max="10554" width="12.7109375" style="240" customWidth="1"/>
    <col min="10555" max="10555" width="11.28515625" style="240" customWidth="1"/>
    <col min="10556" max="10565" width="0" style="240" hidden="1" customWidth="1"/>
    <col min="10566" max="10570" width="13.5703125" style="240" customWidth="1"/>
    <col min="10571" max="10571" width="3.28515625" style="240" customWidth="1"/>
    <col min="10572" max="10572" width="0" style="240" hidden="1" customWidth="1"/>
    <col min="10573" max="10573" width="3.28515625" style="240" customWidth="1"/>
    <col min="10574" max="10574" width="9.85546875" style="240" bestFit="1" customWidth="1"/>
    <col min="10575" max="10575" width="9.5703125" style="240" bestFit="1" customWidth="1"/>
    <col min="10576" max="10752" width="9.140625" style="240"/>
    <col min="10753" max="10753" width="2.85546875" style="240" customWidth="1"/>
    <col min="10754" max="10754" width="3.28515625" style="240" customWidth="1"/>
    <col min="10755" max="10755" width="69.28515625" style="240" customWidth="1"/>
    <col min="10756" max="10756" width="6" style="240" customWidth="1"/>
    <col min="10757" max="10761" width="13.5703125" style="240" customWidth="1"/>
    <col min="10762" max="10806" width="0" style="240" hidden="1" customWidth="1"/>
    <col min="10807" max="10809" width="11.28515625" style="240" customWidth="1"/>
    <col min="10810" max="10810" width="12.7109375" style="240" customWidth="1"/>
    <col min="10811" max="10811" width="11.28515625" style="240" customWidth="1"/>
    <col min="10812" max="10821" width="0" style="240" hidden="1" customWidth="1"/>
    <col min="10822" max="10826" width="13.5703125" style="240" customWidth="1"/>
    <col min="10827" max="10827" width="3.28515625" style="240" customWidth="1"/>
    <col min="10828" max="10828" width="0" style="240" hidden="1" customWidth="1"/>
    <col min="10829" max="10829" width="3.28515625" style="240" customWidth="1"/>
    <col min="10830" max="10830" width="9.85546875" style="240" bestFit="1" customWidth="1"/>
    <col min="10831" max="10831" width="9.5703125" style="240" bestFit="1" customWidth="1"/>
    <col min="10832" max="11008" width="9.140625" style="240"/>
    <col min="11009" max="11009" width="2.85546875" style="240" customWidth="1"/>
    <col min="11010" max="11010" width="3.28515625" style="240" customWidth="1"/>
    <col min="11011" max="11011" width="69.28515625" style="240" customWidth="1"/>
    <col min="11012" max="11012" width="6" style="240" customWidth="1"/>
    <col min="11013" max="11017" width="13.5703125" style="240" customWidth="1"/>
    <col min="11018" max="11062" width="0" style="240" hidden="1" customWidth="1"/>
    <col min="11063" max="11065" width="11.28515625" style="240" customWidth="1"/>
    <col min="11066" max="11066" width="12.7109375" style="240" customWidth="1"/>
    <col min="11067" max="11067" width="11.28515625" style="240" customWidth="1"/>
    <col min="11068" max="11077" width="0" style="240" hidden="1" customWidth="1"/>
    <col min="11078" max="11082" width="13.5703125" style="240" customWidth="1"/>
    <col min="11083" max="11083" width="3.28515625" style="240" customWidth="1"/>
    <col min="11084" max="11084" width="0" style="240" hidden="1" customWidth="1"/>
    <col min="11085" max="11085" width="3.28515625" style="240" customWidth="1"/>
    <col min="11086" max="11086" width="9.85546875" style="240" bestFit="1" customWidth="1"/>
    <col min="11087" max="11087" width="9.5703125" style="240" bestFit="1" customWidth="1"/>
    <col min="11088" max="11264" width="9.140625" style="240"/>
    <col min="11265" max="11265" width="2.85546875" style="240" customWidth="1"/>
    <col min="11266" max="11266" width="3.28515625" style="240" customWidth="1"/>
    <col min="11267" max="11267" width="69.28515625" style="240" customWidth="1"/>
    <col min="11268" max="11268" width="6" style="240" customWidth="1"/>
    <col min="11269" max="11273" width="13.5703125" style="240" customWidth="1"/>
    <col min="11274" max="11318" width="0" style="240" hidden="1" customWidth="1"/>
    <col min="11319" max="11321" width="11.28515625" style="240" customWidth="1"/>
    <col min="11322" max="11322" width="12.7109375" style="240" customWidth="1"/>
    <col min="11323" max="11323" width="11.28515625" style="240" customWidth="1"/>
    <col min="11324" max="11333" width="0" style="240" hidden="1" customWidth="1"/>
    <col min="11334" max="11338" width="13.5703125" style="240" customWidth="1"/>
    <col min="11339" max="11339" width="3.28515625" style="240" customWidth="1"/>
    <col min="11340" max="11340" width="0" style="240" hidden="1" customWidth="1"/>
    <col min="11341" max="11341" width="3.28515625" style="240" customWidth="1"/>
    <col min="11342" max="11342" width="9.85546875" style="240" bestFit="1" customWidth="1"/>
    <col min="11343" max="11343" width="9.5703125" style="240" bestFit="1" customWidth="1"/>
    <col min="11344" max="11520" width="9.140625" style="240"/>
    <col min="11521" max="11521" width="2.85546875" style="240" customWidth="1"/>
    <col min="11522" max="11522" width="3.28515625" style="240" customWidth="1"/>
    <col min="11523" max="11523" width="69.28515625" style="240" customWidth="1"/>
    <col min="11524" max="11524" width="6" style="240" customWidth="1"/>
    <col min="11525" max="11529" width="13.5703125" style="240" customWidth="1"/>
    <col min="11530" max="11574" width="0" style="240" hidden="1" customWidth="1"/>
    <col min="11575" max="11577" width="11.28515625" style="240" customWidth="1"/>
    <col min="11578" max="11578" width="12.7109375" style="240" customWidth="1"/>
    <col min="11579" max="11579" width="11.28515625" style="240" customWidth="1"/>
    <col min="11580" max="11589" width="0" style="240" hidden="1" customWidth="1"/>
    <col min="11590" max="11594" width="13.5703125" style="240" customWidth="1"/>
    <col min="11595" max="11595" width="3.28515625" style="240" customWidth="1"/>
    <col min="11596" max="11596" width="0" style="240" hidden="1" customWidth="1"/>
    <col min="11597" max="11597" width="3.28515625" style="240" customWidth="1"/>
    <col min="11598" max="11598" width="9.85546875" style="240" bestFit="1" customWidth="1"/>
    <col min="11599" max="11599" width="9.5703125" style="240" bestFit="1" customWidth="1"/>
    <col min="11600" max="11776" width="9.140625" style="240"/>
    <col min="11777" max="11777" width="2.85546875" style="240" customWidth="1"/>
    <col min="11778" max="11778" width="3.28515625" style="240" customWidth="1"/>
    <col min="11779" max="11779" width="69.28515625" style="240" customWidth="1"/>
    <col min="11780" max="11780" width="6" style="240" customWidth="1"/>
    <col min="11781" max="11785" width="13.5703125" style="240" customWidth="1"/>
    <col min="11786" max="11830" width="0" style="240" hidden="1" customWidth="1"/>
    <col min="11831" max="11833" width="11.28515625" style="240" customWidth="1"/>
    <col min="11834" max="11834" width="12.7109375" style="240" customWidth="1"/>
    <col min="11835" max="11835" width="11.28515625" style="240" customWidth="1"/>
    <col min="11836" max="11845" width="0" style="240" hidden="1" customWidth="1"/>
    <col min="11846" max="11850" width="13.5703125" style="240" customWidth="1"/>
    <col min="11851" max="11851" width="3.28515625" style="240" customWidth="1"/>
    <col min="11852" max="11852" width="0" style="240" hidden="1" customWidth="1"/>
    <col min="11853" max="11853" width="3.28515625" style="240" customWidth="1"/>
    <col min="11854" max="11854" width="9.85546875" style="240" bestFit="1" customWidth="1"/>
    <col min="11855" max="11855" width="9.5703125" style="240" bestFit="1" customWidth="1"/>
    <col min="11856" max="12032" width="9.140625" style="240"/>
    <col min="12033" max="12033" width="2.85546875" style="240" customWidth="1"/>
    <col min="12034" max="12034" width="3.28515625" style="240" customWidth="1"/>
    <col min="12035" max="12035" width="69.28515625" style="240" customWidth="1"/>
    <col min="12036" max="12036" width="6" style="240" customWidth="1"/>
    <col min="12037" max="12041" width="13.5703125" style="240" customWidth="1"/>
    <col min="12042" max="12086" width="0" style="240" hidden="1" customWidth="1"/>
    <col min="12087" max="12089" width="11.28515625" style="240" customWidth="1"/>
    <col min="12090" max="12090" width="12.7109375" style="240" customWidth="1"/>
    <col min="12091" max="12091" width="11.28515625" style="240" customWidth="1"/>
    <col min="12092" max="12101" width="0" style="240" hidden="1" customWidth="1"/>
    <col min="12102" max="12106" width="13.5703125" style="240" customWidth="1"/>
    <col min="12107" max="12107" width="3.28515625" style="240" customWidth="1"/>
    <col min="12108" max="12108" width="0" style="240" hidden="1" customWidth="1"/>
    <col min="12109" max="12109" width="3.28515625" style="240" customWidth="1"/>
    <col min="12110" max="12110" width="9.85546875" style="240" bestFit="1" customWidth="1"/>
    <col min="12111" max="12111" width="9.5703125" style="240" bestFit="1" customWidth="1"/>
    <col min="12112" max="12288" width="9.140625" style="240"/>
    <col min="12289" max="12289" width="2.85546875" style="240" customWidth="1"/>
    <col min="12290" max="12290" width="3.28515625" style="240" customWidth="1"/>
    <col min="12291" max="12291" width="69.28515625" style="240" customWidth="1"/>
    <col min="12292" max="12292" width="6" style="240" customWidth="1"/>
    <col min="12293" max="12297" width="13.5703125" style="240" customWidth="1"/>
    <col min="12298" max="12342" width="0" style="240" hidden="1" customWidth="1"/>
    <col min="12343" max="12345" width="11.28515625" style="240" customWidth="1"/>
    <col min="12346" max="12346" width="12.7109375" style="240" customWidth="1"/>
    <col min="12347" max="12347" width="11.28515625" style="240" customWidth="1"/>
    <col min="12348" max="12357" width="0" style="240" hidden="1" customWidth="1"/>
    <col min="12358" max="12362" width="13.5703125" style="240" customWidth="1"/>
    <col min="12363" max="12363" width="3.28515625" style="240" customWidth="1"/>
    <col min="12364" max="12364" width="0" style="240" hidden="1" customWidth="1"/>
    <col min="12365" max="12365" width="3.28515625" style="240" customWidth="1"/>
    <col min="12366" max="12366" width="9.85546875" style="240" bestFit="1" customWidth="1"/>
    <col min="12367" max="12367" width="9.5703125" style="240" bestFit="1" customWidth="1"/>
    <col min="12368" max="12544" width="9.140625" style="240"/>
    <col min="12545" max="12545" width="2.85546875" style="240" customWidth="1"/>
    <col min="12546" max="12546" width="3.28515625" style="240" customWidth="1"/>
    <col min="12547" max="12547" width="69.28515625" style="240" customWidth="1"/>
    <col min="12548" max="12548" width="6" style="240" customWidth="1"/>
    <col min="12549" max="12553" width="13.5703125" style="240" customWidth="1"/>
    <col min="12554" max="12598" width="0" style="240" hidden="1" customWidth="1"/>
    <col min="12599" max="12601" width="11.28515625" style="240" customWidth="1"/>
    <col min="12602" max="12602" width="12.7109375" style="240" customWidth="1"/>
    <col min="12603" max="12603" width="11.28515625" style="240" customWidth="1"/>
    <col min="12604" max="12613" width="0" style="240" hidden="1" customWidth="1"/>
    <col min="12614" max="12618" width="13.5703125" style="240" customWidth="1"/>
    <col min="12619" max="12619" width="3.28515625" style="240" customWidth="1"/>
    <col min="12620" max="12620" width="0" style="240" hidden="1" customWidth="1"/>
    <col min="12621" max="12621" width="3.28515625" style="240" customWidth="1"/>
    <col min="12622" max="12622" width="9.85546875" style="240" bestFit="1" customWidth="1"/>
    <col min="12623" max="12623" width="9.5703125" style="240" bestFit="1" customWidth="1"/>
    <col min="12624" max="12800" width="9.140625" style="240"/>
    <col min="12801" max="12801" width="2.85546875" style="240" customWidth="1"/>
    <col min="12802" max="12802" width="3.28515625" style="240" customWidth="1"/>
    <col min="12803" max="12803" width="69.28515625" style="240" customWidth="1"/>
    <col min="12804" max="12804" width="6" style="240" customWidth="1"/>
    <col min="12805" max="12809" width="13.5703125" style="240" customWidth="1"/>
    <col min="12810" max="12854" width="0" style="240" hidden="1" customWidth="1"/>
    <col min="12855" max="12857" width="11.28515625" style="240" customWidth="1"/>
    <col min="12858" max="12858" width="12.7109375" style="240" customWidth="1"/>
    <col min="12859" max="12859" width="11.28515625" style="240" customWidth="1"/>
    <col min="12860" max="12869" width="0" style="240" hidden="1" customWidth="1"/>
    <col min="12870" max="12874" width="13.5703125" style="240" customWidth="1"/>
    <col min="12875" max="12875" width="3.28515625" style="240" customWidth="1"/>
    <col min="12876" max="12876" width="0" style="240" hidden="1" customWidth="1"/>
    <col min="12877" max="12877" width="3.28515625" style="240" customWidth="1"/>
    <col min="12878" max="12878" width="9.85546875" style="240" bestFit="1" customWidth="1"/>
    <col min="12879" max="12879" width="9.5703125" style="240" bestFit="1" customWidth="1"/>
    <col min="12880" max="13056" width="9.140625" style="240"/>
    <col min="13057" max="13057" width="2.85546875" style="240" customWidth="1"/>
    <col min="13058" max="13058" width="3.28515625" style="240" customWidth="1"/>
    <col min="13059" max="13059" width="69.28515625" style="240" customWidth="1"/>
    <col min="13060" max="13060" width="6" style="240" customWidth="1"/>
    <col min="13061" max="13065" width="13.5703125" style="240" customWidth="1"/>
    <col min="13066" max="13110" width="0" style="240" hidden="1" customWidth="1"/>
    <col min="13111" max="13113" width="11.28515625" style="240" customWidth="1"/>
    <col min="13114" max="13114" width="12.7109375" style="240" customWidth="1"/>
    <col min="13115" max="13115" width="11.28515625" style="240" customWidth="1"/>
    <col min="13116" max="13125" width="0" style="240" hidden="1" customWidth="1"/>
    <col min="13126" max="13130" width="13.5703125" style="240" customWidth="1"/>
    <col min="13131" max="13131" width="3.28515625" style="240" customWidth="1"/>
    <col min="13132" max="13132" width="0" style="240" hidden="1" customWidth="1"/>
    <col min="13133" max="13133" width="3.28515625" style="240" customWidth="1"/>
    <col min="13134" max="13134" width="9.85546875" style="240" bestFit="1" customWidth="1"/>
    <col min="13135" max="13135" width="9.5703125" style="240" bestFit="1" customWidth="1"/>
    <col min="13136" max="13312" width="9.140625" style="240"/>
    <col min="13313" max="13313" width="2.85546875" style="240" customWidth="1"/>
    <col min="13314" max="13314" width="3.28515625" style="240" customWidth="1"/>
    <col min="13315" max="13315" width="69.28515625" style="240" customWidth="1"/>
    <col min="13316" max="13316" width="6" style="240" customWidth="1"/>
    <col min="13317" max="13321" width="13.5703125" style="240" customWidth="1"/>
    <col min="13322" max="13366" width="0" style="240" hidden="1" customWidth="1"/>
    <col min="13367" max="13369" width="11.28515625" style="240" customWidth="1"/>
    <col min="13370" max="13370" width="12.7109375" style="240" customWidth="1"/>
    <col min="13371" max="13371" width="11.28515625" style="240" customWidth="1"/>
    <col min="13372" max="13381" width="0" style="240" hidden="1" customWidth="1"/>
    <col min="13382" max="13386" width="13.5703125" style="240" customWidth="1"/>
    <col min="13387" max="13387" width="3.28515625" style="240" customWidth="1"/>
    <col min="13388" max="13388" width="0" style="240" hidden="1" customWidth="1"/>
    <col min="13389" max="13389" width="3.28515625" style="240" customWidth="1"/>
    <col min="13390" max="13390" width="9.85546875" style="240" bestFit="1" customWidth="1"/>
    <col min="13391" max="13391" width="9.5703125" style="240" bestFit="1" customWidth="1"/>
    <col min="13392" max="13568" width="9.140625" style="240"/>
    <col min="13569" max="13569" width="2.85546875" style="240" customWidth="1"/>
    <col min="13570" max="13570" width="3.28515625" style="240" customWidth="1"/>
    <col min="13571" max="13571" width="69.28515625" style="240" customWidth="1"/>
    <col min="13572" max="13572" width="6" style="240" customWidth="1"/>
    <col min="13573" max="13577" width="13.5703125" style="240" customWidth="1"/>
    <col min="13578" max="13622" width="0" style="240" hidden="1" customWidth="1"/>
    <col min="13623" max="13625" width="11.28515625" style="240" customWidth="1"/>
    <col min="13626" max="13626" width="12.7109375" style="240" customWidth="1"/>
    <col min="13627" max="13627" width="11.28515625" style="240" customWidth="1"/>
    <col min="13628" max="13637" width="0" style="240" hidden="1" customWidth="1"/>
    <col min="13638" max="13642" width="13.5703125" style="240" customWidth="1"/>
    <col min="13643" max="13643" width="3.28515625" style="240" customWidth="1"/>
    <col min="13644" max="13644" width="0" style="240" hidden="1" customWidth="1"/>
    <col min="13645" max="13645" width="3.28515625" style="240" customWidth="1"/>
    <col min="13646" max="13646" width="9.85546875" style="240" bestFit="1" customWidth="1"/>
    <col min="13647" max="13647" width="9.5703125" style="240" bestFit="1" customWidth="1"/>
    <col min="13648" max="13824" width="9.140625" style="240"/>
    <col min="13825" max="13825" width="2.85546875" style="240" customWidth="1"/>
    <col min="13826" max="13826" width="3.28515625" style="240" customWidth="1"/>
    <col min="13827" max="13827" width="69.28515625" style="240" customWidth="1"/>
    <col min="13828" max="13828" width="6" style="240" customWidth="1"/>
    <col min="13829" max="13833" width="13.5703125" style="240" customWidth="1"/>
    <col min="13834" max="13878" width="0" style="240" hidden="1" customWidth="1"/>
    <col min="13879" max="13881" width="11.28515625" style="240" customWidth="1"/>
    <col min="13882" max="13882" width="12.7109375" style="240" customWidth="1"/>
    <col min="13883" max="13883" width="11.28515625" style="240" customWidth="1"/>
    <col min="13884" max="13893" width="0" style="240" hidden="1" customWidth="1"/>
    <col min="13894" max="13898" width="13.5703125" style="240" customWidth="1"/>
    <col min="13899" max="13899" width="3.28515625" style="240" customWidth="1"/>
    <col min="13900" max="13900" width="0" style="240" hidden="1" customWidth="1"/>
    <col min="13901" max="13901" width="3.28515625" style="240" customWidth="1"/>
    <col min="13902" max="13902" width="9.85546875" style="240" bestFit="1" customWidth="1"/>
    <col min="13903" max="13903" width="9.5703125" style="240" bestFit="1" customWidth="1"/>
    <col min="13904" max="14080" width="9.140625" style="240"/>
    <col min="14081" max="14081" width="2.85546875" style="240" customWidth="1"/>
    <col min="14082" max="14082" width="3.28515625" style="240" customWidth="1"/>
    <col min="14083" max="14083" width="69.28515625" style="240" customWidth="1"/>
    <col min="14084" max="14084" width="6" style="240" customWidth="1"/>
    <col min="14085" max="14089" width="13.5703125" style="240" customWidth="1"/>
    <col min="14090" max="14134" width="0" style="240" hidden="1" customWidth="1"/>
    <col min="14135" max="14137" width="11.28515625" style="240" customWidth="1"/>
    <col min="14138" max="14138" width="12.7109375" style="240" customWidth="1"/>
    <col min="14139" max="14139" width="11.28515625" style="240" customWidth="1"/>
    <col min="14140" max="14149" width="0" style="240" hidden="1" customWidth="1"/>
    <col min="14150" max="14154" width="13.5703125" style="240" customWidth="1"/>
    <col min="14155" max="14155" width="3.28515625" style="240" customWidth="1"/>
    <col min="14156" max="14156" width="0" style="240" hidden="1" customWidth="1"/>
    <col min="14157" max="14157" width="3.28515625" style="240" customWidth="1"/>
    <col min="14158" max="14158" width="9.85546875" style="240" bestFit="1" customWidth="1"/>
    <col min="14159" max="14159" width="9.5703125" style="240" bestFit="1" customWidth="1"/>
    <col min="14160" max="14336" width="9.140625" style="240"/>
    <col min="14337" max="14337" width="2.85546875" style="240" customWidth="1"/>
    <col min="14338" max="14338" width="3.28515625" style="240" customWidth="1"/>
    <col min="14339" max="14339" width="69.28515625" style="240" customWidth="1"/>
    <col min="14340" max="14340" width="6" style="240" customWidth="1"/>
    <col min="14341" max="14345" width="13.5703125" style="240" customWidth="1"/>
    <col min="14346" max="14390" width="0" style="240" hidden="1" customWidth="1"/>
    <col min="14391" max="14393" width="11.28515625" style="240" customWidth="1"/>
    <col min="14394" max="14394" width="12.7109375" style="240" customWidth="1"/>
    <col min="14395" max="14395" width="11.28515625" style="240" customWidth="1"/>
    <col min="14396" max="14405" width="0" style="240" hidden="1" customWidth="1"/>
    <col min="14406" max="14410" width="13.5703125" style="240" customWidth="1"/>
    <col min="14411" max="14411" width="3.28515625" style="240" customWidth="1"/>
    <col min="14412" max="14412" width="0" style="240" hidden="1" customWidth="1"/>
    <col min="14413" max="14413" width="3.28515625" style="240" customWidth="1"/>
    <col min="14414" max="14414" width="9.85546875" style="240" bestFit="1" customWidth="1"/>
    <col min="14415" max="14415" width="9.5703125" style="240" bestFit="1" customWidth="1"/>
    <col min="14416" max="14592" width="9.140625" style="240"/>
    <col min="14593" max="14593" width="2.85546875" style="240" customWidth="1"/>
    <col min="14594" max="14594" width="3.28515625" style="240" customWidth="1"/>
    <col min="14595" max="14595" width="69.28515625" style="240" customWidth="1"/>
    <col min="14596" max="14596" width="6" style="240" customWidth="1"/>
    <col min="14597" max="14601" width="13.5703125" style="240" customWidth="1"/>
    <col min="14602" max="14646" width="0" style="240" hidden="1" customWidth="1"/>
    <col min="14647" max="14649" width="11.28515625" style="240" customWidth="1"/>
    <col min="14650" max="14650" width="12.7109375" style="240" customWidth="1"/>
    <col min="14651" max="14651" width="11.28515625" style="240" customWidth="1"/>
    <col min="14652" max="14661" width="0" style="240" hidden="1" customWidth="1"/>
    <col min="14662" max="14666" width="13.5703125" style="240" customWidth="1"/>
    <col min="14667" max="14667" width="3.28515625" style="240" customWidth="1"/>
    <col min="14668" max="14668" width="0" style="240" hidden="1" customWidth="1"/>
    <col min="14669" max="14669" width="3.28515625" style="240" customWidth="1"/>
    <col min="14670" max="14670" width="9.85546875" style="240" bestFit="1" customWidth="1"/>
    <col min="14671" max="14671" width="9.5703125" style="240" bestFit="1" customWidth="1"/>
    <col min="14672" max="14848" width="9.140625" style="240"/>
    <col min="14849" max="14849" width="2.85546875" style="240" customWidth="1"/>
    <col min="14850" max="14850" width="3.28515625" style="240" customWidth="1"/>
    <col min="14851" max="14851" width="69.28515625" style="240" customWidth="1"/>
    <col min="14852" max="14852" width="6" style="240" customWidth="1"/>
    <col min="14853" max="14857" width="13.5703125" style="240" customWidth="1"/>
    <col min="14858" max="14902" width="0" style="240" hidden="1" customWidth="1"/>
    <col min="14903" max="14905" width="11.28515625" style="240" customWidth="1"/>
    <col min="14906" max="14906" width="12.7109375" style="240" customWidth="1"/>
    <col min="14907" max="14907" width="11.28515625" style="240" customWidth="1"/>
    <col min="14908" max="14917" width="0" style="240" hidden="1" customWidth="1"/>
    <col min="14918" max="14922" width="13.5703125" style="240" customWidth="1"/>
    <col min="14923" max="14923" width="3.28515625" style="240" customWidth="1"/>
    <col min="14924" max="14924" width="0" style="240" hidden="1" customWidth="1"/>
    <col min="14925" max="14925" width="3.28515625" style="240" customWidth="1"/>
    <col min="14926" max="14926" width="9.85546875" style="240" bestFit="1" customWidth="1"/>
    <col min="14927" max="14927" width="9.5703125" style="240" bestFit="1" customWidth="1"/>
    <col min="14928" max="15104" width="9.140625" style="240"/>
    <col min="15105" max="15105" width="2.85546875" style="240" customWidth="1"/>
    <col min="15106" max="15106" width="3.28515625" style="240" customWidth="1"/>
    <col min="15107" max="15107" width="69.28515625" style="240" customWidth="1"/>
    <col min="15108" max="15108" width="6" style="240" customWidth="1"/>
    <col min="15109" max="15113" width="13.5703125" style="240" customWidth="1"/>
    <col min="15114" max="15158" width="0" style="240" hidden="1" customWidth="1"/>
    <col min="15159" max="15161" width="11.28515625" style="240" customWidth="1"/>
    <col min="15162" max="15162" width="12.7109375" style="240" customWidth="1"/>
    <col min="15163" max="15163" width="11.28515625" style="240" customWidth="1"/>
    <col min="15164" max="15173" width="0" style="240" hidden="1" customWidth="1"/>
    <col min="15174" max="15178" width="13.5703125" style="240" customWidth="1"/>
    <col min="15179" max="15179" width="3.28515625" style="240" customWidth="1"/>
    <col min="15180" max="15180" width="0" style="240" hidden="1" customWidth="1"/>
    <col min="15181" max="15181" width="3.28515625" style="240" customWidth="1"/>
    <col min="15182" max="15182" width="9.85546875" style="240" bestFit="1" customWidth="1"/>
    <col min="15183" max="15183" width="9.5703125" style="240" bestFit="1" customWidth="1"/>
    <col min="15184" max="15360" width="9.140625" style="240"/>
    <col min="15361" max="15361" width="2.85546875" style="240" customWidth="1"/>
    <col min="15362" max="15362" width="3.28515625" style="240" customWidth="1"/>
    <col min="15363" max="15363" width="69.28515625" style="240" customWidth="1"/>
    <col min="15364" max="15364" width="6" style="240" customWidth="1"/>
    <col min="15365" max="15369" width="13.5703125" style="240" customWidth="1"/>
    <col min="15370" max="15414" width="0" style="240" hidden="1" customWidth="1"/>
    <col min="15415" max="15417" width="11.28515625" style="240" customWidth="1"/>
    <col min="15418" max="15418" width="12.7109375" style="240" customWidth="1"/>
    <col min="15419" max="15419" width="11.28515625" style="240" customWidth="1"/>
    <col min="15420" max="15429" width="0" style="240" hidden="1" customWidth="1"/>
    <col min="15430" max="15434" width="13.5703125" style="240" customWidth="1"/>
    <col min="15435" max="15435" width="3.28515625" style="240" customWidth="1"/>
    <col min="15436" max="15436" width="0" style="240" hidden="1" customWidth="1"/>
    <col min="15437" max="15437" width="3.28515625" style="240" customWidth="1"/>
    <col min="15438" max="15438" width="9.85546875" style="240" bestFit="1" customWidth="1"/>
    <col min="15439" max="15439" width="9.5703125" style="240" bestFit="1" customWidth="1"/>
    <col min="15440" max="15616" width="9.140625" style="240"/>
    <col min="15617" max="15617" width="2.85546875" style="240" customWidth="1"/>
    <col min="15618" max="15618" width="3.28515625" style="240" customWidth="1"/>
    <col min="15619" max="15619" width="69.28515625" style="240" customWidth="1"/>
    <col min="15620" max="15620" width="6" style="240" customWidth="1"/>
    <col min="15621" max="15625" width="13.5703125" style="240" customWidth="1"/>
    <col min="15626" max="15670" width="0" style="240" hidden="1" customWidth="1"/>
    <col min="15671" max="15673" width="11.28515625" style="240" customWidth="1"/>
    <col min="15674" max="15674" width="12.7109375" style="240" customWidth="1"/>
    <col min="15675" max="15675" width="11.28515625" style="240" customWidth="1"/>
    <col min="15676" max="15685" width="0" style="240" hidden="1" customWidth="1"/>
    <col min="15686" max="15690" width="13.5703125" style="240" customWidth="1"/>
    <col min="15691" max="15691" width="3.28515625" style="240" customWidth="1"/>
    <col min="15692" max="15692" width="0" style="240" hidden="1" customWidth="1"/>
    <col min="15693" max="15693" width="3.28515625" style="240" customWidth="1"/>
    <col min="15694" max="15694" width="9.85546875" style="240" bestFit="1" customWidth="1"/>
    <col min="15695" max="15695" width="9.5703125" style="240" bestFit="1" customWidth="1"/>
    <col min="15696" max="15872" width="9.140625" style="240"/>
    <col min="15873" max="15873" width="2.85546875" style="240" customWidth="1"/>
    <col min="15874" max="15874" width="3.28515625" style="240" customWidth="1"/>
    <col min="15875" max="15875" width="69.28515625" style="240" customWidth="1"/>
    <col min="15876" max="15876" width="6" style="240" customWidth="1"/>
    <col min="15877" max="15881" width="13.5703125" style="240" customWidth="1"/>
    <col min="15882" max="15926" width="0" style="240" hidden="1" customWidth="1"/>
    <col min="15927" max="15929" width="11.28515625" style="240" customWidth="1"/>
    <col min="15930" max="15930" width="12.7109375" style="240" customWidth="1"/>
    <col min="15931" max="15931" width="11.28515625" style="240" customWidth="1"/>
    <col min="15932" max="15941" width="0" style="240" hidden="1" customWidth="1"/>
    <col min="15942" max="15946" width="13.5703125" style="240" customWidth="1"/>
    <col min="15947" max="15947" width="3.28515625" style="240" customWidth="1"/>
    <col min="15948" max="15948" width="0" style="240" hidden="1" customWidth="1"/>
    <col min="15949" max="15949" width="3.28515625" style="240" customWidth="1"/>
    <col min="15950" max="15950" width="9.85546875" style="240" bestFit="1" customWidth="1"/>
    <col min="15951" max="15951" width="9.5703125" style="240" bestFit="1" customWidth="1"/>
    <col min="15952" max="16128" width="9.140625" style="240"/>
    <col min="16129" max="16129" width="2.85546875" style="240" customWidth="1"/>
    <col min="16130" max="16130" width="3.28515625" style="240" customWidth="1"/>
    <col min="16131" max="16131" width="69.28515625" style="240" customWidth="1"/>
    <col min="16132" max="16132" width="6" style="240" customWidth="1"/>
    <col min="16133" max="16137" width="13.5703125" style="240" customWidth="1"/>
    <col min="16138" max="16182" width="0" style="240" hidden="1" customWidth="1"/>
    <col min="16183" max="16185" width="11.28515625" style="240" customWidth="1"/>
    <col min="16186" max="16186" width="12.7109375" style="240" customWidth="1"/>
    <col min="16187" max="16187" width="11.28515625" style="240" customWidth="1"/>
    <col min="16188" max="16197" width="0" style="240" hidden="1" customWidth="1"/>
    <col min="16198" max="16202" width="13.5703125" style="240" customWidth="1"/>
    <col min="16203" max="16203" width="3.28515625" style="240" customWidth="1"/>
    <col min="16204" max="16204" width="0" style="240" hidden="1" customWidth="1"/>
    <col min="16205" max="16205" width="3.28515625" style="240" customWidth="1"/>
    <col min="16206" max="16206" width="9.85546875" style="240" bestFit="1" customWidth="1"/>
    <col min="16207" max="16207" width="9.5703125" style="240" bestFit="1" customWidth="1"/>
    <col min="16208" max="16384" width="9.140625" style="240"/>
  </cols>
  <sheetData>
    <row r="1" spans="1:78" ht="15.75" x14ac:dyDescent="0.25">
      <c r="A1" s="245" t="s">
        <v>175</v>
      </c>
      <c r="B1" s="244"/>
      <c r="C1" s="243"/>
      <c r="D1" s="242"/>
      <c r="E1" s="241"/>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c r="AV1" s="243"/>
      <c r="AW1" s="243"/>
      <c r="AX1" s="243"/>
      <c r="AY1" s="243"/>
      <c r="AZ1" s="243"/>
      <c r="BA1" s="243"/>
      <c r="BB1" s="243"/>
      <c r="BC1" s="243"/>
      <c r="BD1" s="243"/>
      <c r="BE1" s="243"/>
      <c r="BF1" s="243"/>
      <c r="BG1" s="243"/>
      <c r="BH1" s="243"/>
      <c r="BI1" s="243"/>
      <c r="BJ1" s="243"/>
      <c r="BK1" s="243"/>
      <c r="BL1" s="243"/>
      <c r="BM1" s="243"/>
      <c r="BN1" s="243"/>
      <c r="BO1" s="243"/>
      <c r="BP1" s="243"/>
      <c r="BQ1" s="243"/>
      <c r="BR1" s="243"/>
      <c r="BS1" s="243"/>
      <c r="BT1" s="243"/>
      <c r="BU1" s="243"/>
      <c r="BV1" s="243"/>
    </row>
    <row r="2" spans="1:78" ht="15" x14ac:dyDescent="0.25">
      <c r="A2" s="237"/>
      <c r="B2" s="242"/>
      <c r="D2" s="236"/>
      <c r="E2" s="235" t="s">
        <v>2</v>
      </c>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3"/>
      <c r="BW2" s="232"/>
    </row>
    <row r="3" spans="1:78" ht="15" x14ac:dyDescent="0.25">
      <c r="A3" s="230"/>
      <c r="B3" s="242"/>
      <c r="C3" s="240" t="s">
        <v>176</v>
      </c>
      <c r="D3" s="229"/>
      <c r="E3" s="228" t="s">
        <v>259</v>
      </c>
      <c r="F3" s="227"/>
      <c r="G3" s="227"/>
      <c r="H3" s="227"/>
      <c r="I3" s="226"/>
      <c r="J3" s="228" t="s">
        <v>4</v>
      </c>
      <c r="K3" s="227"/>
      <c r="L3" s="227"/>
      <c r="M3" s="227"/>
      <c r="N3" s="226"/>
      <c r="O3" s="225" t="s">
        <v>5</v>
      </c>
      <c r="P3" s="227"/>
      <c r="Q3" s="227"/>
      <c r="R3" s="227"/>
      <c r="S3" s="226"/>
      <c r="T3" s="228" t="s">
        <v>6</v>
      </c>
      <c r="U3" s="227"/>
      <c r="V3" s="227"/>
      <c r="W3" s="227"/>
      <c r="X3" s="226"/>
      <c r="Y3" s="228" t="s">
        <v>7</v>
      </c>
      <c r="Z3" s="227"/>
      <c r="AA3" s="227"/>
      <c r="AB3" s="227"/>
      <c r="AC3" s="226"/>
      <c r="AD3" s="228" t="s">
        <v>8</v>
      </c>
      <c r="AE3" s="227"/>
      <c r="AF3" s="227"/>
      <c r="AG3" s="227"/>
      <c r="AH3" s="226"/>
      <c r="AI3" s="228" t="s">
        <v>9</v>
      </c>
      <c r="AJ3" s="227"/>
      <c r="AK3" s="227"/>
      <c r="AL3" s="227"/>
      <c r="AM3" s="226"/>
      <c r="AN3" s="228" t="s">
        <v>10</v>
      </c>
      <c r="AO3" s="227"/>
      <c r="AP3" s="227"/>
      <c r="AQ3" s="227"/>
      <c r="AR3" s="226"/>
      <c r="AS3" s="228" t="s">
        <v>11</v>
      </c>
      <c r="AT3" s="227"/>
      <c r="AU3" s="227"/>
      <c r="AV3" s="227"/>
      <c r="AW3" s="226"/>
      <c r="AX3" s="228" t="s">
        <v>12</v>
      </c>
      <c r="AY3" s="227"/>
      <c r="AZ3" s="227"/>
      <c r="BA3" s="227"/>
      <c r="BB3" s="226"/>
      <c r="BC3" s="228" t="s">
        <v>13</v>
      </c>
      <c r="BD3" s="227"/>
      <c r="BE3" s="227"/>
      <c r="BF3" s="227"/>
      <c r="BG3" s="226"/>
      <c r="BH3" s="228" t="s">
        <v>14</v>
      </c>
      <c r="BI3" s="227"/>
      <c r="BJ3" s="227"/>
      <c r="BK3" s="227"/>
      <c r="BL3" s="226"/>
      <c r="BM3" s="228" t="s">
        <v>15</v>
      </c>
      <c r="BN3" s="227"/>
      <c r="BO3" s="227"/>
      <c r="BP3" s="227"/>
      <c r="BQ3" s="226"/>
      <c r="BR3" s="228" t="s">
        <v>16</v>
      </c>
      <c r="BS3" s="227"/>
      <c r="BT3" s="227"/>
      <c r="BU3" s="227"/>
      <c r="BV3" s="224"/>
      <c r="BW3" s="223"/>
      <c r="BX3" s="223"/>
    </row>
    <row r="4" spans="1:78" x14ac:dyDescent="0.2">
      <c r="A4" s="230"/>
      <c r="B4" s="242"/>
      <c r="D4" s="229"/>
      <c r="E4" s="247" t="s">
        <v>178</v>
      </c>
      <c r="F4" s="248" t="s">
        <v>179</v>
      </c>
      <c r="G4" s="248" t="s">
        <v>180</v>
      </c>
      <c r="H4" s="248" t="s">
        <v>181</v>
      </c>
      <c r="I4" s="249" t="s">
        <v>182</v>
      </c>
      <c r="J4" s="247" t="s">
        <v>178</v>
      </c>
      <c r="K4" s="248" t="s">
        <v>179</v>
      </c>
      <c r="L4" s="248" t="s">
        <v>180</v>
      </c>
      <c r="M4" s="248" t="s">
        <v>181</v>
      </c>
      <c r="N4" s="250" t="s">
        <v>182</v>
      </c>
      <c r="O4" s="248" t="s">
        <v>178</v>
      </c>
      <c r="P4" s="248" t="s">
        <v>179</v>
      </c>
      <c r="Q4" s="248" t="s">
        <v>180</v>
      </c>
      <c r="R4" s="248" t="s">
        <v>181</v>
      </c>
      <c r="S4" s="250" t="s">
        <v>182</v>
      </c>
      <c r="T4" s="247" t="s">
        <v>178</v>
      </c>
      <c r="U4" s="248" t="s">
        <v>179</v>
      </c>
      <c r="V4" s="248" t="s">
        <v>180</v>
      </c>
      <c r="W4" s="248" t="s">
        <v>181</v>
      </c>
      <c r="X4" s="250" t="s">
        <v>182</v>
      </c>
      <c r="Y4" s="247" t="s">
        <v>178</v>
      </c>
      <c r="Z4" s="248" t="s">
        <v>179</v>
      </c>
      <c r="AA4" s="248" t="s">
        <v>180</v>
      </c>
      <c r="AB4" s="248" t="s">
        <v>181</v>
      </c>
      <c r="AC4" s="250" t="s">
        <v>182</v>
      </c>
      <c r="AD4" s="247" t="s">
        <v>178</v>
      </c>
      <c r="AE4" s="248" t="s">
        <v>179</v>
      </c>
      <c r="AF4" s="248" t="s">
        <v>180</v>
      </c>
      <c r="AG4" s="248" t="s">
        <v>181</v>
      </c>
      <c r="AH4" s="250" t="s">
        <v>182</v>
      </c>
      <c r="AI4" s="247" t="s">
        <v>178</v>
      </c>
      <c r="AJ4" s="248" t="s">
        <v>179</v>
      </c>
      <c r="AK4" s="248" t="s">
        <v>180</v>
      </c>
      <c r="AL4" s="248" t="s">
        <v>181</v>
      </c>
      <c r="AM4" s="250" t="s">
        <v>182</v>
      </c>
      <c r="AN4" s="247" t="s">
        <v>178</v>
      </c>
      <c r="AO4" s="248" t="s">
        <v>179</v>
      </c>
      <c r="AP4" s="248" t="s">
        <v>180</v>
      </c>
      <c r="AQ4" s="248" t="s">
        <v>181</v>
      </c>
      <c r="AR4" s="250" t="s">
        <v>182</v>
      </c>
      <c r="AS4" s="247" t="s">
        <v>178</v>
      </c>
      <c r="AT4" s="248" t="s">
        <v>179</v>
      </c>
      <c r="AU4" s="248" t="s">
        <v>180</v>
      </c>
      <c r="AV4" s="248" t="s">
        <v>181</v>
      </c>
      <c r="AW4" s="250" t="s">
        <v>182</v>
      </c>
      <c r="AX4" s="247" t="s">
        <v>178</v>
      </c>
      <c r="AY4" s="248" t="s">
        <v>179</v>
      </c>
      <c r="AZ4" s="248" t="s">
        <v>180</v>
      </c>
      <c r="BA4" s="248" t="s">
        <v>181</v>
      </c>
      <c r="BB4" s="250" t="s">
        <v>182</v>
      </c>
      <c r="BC4" s="247" t="s">
        <v>178</v>
      </c>
      <c r="BD4" s="248" t="s">
        <v>179</v>
      </c>
      <c r="BE4" s="248" t="s">
        <v>180</v>
      </c>
      <c r="BF4" s="248" t="s">
        <v>181</v>
      </c>
      <c r="BG4" s="250" t="s">
        <v>182</v>
      </c>
      <c r="BH4" s="247" t="s">
        <v>178</v>
      </c>
      <c r="BI4" s="248" t="s">
        <v>179</v>
      </c>
      <c r="BJ4" s="248" t="s">
        <v>180</v>
      </c>
      <c r="BK4" s="248" t="s">
        <v>183</v>
      </c>
      <c r="BL4" s="250" t="s">
        <v>182</v>
      </c>
      <c r="BM4" s="247" t="s">
        <v>178</v>
      </c>
      <c r="BN4" s="248" t="s">
        <v>179</v>
      </c>
      <c r="BO4" s="248" t="s">
        <v>180</v>
      </c>
      <c r="BP4" s="248" t="s">
        <v>181</v>
      </c>
      <c r="BQ4" s="250" t="s">
        <v>182</v>
      </c>
      <c r="BR4" s="247" t="s">
        <v>178</v>
      </c>
      <c r="BS4" s="248" t="s">
        <v>179</v>
      </c>
      <c r="BT4" s="248" t="s">
        <v>180</v>
      </c>
      <c r="BU4" s="248" t="s">
        <v>181</v>
      </c>
      <c r="BV4" s="251" t="s">
        <v>182</v>
      </c>
      <c r="BW4" s="232"/>
      <c r="BX4" s="223"/>
    </row>
    <row r="5" spans="1:78" x14ac:dyDescent="0.2">
      <c r="A5" s="252" t="s">
        <v>19</v>
      </c>
      <c r="B5" s="253"/>
      <c r="C5" s="253"/>
      <c r="D5" s="254"/>
      <c r="E5" s="255" t="s">
        <v>184</v>
      </c>
      <c r="F5" s="256" t="s">
        <v>185</v>
      </c>
      <c r="G5" s="256" t="s">
        <v>186</v>
      </c>
      <c r="H5" s="256" t="s">
        <v>187</v>
      </c>
      <c r="I5" s="257"/>
      <c r="J5" s="255" t="s">
        <v>184</v>
      </c>
      <c r="K5" s="256" t="s">
        <v>185</v>
      </c>
      <c r="L5" s="256" t="s">
        <v>186</v>
      </c>
      <c r="M5" s="256" t="s">
        <v>187</v>
      </c>
      <c r="N5" s="257"/>
      <c r="O5" s="256" t="s">
        <v>184</v>
      </c>
      <c r="P5" s="256" t="s">
        <v>185</v>
      </c>
      <c r="Q5" s="256" t="s">
        <v>186</v>
      </c>
      <c r="R5" s="256" t="s">
        <v>187</v>
      </c>
      <c r="S5" s="257"/>
      <c r="T5" s="255" t="s">
        <v>184</v>
      </c>
      <c r="U5" s="256" t="s">
        <v>185</v>
      </c>
      <c r="V5" s="256" t="s">
        <v>186</v>
      </c>
      <c r="W5" s="256" t="s">
        <v>187</v>
      </c>
      <c r="X5" s="257"/>
      <c r="Y5" s="255" t="s">
        <v>184</v>
      </c>
      <c r="Z5" s="256" t="s">
        <v>185</v>
      </c>
      <c r="AA5" s="256" t="s">
        <v>186</v>
      </c>
      <c r="AB5" s="256" t="s">
        <v>187</v>
      </c>
      <c r="AC5" s="257"/>
      <c r="AD5" s="255" t="s">
        <v>184</v>
      </c>
      <c r="AE5" s="256" t="s">
        <v>185</v>
      </c>
      <c r="AF5" s="256" t="s">
        <v>186</v>
      </c>
      <c r="AG5" s="256" t="s">
        <v>187</v>
      </c>
      <c r="AH5" s="257"/>
      <c r="AI5" s="255" t="s">
        <v>184</v>
      </c>
      <c r="AJ5" s="256" t="s">
        <v>185</v>
      </c>
      <c r="AK5" s="256" t="s">
        <v>186</v>
      </c>
      <c r="AL5" s="256" t="s">
        <v>187</v>
      </c>
      <c r="AM5" s="257"/>
      <c r="AN5" s="255" t="s">
        <v>184</v>
      </c>
      <c r="AO5" s="256" t="s">
        <v>185</v>
      </c>
      <c r="AP5" s="256" t="s">
        <v>186</v>
      </c>
      <c r="AQ5" s="256" t="s">
        <v>187</v>
      </c>
      <c r="AR5" s="257"/>
      <c r="AS5" s="255" t="s">
        <v>184</v>
      </c>
      <c r="AT5" s="256" t="s">
        <v>185</v>
      </c>
      <c r="AU5" s="256" t="s">
        <v>186</v>
      </c>
      <c r="AV5" s="256" t="s">
        <v>187</v>
      </c>
      <c r="AW5" s="257"/>
      <c r="AX5" s="255" t="s">
        <v>184</v>
      </c>
      <c r="AY5" s="256" t="s">
        <v>185</v>
      </c>
      <c r="AZ5" s="256" t="s">
        <v>186</v>
      </c>
      <c r="BA5" s="256" t="s">
        <v>187</v>
      </c>
      <c r="BB5" s="257"/>
      <c r="BC5" s="255" t="s">
        <v>184</v>
      </c>
      <c r="BD5" s="256" t="s">
        <v>185</v>
      </c>
      <c r="BE5" s="256" t="s">
        <v>186</v>
      </c>
      <c r="BF5" s="256" t="s">
        <v>187</v>
      </c>
      <c r="BG5" s="257"/>
      <c r="BH5" s="255" t="s">
        <v>184</v>
      </c>
      <c r="BI5" s="256" t="s">
        <v>185</v>
      </c>
      <c r="BJ5" s="256" t="s">
        <v>186</v>
      </c>
      <c r="BK5" s="256" t="s">
        <v>187</v>
      </c>
      <c r="BL5" s="257"/>
      <c r="BM5" s="255" t="s">
        <v>184</v>
      </c>
      <c r="BN5" s="256" t="s">
        <v>185</v>
      </c>
      <c r="BO5" s="256" t="s">
        <v>186</v>
      </c>
      <c r="BP5" s="256" t="s">
        <v>187</v>
      </c>
      <c r="BQ5" s="257"/>
      <c r="BR5" s="255" t="s">
        <v>184</v>
      </c>
      <c r="BS5" s="256" t="s">
        <v>185</v>
      </c>
      <c r="BT5" s="256" t="s">
        <v>186</v>
      </c>
      <c r="BU5" s="256" t="s">
        <v>187</v>
      </c>
      <c r="BV5" s="255"/>
      <c r="BW5" s="232"/>
      <c r="BX5" s="328"/>
    </row>
    <row r="6" spans="1:78" x14ac:dyDescent="0.2">
      <c r="A6" s="259"/>
      <c r="B6" s="242"/>
      <c r="D6" s="248"/>
      <c r="E6" s="260"/>
      <c r="F6" s="248"/>
      <c r="G6" s="248"/>
      <c r="H6" s="248"/>
      <c r="I6" s="261"/>
      <c r="J6" s="247"/>
      <c r="K6" s="248"/>
      <c r="L6" s="248"/>
      <c r="M6" s="248"/>
      <c r="N6" s="261"/>
      <c r="O6" s="248"/>
      <c r="P6" s="248"/>
      <c r="Q6" s="248"/>
      <c r="R6" s="248"/>
      <c r="S6" s="261"/>
      <c r="T6" s="247"/>
      <c r="U6" s="248"/>
      <c r="V6" s="248"/>
      <c r="W6" s="248"/>
      <c r="X6" s="261"/>
      <c r="Y6" s="247"/>
      <c r="Z6" s="248"/>
      <c r="AA6" s="248"/>
      <c r="AB6" s="248"/>
      <c r="AC6" s="261"/>
      <c r="AD6" s="247"/>
      <c r="AE6" s="248"/>
      <c r="AF6" s="248"/>
      <c r="AG6" s="248"/>
      <c r="AH6" s="261"/>
      <c r="AI6" s="247"/>
      <c r="AJ6" s="248"/>
      <c r="AK6" s="248"/>
      <c r="AL6" s="248"/>
      <c r="AM6" s="261"/>
      <c r="AN6" s="247"/>
      <c r="AO6" s="248"/>
      <c r="AP6" s="248"/>
      <c r="AQ6" s="248"/>
      <c r="AR6" s="261"/>
      <c r="AS6" s="247"/>
      <c r="AT6" s="248"/>
      <c r="AU6" s="248"/>
      <c r="AV6" s="248"/>
      <c r="AW6" s="261"/>
      <c r="AX6" s="247"/>
      <c r="AY6" s="248"/>
      <c r="AZ6" s="248"/>
      <c r="BA6" s="248"/>
      <c r="BB6" s="261"/>
      <c r="BC6" s="247"/>
      <c r="BD6" s="248"/>
      <c r="BE6" s="248"/>
      <c r="BF6" s="248"/>
      <c r="BG6" s="261"/>
      <c r="BH6" s="247"/>
      <c r="BI6" s="248"/>
      <c r="BJ6" s="248"/>
      <c r="BK6" s="248"/>
      <c r="BL6" s="261"/>
      <c r="BM6" s="247"/>
      <c r="BN6" s="248"/>
      <c r="BO6" s="248"/>
      <c r="BP6" s="248"/>
      <c r="BQ6" s="261"/>
      <c r="BR6" s="247"/>
      <c r="BS6" s="248"/>
      <c r="BT6" s="248"/>
      <c r="BU6" s="248"/>
      <c r="BV6" s="247"/>
      <c r="BW6" s="232"/>
      <c r="BX6" s="223"/>
    </row>
    <row r="7" spans="1:78" ht="13.5" customHeight="1" x14ac:dyDescent="0.2">
      <c r="A7" s="262">
        <v>1</v>
      </c>
      <c r="B7" s="263" t="s">
        <v>188</v>
      </c>
      <c r="D7" s="264"/>
      <c r="E7" s="329">
        <f>617480-5708</f>
        <v>611772</v>
      </c>
      <c r="F7" s="330">
        <v>1543</v>
      </c>
      <c r="G7" s="330">
        <v>16981</v>
      </c>
      <c r="H7" s="330">
        <v>1145</v>
      </c>
      <c r="I7" s="45">
        <f t="shared" ref="I7:I46" si="0">SUM(E7:H7)</f>
        <v>631441</v>
      </c>
      <c r="J7" s="47">
        <v>39235</v>
      </c>
      <c r="K7" s="49">
        <v>51</v>
      </c>
      <c r="L7" s="49">
        <v>135</v>
      </c>
      <c r="M7" s="49">
        <v>0</v>
      </c>
      <c r="N7" s="45">
        <f>SUM(J7:M7)</f>
        <v>39421</v>
      </c>
      <c r="O7" s="49">
        <v>37059</v>
      </c>
      <c r="P7" s="49">
        <v>148</v>
      </c>
      <c r="Q7" s="49">
        <v>133</v>
      </c>
      <c r="R7" s="49">
        <v>0</v>
      </c>
      <c r="S7" s="45">
        <f>SUM(O7:R7)</f>
        <v>37340</v>
      </c>
      <c r="T7" s="47">
        <v>38132</v>
      </c>
      <c r="U7" s="49">
        <v>318</v>
      </c>
      <c r="V7" s="49">
        <v>690</v>
      </c>
      <c r="W7" s="49">
        <v>0</v>
      </c>
      <c r="X7" s="45">
        <f>SUM(T7:W7)</f>
        <v>39140</v>
      </c>
      <c r="Y7" s="47">
        <v>35672</v>
      </c>
      <c r="Z7" s="49">
        <v>341</v>
      </c>
      <c r="AA7" s="49">
        <v>1924</v>
      </c>
      <c r="AB7" s="49">
        <v>0</v>
      </c>
      <c r="AC7" s="45">
        <f>SUM(Y7:AB7)</f>
        <v>37937</v>
      </c>
      <c r="AD7" s="47">
        <v>44418</v>
      </c>
      <c r="AE7" s="49">
        <v>126</v>
      </c>
      <c r="AF7" s="49">
        <v>1489</v>
      </c>
      <c r="AG7" s="49">
        <v>0</v>
      </c>
      <c r="AH7" s="45">
        <f>SUM(AD7:AG7)</f>
        <v>46033</v>
      </c>
      <c r="AI7" s="47">
        <v>60287</v>
      </c>
      <c r="AJ7" s="49">
        <v>107</v>
      </c>
      <c r="AK7" s="49">
        <v>3971</v>
      </c>
      <c r="AL7" s="49">
        <v>0</v>
      </c>
      <c r="AM7" s="45">
        <f>SUM(AI7:AL7)</f>
        <v>64365</v>
      </c>
      <c r="AN7" s="47">
        <v>91897</v>
      </c>
      <c r="AO7" s="49">
        <v>216</v>
      </c>
      <c r="AP7" s="49">
        <v>296</v>
      </c>
      <c r="AQ7" s="49">
        <v>0</v>
      </c>
      <c r="AR7" s="45">
        <f t="shared" ref="AR7:AR45" si="1">SUM(AN7:AQ7)</f>
        <v>92409</v>
      </c>
      <c r="AS7" s="47">
        <v>43887</v>
      </c>
      <c r="AT7" s="49">
        <v>44</v>
      </c>
      <c r="AU7" s="49">
        <v>1334</v>
      </c>
      <c r="AV7" s="49">
        <v>0</v>
      </c>
      <c r="AW7" s="45">
        <f>SUM(AS7:AV7)</f>
        <v>45265</v>
      </c>
      <c r="AX7" s="47">
        <v>53036</v>
      </c>
      <c r="AY7" s="49">
        <v>54</v>
      </c>
      <c r="AZ7" s="49">
        <v>2822</v>
      </c>
      <c r="BA7" s="49">
        <v>0</v>
      </c>
      <c r="BB7" s="45">
        <f>SUM(AX7:BA7)</f>
        <v>55912</v>
      </c>
      <c r="BC7" s="47">
        <f>42890+7</f>
        <v>42897</v>
      </c>
      <c r="BD7" s="49">
        <v>48</v>
      </c>
      <c r="BE7" s="49">
        <v>1005</v>
      </c>
      <c r="BF7" s="49">
        <v>0</v>
      </c>
      <c r="BG7" s="45">
        <f>SUM(BC7:BF7)</f>
        <v>43950</v>
      </c>
      <c r="BH7" s="47">
        <v>0</v>
      </c>
      <c r="BI7" s="49">
        <v>0</v>
      </c>
      <c r="BJ7" s="49">
        <v>0</v>
      </c>
      <c r="BK7" s="49">
        <v>0</v>
      </c>
      <c r="BL7" s="45">
        <f>SUM(BH7:BK7)</f>
        <v>0</v>
      </c>
      <c r="BM7" s="47">
        <v>0</v>
      </c>
      <c r="BN7" s="49">
        <v>0</v>
      </c>
      <c r="BO7" s="49">
        <v>0</v>
      </c>
      <c r="BP7" s="49">
        <v>0</v>
      </c>
      <c r="BQ7" s="45">
        <f>SUM(BM7:BP7)</f>
        <v>0</v>
      </c>
      <c r="BR7" s="47">
        <f>+J7+O7+T7+Y7+AD7+AI7+AN7+AS7+AX7+BC7+BH7+BM7</f>
        <v>486520</v>
      </c>
      <c r="BS7" s="330">
        <f>+K7+P7+U7+Z7+AE7+AJ7+AO7+AT7+AY7+BD7+BI7+BN7</f>
        <v>1453</v>
      </c>
      <c r="BT7" s="49">
        <f>+L7+Q7+V7+AA7+AF7+AK7+AP7+AU7+AZ7+BE7+BJ7+BO7</f>
        <v>13799</v>
      </c>
      <c r="BU7" s="49">
        <f>+M7+R7+W7+AB7+AG7+AL7+AQ7+AV7+BA7+BF7+BK7+BP7</f>
        <v>0</v>
      </c>
      <c r="BV7" s="47">
        <f t="shared" ref="BV7:BV46" si="2">SUM(BR7:BU7)</f>
        <v>501772</v>
      </c>
      <c r="BW7" s="331"/>
      <c r="BX7" s="268"/>
    </row>
    <row r="8" spans="1:78" x14ac:dyDescent="0.2">
      <c r="A8" s="262">
        <v>2</v>
      </c>
      <c r="B8" s="263" t="s">
        <v>189</v>
      </c>
      <c r="D8" s="267" t="s">
        <v>60</v>
      </c>
      <c r="E8" s="329">
        <v>1518513</v>
      </c>
      <c r="F8" s="330">
        <v>464247</v>
      </c>
      <c r="G8" s="330">
        <v>10700</v>
      </c>
      <c r="H8" s="330">
        <v>0</v>
      </c>
      <c r="I8" s="45">
        <f t="shared" si="0"/>
        <v>1993460</v>
      </c>
      <c r="J8" s="47">
        <v>127270</v>
      </c>
      <c r="K8" s="49">
        <v>115828</v>
      </c>
      <c r="L8" s="49">
        <v>0</v>
      </c>
      <c r="M8" s="49">
        <v>0</v>
      </c>
      <c r="N8" s="45">
        <f>SUM(J8:M8)</f>
        <v>243098</v>
      </c>
      <c r="O8" s="49">
        <v>121796</v>
      </c>
      <c r="P8" s="49">
        <v>0</v>
      </c>
      <c r="Q8" s="49">
        <v>935</v>
      </c>
      <c r="R8" s="49">
        <v>0</v>
      </c>
      <c r="S8" s="45">
        <f t="shared" ref="S8:S15" si="3">SUM(O8:R8)</f>
        <v>122731</v>
      </c>
      <c r="T8" s="47">
        <v>126124</v>
      </c>
      <c r="U8" s="49">
        <v>0</v>
      </c>
      <c r="V8" s="49">
        <v>935</v>
      </c>
      <c r="W8" s="49">
        <v>0</v>
      </c>
      <c r="X8" s="45">
        <f t="shared" ref="X8:X46" si="4">SUM(T8:W8)</f>
        <v>127059</v>
      </c>
      <c r="Y8" s="47">
        <v>129617</v>
      </c>
      <c r="Z8" s="49">
        <v>115828</v>
      </c>
      <c r="AA8" s="49">
        <v>935</v>
      </c>
      <c r="AB8" s="49">
        <v>0</v>
      </c>
      <c r="AC8" s="45">
        <f t="shared" ref="AC8:AC46" si="5">SUM(Y8:AB8)</f>
        <v>246380</v>
      </c>
      <c r="AD8" s="47">
        <v>128066</v>
      </c>
      <c r="AE8" s="49">
        <v>0</v>
      </c>
      <c r="AF8" s="49">
        <v>935</v>
      </c>
      <c r="AG8" s="49">
        <v>0</v>
      </c>
      <c r="AH8" s="45">
        <f t="shared" ref="AH8:AH46" si="6">SUM(AD8:AG8)</f>
        <v>129001</v>
      </c>
      <c r="AI8" s="47">
        <v>124983</v>
      </c>
      <c r="AJ8" s="49">
        <v>935</v>
      </c>
      <c r="AK8" s="49">
        <v>0</v>
      </c>
      <c r="AL8" s="49">
        <v>0</v>
      </c>
      <c r="AM8" s="45">
        <f t="shared" ref="AM8:AM46" si="7">SUM(AI8:AL8)</f>
        <v>125918</v>
      </c>
      <c r="AN8" s="47">
        <v>124674</v>
      </c>
      <c r="AO8" s="49">
        <v>115828</v>
      </c>
      <c r="AP8" s="49">
        <v>935</v>
      </c>
      <c r="AQ8" s="49">
        <v>0</v>
      </c>
      <c r="AR8" s="45">
        <f t="shared" si="1"/>
        <v>241437</v>
      </c>
      <c r="AS8" s="47">
        <v>129232</v>
      </c>
      <c r="AT8" s="49">
        <v>0</v>
      </c>
      <c r="AU8" s="49">
        <v>935</v>
      </c>
      <c r="AV8" s="49">
        <v>0</v>
      </c>
      <c r="AW8" s="45">
        <f t="shared" ref="AW8:AW46" si="8">SUM(AS8:AV8)</f>
        <v>130167</v>
      </c>
      <c r="AX8" s="47">
        <v>123713</v>
      </c>
      <c r="AY8" s="49">
        <v>0</v>
      </c>
      <c r="AZ8" s="49">
        <v>935</v>
      </c>
      <c r="BA8" s="49">
        <v>0</v>
      </c>
      <c r="BB8" s="45">
        <f t="shared" ref="BB8:BB46" si="9">SUM(AX8:BA8)</f>
        <v>124648</v>
      </c>
      <c r="BC8" s="47">
        <v>124532</v>
      </c>
      <c r="BD8" s="49">
        <v>115828</v>
      </c>
      <c r="BE8" s="49">
        <v>1094</v>
      </c>
      <c r="BF8" s="49">
        <v>0</v>
      </c>
      <c r="BG8" s="45">
        <f t="shared" ref="BG8:BG46" si="10">SUM(BC8:BF8)</f>
        <v>241454</v>
      </c>
      <c r="BH8" s="47">
        <v>0</v>
      </c>
      <c r="BI8" s="49">
        <v>0</v>
      </c>
      <c r="BJ8" s="49">
        <v>0</v>
      </c>
      <c r="BK8" s="49">
        <v>0</v>
      </c>
      <c r="BL8" s="45">
        <f t="shared" ref="BL8:BL46" si="11">SUM(BH8:BK8)</f>
        <v>0</v>
      </c>
      <c r="BM8" s="47">
        <v>0</v>
      </c>
      <c r="BN8" s="49">
        <v>0</v>
      </c>
      <c r="BO8" s="49">
        <v>0</v>
      </c>
      <c r="BP8" s="49">
        <v>0</v>
      </c>
      <c r="BQ8" s="45">
        <f t="shared" ref="BQ8:BQ46" si="12">SUM(BM8:BP8)</f>
        <v>0</v>
      </c>
      <c r="BR8" s="47">
        <f>+J8+O8+T8+Y8+AD8+AI8+AN8+AS8+AX8+BC8+BH8+BM8</f>
        <v>1260007</v>
      </c>
      <c r="BS8" s="330">
        <f t="shared" ref="BS8:BU23" si="13">+K8+P8+U8+Z8+AE8+AJ8+AO8+AT8+AY8+BD8+BI8+BN8</f>
        <v>464247</v>
      </c>
      <c r="BT8" s="49">
        <f t="shared" si="13"/>
        <v>7639</v>
      </c>
      <c r="BU8" s="49">
        <f>+M8+R8+W8+AB8+AG8+AL8+AQ8+AV8+BA8+BF8+BK8+BP8</f>
        <v>0</v>
      </c>
      <c r="BV8" s="47">
        <f t="shared" si="2"/>
        <v>1731893</v>
      </c>
      <c r="BW8" s="13"/>
      <c r="BX8" s="268"/>
    </row>
    <row r="9" spans="1:78" x14ac:dyDescent="0.2">
      <c r="A9" s="262">
        <v>3</v>
      </c>
      <c r="B9" s="263" t="s">
        <v>260</v>
      </c>
      <c r="D9" s="267"/>
      <c r="E9" s="329">
        <v>95848</v>
      </c>
      <c r="F9" s="330">
        <v>1430238</v>
      </c>
      <c r="G9" s="330">
        <v>5480</v>
      </c>
      <c r="H9" s="330">
        <v>3200071</v>
      </c>
      <c r="I9" s="45">
        <f t="shared" si="0"/>
        <v>4731637</v>
      </c>
      <c r="J9" s="47">
        <v>5829</v>
      </c>
      <c r="K9" s="49">
        <v>32386</v>
      </c>
      <c r="L9" s="49">
        <v>0</v>
      </c>
      <c r="M9" s="49">
        <v>0</v>
      </c>
      <c r="N9" s="45">
        <f t="shared" ref="N9:N46" si="14">SUM(J9:M9)</f>
        <v>38215</v>
      </c>
      <c r="O9" s="49">
        <v>9685</v>
      </c>
      <c r="P9" s="49">
        <v>247376</v>
      </c>
      <c r="Q9" s="49">
        <v>44</v>
      </c>
      <c r="R9" s="49">
        <v>21</v>
      </c>
      <c r="S9" s="45">
        <f t="shared" si="3"/>
        <v>257126</v>
      </c>
      <c r="T9" s="47">
        <v>7317</v>
      </c>
      <c r="U9" s="49">
        <v>42383</v>
      </c>
      <c r="V9" s="49">
        <v>0</v>
      </c>
      <c r="W9" s="49">
        <v>1</v>
      </c>
      <c r="X9" s="45">
        <f t="shared" si="4"/>
        <v>49701</v>
      </c>
      <c r="Y9" s="47">
        <v>8157</v>
      </c>
      <c r="Z9" s="49">
        <v>201914</v>
      </c>
      <c r="AA9" s="49">
        <v>48</v>
      </c>
      <c r="AB9" s="49">
        <v>17</v>
      </c>
      <c r="AC9" s="45">
        <f t="shared" si="5"/>
        <v>210136</v>
      </c>
      <c r="AD9" s="47">
        <v>10956</v>
      </c>
      <c r="AE9" s="49">
        <v>85878</v>
      </c>
      <c r="AF9" s="49">
        <v>115</v>
      </c>
      <c r="AG9" s="49">
        <v>0</v>
      </c>
      <c r="AH9" s="45">
        <f t="shared" si="6"/>
        <v>96949</v>
      </c>
      <c r="AI9" s="47">
        <v>7220</v>
      </c>
      <c r="AJ9" s="49">
        <v>38078</v>
      </c>
      <c r="AK9" s="49">
        <v>196</v>
      </c>
      <c r="AL9" s="49">
        <v>0</v>
      </c>
      <c r="AM9" s="45">
        <f t="shared" si="7"/>
        <v>45494</v>
      </c>
      <c r="AN9" s="47">
        <v>6835</v>
      </c>
      <c r="AO9" s="49">
        <v>268468</v>
      </c>
      <c r="AP9" s="49">
        <v>38</v>
      </c>
      <c r="AQ9" s="49">
        <v>0</v>
      </c>
      <c r="AR9" s="45">
        <f t="shared" si="1"/>
        <v>275341</v>
      </c>
      <c r="AS9" s="47">
        <v>6401</v>
      </c>
      <c r="AT9" s="49">
        <v>94708</v>
      </c>
      <c r="AU9" s="49">
        <v>69</v>
      </c>
      <c r="AV9" s="49">
        <v>0</v>
      </c>
      <c r="AW9" s="45">
        <f t="shared" si="8"/>
        <v>101178</v>
      </c>
      <c r="AX9" s="47">
        <v>6713</v>
      </c>
      <c r="AY9" s="49">
        <v>58298</v>
      </c>
      <c r="AZ9" s="49">
        <v>316</v>
      </c>
      <c r="BA9" s="49">
        <v>0</v>
      </c>
      <c r="BB9" s="45">
        <f t="shared" si="9"/>
        <v>65327</v>
      </c>
      <c r="BC9" s="47">
        <v>7380</v>
      </c>
      <c r="BD9" s="49">
        <v>169487</v>
      </c>
      <c r="BE9" s="49">
        <v>0</v>
      </c>
      <c r="BF9" s="49">
        <f>13+2100000</f>
        <v>2100013</v>
      </c>
      <c r="BG9" s="45">
        <f t="shared" si="10"/>
        <v>2276880</v>
      </c>
      <c r="BH9" s="47">
        <v>0</v>
      </c>
      <c r="BI9" s="49">
        <v>0</v>
      </c>
      <c r="BJ9" s="49">
        <v>0</v>
      </c>
      <c r="BK9" s="49">
        <v>0</v>
      </c>
      <c r="BL9" s="45">
        <f t="shared" si="11"/>
        <v>0</v>
      </c>
      <c r="BM9" s="47">
        <v>0</v>
      </c>
      <c r="BN9" s="49">
        <v>0</v>
      </c>
      <c r="BO9" s="49">
        <v>0</v>
      </c>
      <c r="BP9" s="49">
        <v>0</v>
      </c>
      <c r="BQ9" s="45">
        <f t="shared" si="12"/>
        <v>0</v>
      </c>
      <c r="BR9" s="47">
        <f>+J9+O9+T9+Y9+AD9+AI9+AN9+AS9+AX9+BC9+BH9+BM9</f>
        <v>76493</v>
      </c>
      <c r="BS9" s="330">
        <f t="shared" si="13"/>
        <v>1238976</v>
      </c>
      <c r="BT9" s="49">
        <f>+L9+Q9+V9+AA9+AF9+AK9+AP9+AU9+AZ9+BE9+BJ9+BO9</f>
        <v>826</v>
      </c>
      <c r="BU9" s="49">
        <f>+M9+R9+W9+AB9+AG9+AL9+AQ9+AV9+BA9+BF9+BK9+BP9</f>
        <v>2100052</v>
      </c>
      <c r="BV9" s="47">
        <f t="shared" si="2"/>
        <v>3416347</v>
      </c>
      <c r="BW9" s="13"/>
      <c r="BX9" s="268"/>
    </row>
    <row r="10" spans="1:78" x14ac:dyDescent="0.2">
      <c r="A10" s="262">
        <v>4</v>
      </c>
      <c r="B10" s="263" t="s">
        <v>261</v>
      </c>
      <c r="D10" s="267"/>
      <c r="E10" s="329">
        <v>4358707</v>
      </c>
      <c r="F10" s="330">
        <v>82521206</v>
      </c>
      <c r="G10" s="330">
        <v>70301</v>
      </c>
      <c r="H10" s="330">
        <v>135</v>
      </c>
      <c r="I10" s="45">
        <f t="shared" si="0"/>
        <v>86950349</v>
      </c>
      <c r="J10" s="47">
        <v>269058</v>
      </c>
      <c r="K10" s="49">
        <v>40647</v>
      </c>
      <c r="L10" s="49">
        <v>28</v>
      </c>
      <c r="M10" s="49">
        <v>0</v>
      </c>
      <c r="N10" s="45">
        <f t="shared" si="14"/>
        <v>309733</v>
      </c>
      <c r="O10" s="49">
        <v>269745</v>
      </c>
      <c r="P10" s="49">
        <v>85996</v>
      </c>
      <c r="Q10" s="49">
        <v>1365</v>
      </c>
      <c r="R10" s="49">
        <v>0</v>
      </c>
      <c r="S10" s="45">
        <f t="shared" si="3"/>
        <v>357106</v>
      </c>
      <c r="T10" s="47">
        <v>263603</v>
      </c>
      <c r="U10" s="49">
        <v>1</v>
      </c>
      <c r="V10" s="49">
        <v>55</v>
      </c>
      <c r="W10" s="49">
        <v>0</v>
      </c>
      <c r="X10" s="45">
        <f t="shared" si="4"/>
        <v>263659</v>
      </c>
      <c r="Y10" s="47">
        <v>281974</v>
      </c>
      <c r="Z10" s="49">
        <v>32341361</v>
      </c>
      <c r="AA10" s="49">
        <v>351</v>
      </c>
      <c r="AB10" s="49">
        <v>0</v>
      </c>
      <c r="AC10" s="45">
        <f t="shared" si="5"/>
        <v>32623686</v>
      </c>
      <c r="AD10" s="47">
        <v>305389</v>
      </c>
      <c r="AE10" s="49">
        <v>1169916</v>
      </c>
      <c r="AF10" s="49">
        <v>3431</v>
      </c>
      <c r="AG10" s="49">
        <v>0</v>
      </c>
      <c r="AH10" s="45">
        <f t="shared" si="6"/>
        <v>1478736</v>
      </c>
      <c r="AI10" s="47">
        <v>287627</v>
      </c>
      <c r="AJ10" s="49">
        <v>54809</v>
      </c>
      <c r="AK10" s="49">
        <v>8318</v>
      </c>
      <c r="AL10" s="49">
        <v>0</v>
      </c>
      <c r="AM10" s="45">
        <f t="shared" si="7"/>
        <v>350754</v>
      </c>
      <c r="AN10" s="47">
        <v>281692</v>
      </c>
      <c r="AO10" s="49">
        <v>402062</v>
      </c>
      <c r="AP10" s="49">
        <v>729</v>
      </c>
      <c r="AQ10" s="49">
        <v>0</v>
      </c>
      <c r="AR10" s="45">
        <f t="shared" si="1"/>
        <v>684483</v>
      </c>
      <c r="AS10" s="47">
        <v>418158</v>
      </c>
      <c r="AT10" s="49">
        <v>418626</v>
      </c>
      <c r="AU10" s="49">
        <v>4968</v>
      </c>
      <c r="AV10" s="49">
        <v>0</v>
      </c>
      <c r="AW10" s="45">
        <f t="shared" si="8"/>
        <v>841752</v>
      </c>
      <c r="AX10" s="47">
        <v>486423</v>
      </c>
      <c r="AY10" s="49">
        <v>22729096</v>
      </c>
      <c r="AZ10" s="49">
        <v>9640</v>
      </c>
      <c r="BA10" s="49">
        <v>0</v>
      </c>
      <c r="BB10" s="45">
        <f t="shared" si="9"/>
        <v>23225159</v>
      </c>
      <c r="BC10" s="47">
        <v>316807</v>
      </c>
      <c r="BD10" s="49">
        <v>1724641</v>
      </c>
      <c r="BE10" s="49">
        <v>3101</v>
      </c>
      <c r="BF10" s="49">
        <v>0</v>
      </c>
      <c r="BG10" s="45">
        <f t="shared" si="10"/>
        <v>2044549</v>
      </c>
      <c r="BH10" s="47">
        <v>0</v>
      </c>
      <c r="BI10" s="49">
        <v>0</v>
      </c>
      <c r="BJ10" s="49">
        <v>0</v>
      </c>
      <c r="BK10" s="49">
        <v>0</v>
      </c>
      <c r="BL10" s="45">
        <f t="shared" si="11"/>
        <v>0</v>
      </c>
      <c r="BM10" s="47">
        <v>0</v>
      </c>
      <c r="BN10" s="49">
        <v>0</v>
      </c>
      <c r="BO10" s="49">
        <v>0</v>
      </c>
      <c r="BP10" s="49">
        <v>0</v>
      </c>
      <c r="BQ10" s="45">
        <f t="shared" si="12"/>
        <v>0</v>
      </c>
      <c r="BR10" s="47">
        <f>+J10+O10+T10+Y10+AD10+AI10+AN10+AS10+AX10+BC10+BH10+BM10</f>
        <v>3180476</v>
      </c>
      <c r="BS10" s="330">
        <f t="shared" si="13"/>
        <v>58967155</v>
      </c>
      <c r="BT10" s="49">
        <f>+L10+Q10+V10+AA10+AF10+AK10+AP10+AU10+AZ10+BE10+BJ10+BO10</f>
        <v>31986</v>
      </c>
      <c r="BU10" s="49">
        <f>+M10+R10+W10+AB10+AG10+AL10+AQ10+AV10+BA10+BF10+BK10+BP10</f>
        <v>0</v>
      </c>
      <c r="BV10" s="47">
        <f t="shared" si="2"/>
        <v>62179617</v>
      </c>
      <c r="BW10" s="13"/>
      <c r="BX10" s="268"/>
    </row>
    <row r="11" spans="1:78" x14ac:dyDescent="0.2">
      <c r="A11" s="262">
        <v>5</v>
      </c>
      <c r="B11" s="263" t="s">
        <v>192</v>
      </c>
      <c r="D11" s="264"/>
      <c r="E11" s="329">
        <v>6863669</v>
      </c>
      <c r="F11" s="330">
        <f>2196909-3503</f>
        <v>2193406</v>
      </c>
      <c r="G11" s="330">
        <v>465400</v>
      </c>
      <c r="H11" s="330">
        <v>5042</v>
      </c>
      <c r="I11" s="45">
        <f t="shared" si="0"/>
        <v>9527517</v>
      </c>
      <c r="J11" s="47">
        <v>454613</v>
      </c>
      <c r="K11" s="49">
        <v>294034</v>
      </c>
      <c r="L11" s="49">
        <v>3944</v>
      </c>
      <c r="M11" s="49">
        <v>0</v>
      </c>
      <c r="N11" s="45">
        <f t="shared" si="14"/>
        <v>752591</v>
      </c>
      <c r="O11" s="49">
        <v>522761</v>
      </c>
      <c r="P11" s="49">
        <v>642591</v>
      </c>
      <c r="Q11" s="49">
        <v>6800</v>
      </c>
      <c r="R11" s="49">
        <v>0</v>
      </c>
      <c r="S11" s="45">
        <f t="shared" si="3"/>
        <v>1172152</v>
      </c>
      <c r="T11" s="47">
        <v>480104</v>
      </c>
      <c r="U11" s="49">
        <v>162981</v>
      </c>
      <c r="V11" s="49">
        <v>16368</v>
      </c>
      <c r="W11" s="49">
        <v>0</v>
      </c>
      <c r="X11" s="45">
        <f t="shared" si="4"/>
        <v>659453</v>
      </c>
      <c r="Y11" s="47">
        <v>673647</v>
      </c>
      <c r="Z11" s="49">
        <v>145482</v>
      </c>
      <c r="AA11" s="49">
        <v>20965</v>
      </c>
      <c r="AB11" s="49">
        <v>0</v>
      </c>
      <c r="AC11" s="45">
        <f t="shared" si="5"/>
        <v>840094</v>
      </c>
      <c r="AD11" s="47">
        <v>481916</v>
      </c>
      <c r="AE11" s="49">
        <v>101861</v>
      </c>
      <c r="AF11" s="49">
        <v>42132</v>
      </c>
      <c r="AG11" s="49">
        <v>0</v>
      </c>
      <c r="AH11" s="45">
        <f t="shared" si="6"/>
        <v>625909</v>
      </c>
      <c r="AI11" s="47">
        <v>553031</v>
      </c>
      <c r="AJ11" s="49">
        <v>100654</v>
      </c>
      <c r="AK11" s="49">
        <v>23675</v>
      </c>
      <c r="AL11" s="49">
        <v>0</v>
      </c>
      <c r="AM11" s="45">
        <f t="shared" si="7"/>
        <v>677360</v>
      </c>
      <c r="AN11" s="47">
        <v>573970</v>
      </c>
      <c r="AO11" s="49">
        <v>140590</v>
      </c>
      <c r="AP11" s="49">
        <v>25343</v>
      </c>
      <c r="AQ11" s="49">
        <v>0</v>
      </c>
      <c r="AR11" s="45">
        <f t="shared" si="1"/>
        <v>739903</v>
      </c>
      <c r="AS11" s="47">
        <v>562306</v>
      </c>
      <c r="AT11" s="49">
        <v>100441</v>
      </c>
      <c r="AU11" s="49">
        <v>40753</v>
      </c>
      <c r="AV11" s="49">
        <v>0</v>
      </c>
      <c r="AW11" s="45">
        <f t="shared" si="8"/>
        <v>703500</v>
      </c>
      <c r="AX11" s="47">
        <v>473164</v>
      </c>
      <c r="AY11" s="49">
        <v>100263</v>
      </c>
      <c r="AZ11" s="49">
        <v>86522</v>
      </c>
      <c r="BA11" s="49">
        <v>0</v>
      </c>
      <c r="BB11" s="45">
        <f t="shared" si="9"/>
        <v>659949</v>
      </c>
      <c r="BC11" s="47">
        <v>565425</v>
      </c>
      <c r="BD11" s="49">
        <v>141330</v>
      </c>
      <c r="BE11" s="49">
        <v>10503</v>
      </c>
      <c r="BF11" s="49">
        <v>0</v>
      </c>
      <c r="BG11" s="45">
        <f t="shared" si="10"/>
        <v>717258</v>
      </c>
      <c r="BH11" s="47">
        <v>0</v>
      </c>
      <c r="BI11" s="49">
        <v>0</v>
      </c>
      <c r="BJ11" s="49">
        <v>0</v>
      </c>
      <c r="BK11" s="49">
        <v>0</v>
      </c>
      <c r="BL11" s="45">
        <f t="shared" si="11"/>
        <v>0</v>
      </c>
      <c r="BM11" s="47">
        <v>0</v>
      </c>
      <c r="BN11" s="49">
        <v>0</v>
      </c>
      <c r="BO11" s="49">
        <v>0</v>
      </c>
      <c r="BP11" s="49">
        <v>0</v>
      </c>
      <c r="BQ11" s="45">
        <f t="shared" si="12"/>
        <v>0</v>
      </c>
      <c r="BR11" s="47">
        <f t="shared" ref="BR11:BU46" si="15">+J11+O11+T11+Y11+AD11+AI11+AN11+AS11+AX11+BC11+BH11+BM11</f>
        <v>5340937</v>
      </c>
      <c r="BS11" s="330">
        <f t="shared" si="13"/>
        <v>1930227</v>
      </c>
      <c r="BT11" s="49">
        <f t="shared" si="13"/>
        <v>277005</v>
      </c>
      <c r="BU11" s="49">
        <f t="shared" si="13"/>
        <v>0</v>
      </c>
      <c r="BV11" s="47">
        <f>SUM(BR11:BU11)</f>
        <v>7548169</v>
      </c>
      <c r="BW11" s="13"/>
      <c r="BX11" s="268"/>
    </row>
    <row r="12" spans="1:78" x14ac:dyDescent="0.2">
      <c r="A12" s="262">
        <v>6</v>
      </c>
      <c r="B12" s="263" t="s">
        <v>193</v>
      </c>
      <c r="D12" s="264"/>
      <c r="E12" s="329">
        <v>5369192</v>
      </c>
      <c r="F12" s="330">
        <v>882300</v>
      </c>
      <c r="G12" s="330">
        <v>58539</v>
      </c>
      <c r="H12" s="330">
        <v>13</v>
      </c>
      <c r="I12" s="45">
        <f t="shared" si="0"/>
        <v>6310044</v>
      </c>
      <c r="J12" s="47">
        <v>439016</v>
      </c>
      <c r="K12" s="49">
        <v>441489</v>
      </c>
      <c r="L12" s="49">
        <v>6067</v>
      </c>
      <c r="M12" s="49">
        <v>0</v>
      </c>
      <c r="N12" s="45">
        <f t="shared" si="14"/>
        <v>886572</v>
      </c>
      <c r="O12" s="49">
        <v>429861</v>
      </c>
      <c r="P12" s="49">
        <v>12354</v>
      </c>
      <c r="Q12" s="49">
        <v>43184</v>
      </c>
      <c r="R12" s="49">
        <v>0</v>
      </c>
      <c r="S12" s="45">
        <f t="shared" si="3"/>
        <v>485399</v>
      </c>
      <c r="T12" s="47">
        <v>433045</v>
      </c>
      <c r="U12" s="49">
        <v>52997</v>
      </c>
      <c r="V12" s="49">
        <v>4479</v>
      </c>
      <c r="W12" s="49">
        <v>0</v>
      </c>
      <c r="X12" s="45">
        <f t="shared" si="4"/>
        <v>490521</v>
      </c>
      <c r="Y12" s="47">
        <v>489724</v>
      </c>
      <c r="Z12" s="49">
        <v>90780</v>
      </c>
      <c r="AA12" s="49">
        <v>42140</v>
      </c>
      <c r="AB12" s="49">
        <v>529</v>
      </c>
      <c r="AC12" s="45">
        <f t="shared" si="5"/>
        <v>623173</v>
      </c>
      <c r="AD12" s="47">
        <v>436776</v>
      </c>
      <c r="AE12" s="49">
        <v>9295</v>
      </c>
      <c r="AF12" s="49">
        <v>3939</v>
      </c>
      <c r="AG12" s="49">
        <v>0</v>
      </c>
      <c r="AH12" s="45">
        <f t="shared" si="6"/>
        <v>450010</v>
      </c>
      <c r="AI12" s="47">
        <v>504822</v>
      </c>
      <c r="AJ12" s="49">
        <v>15096</v>
      </c>
      <c r="AK12" s="49">
        <v>-72669</v>
      </c>
      <c r="AL12" s="49">
        <v>0</v>
      </c>
      <c r="AM12" s="45">
        <f t="shared" si="7"/>
        <v>447249</v>
      </c>
      <c r="AN12" s="47">
        <v>467913</v>
      </c>
      <c r="AO12" s="49">
        <v>1286</v>
      </c>
      <c r="AP12" s="49">
        <v>2364</v>
      </c>
      <c r="AQ12" s="49">
        <v>58</v>
      </c>
      <c r="AR12" s="45">
        <f t="shared" si="1"/>
        <v>471621</v>
      </c>
      <c r="AS12" s="47">
        <v>369654</v>
      </c>
      <c r="AT12" s="49">
        <v>5345</v>
      </c>
      <c r="AU12" s="49">
        <v>204</v>
      </c>
      <c r="AV12" s="49">
        <v>-587</v>
      </c>
      <c r="AW12" s="45">
        <f t="shared" si="8"/>
        <v>374616</v>
      </c>
      <c r="AX12" s="47">
        <v>458920</v>
      </c>
      <c r="AY12" s="49">
        <v>4198</v>
      </c>
      <c r="AZ12" s="49">
        <v>4887</v>
      </c>
      <c r="BA12" s="49">
        <v>0</v>
      </c>
      <c r="BB12" s="45">
        <f t="shared" si="9"/>
        <v>468005</v>
      </c>
      <c r="BC12" s="47">
        <v>201931</v>
      </c>
      <c r="BD12" s="49">
        <v>278</v>
      </c>
      <c r="BE12" s="49">
        <v>101</v>
      </c>
      <c r="BF12" s="49">
        <v>0</v>
      </c>
      <c r="BG12" s="45">
        <f t="shared" si="10"/>
        <v>202310</v>
      </c>
      <c r="BH12" s="47">
        <v>0</v>
      </c>
      <c r="BI12" s="49">
        <v>0</v>
      </c>
      <c r="BJ12" s="49">
        <v>0</v>
      </c>
      <c r="BK12" s="49">
        <v>0</v>
      </c>
      <c r="BL12" s="45">
        <f>SUM(BH12:BK12)</f>
        <v>0</v>
      </c>
      <c r="BM12" s="47">
        <v>0</v>
      </c>
      <c r="BN12" s="49">
        <v>0</v>
      </c>
      <c r="BO12" s="49">
        <v>0</v>
      </c>
      <c r="BP12" s="49">
        <v>0</v>
      </c>
      <c r="BQ12" s="45">
        <f t="shared" si="12"/>
        <v>0</v>
      </c>
      <c r="BR12" s="47">
        <f t="shared" si="15"/>
        <v>4231662</v>
      </c>
      <c r="BS12" s="330">
        <f t="shared" si="13"/>
        <v>633118</v>
      </c>
      <c r="BT12" s="49">
        <f t="shared" si="13"/>
        <v>34696</v>
      </c>
      <c r="BU12" s="49">
        <f t="shared" si="13"/>
        <v>0</v>
      </c>
      <c r="BV12" s="47">
        <f t="shared" si="2"/>
        <v>4899476</v>
      </c>
      <c r="BW12" s="13"/>
      <c r="BX12" s="268"/>
    </row>
    <row r="13" spans="1:78" x14ac:dyDescent="0.2">
      <c r="A13" s="262">
        <v>7</v>
      </c>
      <c r="B13" s="263" t="s">
        <v>195</v>
      </c>
      <c r="D13" s="269"/>
      <c r="E13" s="329">
        <v>2014384</v>
      </c>
      <c r="F13" s="330">
        <v>23532333</v>
      </c>
      <c r="G13" s="330">
        <v>13554</v>
      </c>
      <c r="H13" s="330">
        <v>4273817</v>
      </c>
      <c r="I13" s="45">
        <f t="shared" si="0"/>
        <v>29834088</v>
      </c>
      <c r="J13" s="47">
        <v>149165</v>
      </c>
      <c r="K13" s="49">
        <v>1582311</v>
      </c>
      <c r="L13" s="49">
        <v>2036</v>
      </c>
      <c r="M13" s="49">
        <v>0</v>
      </c>
      <c r="N13" s="45">
        <f t="shared" si="14"/>
        <v>1733512</v>
      </c>
      <c r="O13" s="49">
        <v>194420</v>
      </c>
      <c r="P13" s="49">
        <v>1565933</v>
      </c>
      <c r="Q13" s="49">
        <v>1021</v>
      </c>
      <c r="R13" s="49">
        <v>78</v>
      </c>
      <c r="S13" s="45">
        <f t="shared" si="3"/>
        <v>1761452</v>
      </c>
      <c r="T13" s="47">
        <v>90234</v>
      </c>
      <c r="U13" s="49">
        <v>1672323</v>
      </c>
      <c r="V13" s="49">
        <v>2236</v>
      </c>
      <c r="W13" s="49">
        <v>0</v>
      </c>
      <c r="X13" s="45">
        <f t="shared" si="4"/>
        <v>1764793</v>
      </c>
      <c r="Y13" s="47">
        <v>200618</v>
      </c>
      <c r="Z13" s="49">
        <v>1839720</v>
      </c>
      <c r="AA13" s="49">
        <v>712</v>
      </c>
      <c r="AB13" s="49">
        <v>0</v>
      </c>
      <c r="AC13" s="45">
        <f t="shared" si="5"/>
        <v>2041050</v>
      </c>
      <c r="AD13" s="47">
        <v>142937</v>
      </c>
      <c r="AE13" s="49">
        <v>2296090</v>
      </c>
      <c r="AF13" s="49">
        <v>260</v>
      </c>
      <c r="AG13" s="49">
        <v>0</v>
      </c>
      <c r="AH13" s="45">
        <f t="shared" si="6"/>
        <v>2439287</v>
      </c>
      <c r="AI13" s="47">
        <v>124883</v>
      </c>
      <c r="AJ13" s="49">
        <v>1661768</v>
      </c>
      <c r="AK13" s="49">
        <v>1796</v>
      </c>
      <c r="AL13" s="49">
        <v>0</v>
      </c>
      <c r="AM13" s="45">
        <f t="shared" si="7"/>
        <v>1788447</v>
      </c>
      <c r="AN13" s="47">
        <v>197481</v>
      </c>
      <c r="AO13" s="49">
        <v>1814144</v>
      </c>
      <c r="AP13" s="49">
        <v>1529</v>
      </c>
      <c r="AQ13" s="49">
        <v>0</v>
      </c>
      <c r="AR13" s="45">
        <f t="shared" si="1"/>
        <v>2013154</v>
      </c>
      <c r="AS13" s="47">
        <v>182965</v>
      </c>
      <c r="AT13" s="49">
        <v>1930400</v>
      </c>
      <c r="AU13" s="49">
        <v>502</v>
      </c>
      <c r="AV13" s="49">
        <v>0</v>
      </c>
      <c r="AW13" s="45">
        <f t="shared" si="8"/>
        <v>2113867</v>
      </c>
      <c r="AX13" s="47">
        <v>158245</v>
      </c>
      <c r="AY13" s="49">
        <v>1598092</v>
      </c>
      <c r="AZ13" s="49">
        <v>1034</v>
      </c>
      <c r="BA13" s="49">
        <v>4273500</v>
      </c>
      <c r="BB13" s="45">
        <f t="shared" si="9"/>
        <v>6030871</v>
      </c>
      <c r="BC13" s="47">
        <v>156923</v>
      </c>
      <c r="BD13" s="49">
        <v>1882281</v>
      </c>
      <c r="BE13" s="49">
        <v>253</v>
      </c>
      <c r="BF13" s="49">
        <v>170</v>
      </c>
      <c r="BG13" s="45">
        <f t="shared" si="10"/>
        <v>2039627</v>
      </c>
      <c r="BH13" s="47">
        <v>0</v>
      </c>
      <c r="BI13" s="49">
        <v>0</v>
      </c>
      <c r="BJ13" s="49">
        <v>0</v>
      </c>
      <c r="BK13" s="49">
        <v>0</v>
      </c>
      <c r="BL13" s="45">
        <f t="shared" si="11"/>
        <v>0</v>
      </c>
      <c r="BM13" s="47">
        <v>0</v>
      </c>
      <c r="BN13" s="49">
        <v>0</v>
      </c>
      <c r="BO13" s="49">
        <v>0</v>
      </c>
      <c r="BP13" s="49">
        <v>0</v>
      </c>
      <c r="BQ13" s="45">
        <f t="shared" si="12"/>
        <v>0</v>
      </c>
      <c r="BR13" s="47">
        <f t="shared" si="15"/>
        <v>1597871</v>
      </c>
      <c r="BS13" s="330">
        <f t="shared" si="13"/>
        <v>17843062</v>
      </c>
      <c r="BT13" s="49">
        <f t="shared" si="13"/>
        <v>11379</v>
      </c>
      <c r="BU13" s="49">
        <f t="shared" si="13"/>
        <v>4273748</v>
      </c>
      <c r="BV13" s="47">
        <f>SUM(BR13:BU13)</f>
        <v>23726060</v>
      </c>
      <c r="BW13" s="13"/>
      <c r="BX13" s="268"/>
      <c r="BZ13" s="1"/>
    </row>
    <row r="14" spans="1:78" x14ac:dyDescent="0.2">
      <c r="A14" s="262">
        <v>8</v>
      </c>
      <c r="B14" s="263" t="s">
        <v>196</v>
      </c>
      <c r="D14" s="269"/>
      <c r="E14" s="329">
        <v>445155</v>
      </c>
      <c r="F14" s="330">
        <v>460883</v>
      </c>
      <c r="G14" s="330">
        <f>8811-361</f>
        <v>8450</v>
      </c>
      <c r="H14" s="330">
        <v>30</v>
      </c>
      <c r="I14" s="45">
        <f>SUM(E14:H14)</f>
        <v>914518</v>
      </c>
      <c r="J14" s="47">
        <v>28996</v>
      </c>
      <c r="K14" s="49">
        <v>0</v>
      </c>
      <c r="L14" s="49">
        <v>11</v>
      </c>
      <c r="M14" s="49">
        <v>0</v>
      </c>
      <c r="N14" s="45">
        <f t="shared" si="14"/>
        <v>29007</v>
      </c>
      <c r="O14" s="49">
        <v>33122</v>
      </c>
      <c r="P14" s="49">
        <v>110053</v>
      </c>
      <c r="Q14" s="49">
        <v>1109</v>
      </c>
      <c r="R14" s="49">
        <v>0</v>
      </c>
      <c r="S14" s="45">
        <f t="shared" si="3"/>
        <v>144284</v>
      </c>
      <c r="T14" s="47">
        <v>32962</v>
      </c>
      <c r="U14" s="49">
        <v>0</v>
      </c>
      <c r="V14" s="49">
        <v>167</v>
      </c>
      <c r="W14" s="49">
        <v>0</v>
      </c>
      <c r="X14" s="45">
        <f t="shared" si="4"/>
        <v>33129</v>
      </c>
      <c r="Y14" s="47">
        <v>34454</v>
      </c>
      <c r="Z14" s="49">
        <v>35</v>
      </c>
      <c r="AA14" s="49">
        <v>154</v>
      </c>
      <c r="AB14" s="49">
        <v>0</v>
      </c>
      <c r="AC14" s="45">
        <f t="shared" si="5"/>
        <v>34643</v>
      </c>
      <c r="AD14" s="47">
        <v>36533</v>
      </c>
      <c r="AE14" s="49">
        <v>129732</v>
      </c>
      <c r="AF14" s="49">
        <v>139</v>
      </c>
      <c r="AG14" s="49">
        <v>0</v>
      </c>
      <c r="AH14" s="45">
        <f t="shared" si="6"/>
        <v>166404</v>
      </c>
      <c r="AI14" s="47">
        <v>34085</v>
      </c>
      <c r="AJ14" s="49">
        <v>97</v>
      </c>
      <c r="AK14" s="49">
        <v>351</v>
      </c>
      <c r="AL14" s="49">
        <v>1</v>
      </c>
      <c r="AM14" s="45">
        <f t="shared" si="7"/>
        <v>34534</v>
      </c>
      <c r="AN14" s="47">
        <v>42019</v>
      </c>
      <c r="AO14" s="49">
        <v>149</v>
      </c>
      <c r="AP14" s="49">
        <v>788</v>
      </c>
      <c r="AQ14" s="49">
        <v>0</v>
      </c>
      <c r="AR14" s="45">
        <f t="shared" si="1"/>
        <v>42956</v>
      </c>
      <c r="AS14" s="47">
        <v>35543</v>
      </c>
      <c r="AT14" s="49">
        <v>110376</v>
      </c>
      <c r="AU14" s="49">
        <v>242</v>
      </c>
      <c r="AV14" s="49">
        <v>0</v>
      </c>
      <c r="AW14" s="45">
        <f t="shared" si="8"/>
        <v>146161</v>
      </c>
      <c r="AX14" s="47">
        <v>37185</v>
      </c>
      <c r="AY14" s="49">
        <v>299</v>
      </c>
      <c r="AZ14" s="49">
        <v>1922</v>
      </c>
      <c r="BA14" s="49">
        <v>0</v>
      </c>
      <c r="BB14" s="45">
        <f t="shared" si="9"/>
        <v>39406</v>
      </c>
      <c r="BC14" s="47">
        <v>35125</v>
      </c>
      <c r="BD14" s="49">
        <v>49</v>
      </c>
      <c r="BE14" s="49">
        <v>1377</v>
      </c>
      <c r="BF14" s="49">
        <v>0</v>
      </c>
      <c r="BG14" s="45">
        <f t="shared" si="10"/>
        <v>36551</v>
      </c>
      <c r="BH14" s="47">
        <v>0</v>
      </c>
      <c r="BI14" s="49">
        <v>0</v>
      </c>
      <c r="BJ14" s="49">
        <v>0</v>
      </c>
      <c r="BK14" s="49">
        <v>0</v>
      </c>
      <c r="BL14" s="45">
        <f t="shared" si="11"/>
        <v>0</v>
      </c>
      <c r="BM14" s="47">
        <v>0</v>
      </c>
      <c r="BN14" s="49">
        <v>0</v>
      </c>
      <c r="BO14" s="49">
        <v>0</v>
      </c>
      <c r="BP14" s="49">
        <v>0</v>
      </c>
      <c r="BQ14" s="45">
        <f t="shared" si="12"/>
        <v>0</v>
      </c>
      <c r="BR14" s="47">
        <f t="shared" si="15"/>
        <v>350024</v>
      </c>
      <c r="BS14" s="330">
        <f t="shared" si="13"/>
        <v>350790</v>
      </c>
      <c r="BT14" s="49">
        <f t="shared" si="13"/>
        <v>6260</v>
      </c>
      <c r="BU14" s="49">
        <f t="shared" si="13"/>
        <v>1</v>
      </c>
      <c r="BV14" s="47">
        <f t="shared" si="2"/>
        <v>707075</v>
      </c>
      <c r="BW14" s="13"/>
      <c r="BX14" s="268"/>
    </row>
    <row r="15" spans="1:78" x14ac:dyDescent="0.2">
      <c r="A15" s="262">
        <v>9</v>
      </c>
      <c r="B15" s="270" t="s">
        <v>197</v>
      </c>
      <c r="D15" s="267"/>
      <c r="E15" s="329">
        <v>233992</v>
      </c>
      <c r="F15" s="330">
        <v>8128</v>
      </c>
      <c r="G15" s="330">
        <v>4228</v>
      </c>
      <c r="H15" s="330">
        <v>56600041</v>
      </c>
      <c r="I15" s="45">
        <f>SUM(E15:H15)</f>
        <v>56846389</v>
      </c>
      <c r="J15" s="47">
        <v>22363</v>
      </c>
      <c r="K15" s="49">
        <v>2</v>
      </c>
      <c r="L15" s="49">
        <v>0</v>
      </c>
      <c r="M15" s="49">
        <v>0</v>
      </c>
      <c r="N15" s="45">
        <f t="shared" si="14"/>
        <v>22365</v>
      </c>
      <c r="O15" s="49">
        <v>14051</v>
      </c>
      <c r="P15" s="49">
        <v>19</v>
      </c>
      <c r="Q15" s="49">
        <v>168</v>
      </c>
      <c r="R15" s="49">
        <v>0</v>
      </c>
      <c r="S15" s="45">
        <f t="shared" si="3"/>
        <v>14238</v>
      </c>
      <c r="T15" s="47">
        <v>16701</v>
      </c>
      <c r="U15" s="49">
        <v>1</v>
      </c>
      <c r="V15" s="49">
        <v>449</v>
      </c>
      <c r="W15" s="49">
        <v>0</v>
      </c>
      <c r="X15" s="45">
        <f t="shared" si="4"/>
        <v>17151</v>
      </c>
      <c r="Y15" s="47">
        <v>17978</v>
      </c>
      <c r="Z15" s="49">
        <v>122</v>
      </c>
      <c r="AA15" s="49">
        <v>93</v>
      </c>
      <c r="AB15" s="49">
        <v>0</v>
      </c>
      <c r="AC15" s="45">
        <f t="shared" si="5"/>
        <v>18193</v>
      </c>
      <c r="AD15" s="47">
        <v>22653</v>
      </c>
      <c r="AE15" s="49">
        <v>76</v>
      </c>
      <c r="AF15" s="49">
        <v>255</v>
      </c>
      <c r="AG15" s="49">
        <v>0</v>
      </c>
      <c r="AH15" s="45">
        <f t="shared" si="6"/>
        <v>22984</v>
      </c>
      <c r="AI15" s="47">
        <v>14911</v>
      </c>
      <c r="AJ15" s="49">
        <v>4745</v>
      </c>
      <c r="AK15" s="49">
        <v>-48</v>
      </c>
      <c r="AL15" s="49">
        <v>13500000</v>
      </c>
      <c r="AM15" s="45">
        <f>SUM(AI15:AL15)</f>
        <v>13519608</v>
      </c>
      <c r="AN15" s="47">
        <v>18930</v>
      </c>
      <c r="AO15" s="49">
        <v>3</v>
      </c>
      <c r="AP15" s="49">
        <v>26</v>
      </c>
      <c r="AQ15" s="49">
        <v>0</v>
      </c>
      <c r="AR15" s="45">
        <f t="shared" si="1"/>
        <v>18959</v>
      </c>
      <c r="AS15" s="47">
        <v>21167</v>
      </c>
      <c r="AT15" s="49">
        <v>0</v>
      </c>
      <c r="AU15" s="49">
        <v>22</v>
      </c>
      <c r="AV15" s="49">
        <v>0</v>
      </c>
      <c r="AW15" s="45">
        <f t="shared" si="8"/>
        <v>21189</v>
      </c>
      <c r="AX15" s="47">
        <v>24388</v>
      </c>
      <c r="AY15" s="49">
        <v>100</v>
      </c>
      <c r="AZ15" s="49">
        <v>2751</v>
      </c>
      <c r="BA15" s="49">
        <v>13000000</v>
      </c>
      <c r="BB15" s="45">
        <f t="shared" si="9"/>
        <v>13027239</v>
      </c>
      <c r="BC15" s="47">
        <v>9997</v>
      </c>
      <c r="BD15" s="49">
        <v>0</v>
      </c>
      <c r="BE15" s="49">
        <v>321</v>
      </c>
      <c r="BF15" s="49">
        <f>5500000+300000+1800000</f>
        <v>7600000</v>
      </c>
      <c r="BG15" s="45">
        <f t="shared" si="10"/>
        <v>7610318</v>
      </c>
      <c r="BH15" s="47">
        <v>0</v>
      </c>
      <c r="BI15" s="49">
        <v>0</v>
      </c>
      <c r="BJ15" s="49">
        <v>0</v>
      </c>
      <c r="BK15" s="49">
        <v>0</v>
      </c>
      <c r="BL15" s="45">
        <f t="shared" si="11"/>
        <v>0</v>
      </c>
      <c r="BM15" s="47">
        <v>0</v>
      </c>
      <c r="BN15" s="49">
        <v>0</v>
      </c>
      <c r="BO15" s="49">
        <v>0</v>
      </c>
      <c r="BP15" s="49">
        <v>0</v>
      </c>
      <c r="BQ15" s="45">
        <f t="shared" si="12"/>
        <v>0</v>
      </c>
      <c r="BR15" s="47">
        <f t="shared" si="15"/>
        <v>183139</v>
      </c>
      <c r="BS15" s="330">
        <f t="shared" si="13"/>
        <v>5068</v>
      </c>
      <c r="BT15" s="49">
        <f t="shared" si="13"/>
        <v>4037</v>
      </c>
      <c r="BU15" s="49">
        <f>+M15+R15+W15+AB15+AG15+AL15+AQ15+AV15+BA15+BF15+BK15+BP15</f>
        <v>34100000</v>
      </c>
      <c r="BV15" s="47">
        <f t="shared" si="2"/>
        <v>34292244</v>
      </c>
      <c r="BW15" s="13"/>
      <c r="BX15" s="268"/>
      <c r="BZ15" s="1"/>
    </row>
    <row r="16" spans="1:78" x14ac:dyDescent="0.2">
      <c r="A16" s="262">
        <v>10</v>
      </c>
      <c r="B16" s="263" t="s">
        <v>198</v>
      </c>
      <c r="D16" s="264"/>
      <c r="E16" s="329">
        <v>442608</v>
      </c>
      <c r="F16" s="330">
        <v>508245</v>
      </c>
      <c r="G16" s="330">
        <v>3262</v>
      </c>
      <c r="H16" s="330">
        <v>850</v>
      </c>
      <c r="I16" s="45">
        <f t="shared" si="0"/>
        <v>954965</v>
      </c>
      <c r="J16" s="47">
        <v>29256</v>
      </c>
      <c r="K16" s="49">
        <v>39528</v>
      </c>
      <c r="L16" s="49">
        <v>423</v>
      </c>
      <c r="M16" s="49">
        <v>0</v>
      </c>
      <c r="N16" s="45">
        <f t="shared" si="14"/>
        <v>69207</v>
      </c>
      <c r="O16" s="49">
        <v>37301</v>
      </c>
      <c r="P16" s="49">
        <v>37239</v>
      </c>
      <c r="Q16" s="49">
        <v>268</v>
      </c>
      <c r="R16" s="49">
        <v>0</v>
      </c>
      <c r="S16" s="45">
        <f>SUM(O16:R16)</f>
        <v>74808</v>
      </c>
      <c r="T16" s="47">
        <v>30158</v>
      </c>
      <c r="U16" s="49">
        <v>43295</v>
      </c>
      <c r="V16" s="49">
        <v>278</v>
      </c>
      <c r="W16" s="49">
        <v>0</v>
      </c>
      <c r="X16" s="45">
        <f t="shared" si="4"/>
        <v>73731</v>
      </c>
      <c r="Y16" s="47">
        <v>33502</v>
      </c>
      <c r="Z16" s="49">
        <v>44814</v>
      </c>
      <c r="AA16" s="49">
        <v>611</v>
      </c>
      <c r="AB16" s="49">
        <v>0</v>
      </c>
      <c r="AC16" s="45">
        <f t="shared" si="5"/>
        <v>78927</v>
      </c>
      <c r="AD16" s="47">
        <v>33117</v>
      </c>
      <c r="AE16" s="49">
        <v>41736</v>
      </c>
      <c r="AF16" s="49">
        <v>415</v>
      </c>
      <c r="AG16" s="49">
        <v>837</v>
      </c>
      <c r="AH16" s="45">
        <f t="shared" si="6"/>
        <v>76105</v>
      </c>
      <c r="AI16" s="47">
        <v>32396</v>
      </c>
      <c r="AJ16" s="49">
        <v>44878</v>
      </c>
      <c r="AK16" s="49">
        <v>-499</v>
      </c>
      <c r="AL16" s="49">
        <v>-837</v>
      </c>
      <c r="AM16" s="45">
        <f t="shared" si="7"/>
        <v>75938</v>
      </c>
      <c r="AN16" s="47">
        <v>33272</v>
      </c>
      <c r="AO16" s="49">
        <v>42872</v>
      </c>
      <c r="AP16" s="49">
        <v>524</v>
      </c>
      <c r="AQ16" s="49">
        <v>13</v>
      </c>
      <c r="AR16" s="45">
        <f t="shared" si="1"/>
        <v>76681</v>
      </c>
      <c r="AS16" s="47">
        <v>31873</v>
      </c>
      <c r="AT16" s="49">
        <v>42105</v>
      </c>
      <c r="AU16" s="49">
        <v>188</v>
      </c>
      <c r="AV16" s="49">
        <v>0</v>
      </c>
      <c r="AW16" s="45">
        <f t="shared" si="8"/>
        <v>74166</v>
      </c>
      <c r="AX16" s="47">
        <v>32575</v>
      </c>
      <c r="AY16" s="49">
        <v>44212</v>
      </c>
      <c r="AZ16" s="49">
        <v>102</v>
      </c>
      <c r="BA16" s="49">
        <v>0</v>
      </c>
      <c r="BB16" s="45">
        <f t="shared" si="9"/>
        <v>76889</v>
      </c>
      <c r="BC16" s="47">
        <v>29100</v>
      </c>
      <c r="BD16" s="49">
        <v>38185</v>
      </c>
      <c r="BE16" s="49">
        <v>203</v>
      </c>
      <c r="BF16" s="49">
        <v>0</v>
      </c>
      <c r="BG16" s="45">
        <f t="shared" si="10"/>
        <v>67488</v>
      </c>
      <c r="BH16" s="47">
        <v>0</v>
      </c>
      <c r="BI16" s="49">
        <v>0</v>
      </c>
      <c r="BJ16" s="49">
        <v>0</v>
      </c>
      <c r="BK16" s="49">
        <v>0</v>
      </c>
      <c r="BL16" s="45">
        <f>SUM(BH16:BK16)</f>
        <v>0</v>
      </c>
      <c r="BM16" s="47">
        <v>0</v>
      </c>
      <c r="BN16" s="49">
        <v>0</v>
      </c>
      <c r="BO16" s="49">
        <v>0</v>
      </c>
      <c r="BP16" s="49">
        <v>0</v>
      </c>
      <c r="BQ16" s="45">
        <f t="shared" si="12"/>
        <v>0</v>
      </c>
      <c r="BR16" s="47">
        <f t="shared" si="15"/>
        <v>322550</v>
      </c>
      <c r="BS16" s="330">
        <f t="shared" si="13"/>
        <v>418864</v>
      </c>
      <c r="BT16" s="49">
        <f t="shared" si="13"/>
        <v>2513</v>
      </c>
      <c r="BU16" s="49">
        <f t="shared" si="13"/>
        <v>13</v>
      </c>
      <c r="BV16" s="47">
        <f t="shared" si="2"/>
        <v>743940</v>
      </c>
      <c r="BW16" s="13"/>
      <c r="BX16" s="268"/>
    </row>
    <row r="17" spans="1:80" x14ac:dyDescent="0.2">
      <c r="A17" s="262">
        <v>11</v>
      </c>
      <c r="B17" s="240" t="s">
        <v>262</v>
      </c>
      <c r="D17" s="267"/>
      <c r="E17" s="329">
        <v>868386</v>
      </c>
      <c r="F17" s="330">
        <v>6874183</v>
      </c>
      <c r="G17" s="330">
        <v>17479</v>
      </c>
      <c r="H17" s="330">
        <v>166</v>
      </c>
      <c r="I17" s="45">
        <f t="shared" si="0"/>
        <v>7760214</v>
      </c>
      <c r="J17" s="47">
        <v>56180</v>
      </c>
      <c r="K17" s="49">
        <v>1231312</v>
      </c>
      <c r="L17" s="49">
        <v>193</v>
      </c>
      <c r="M17" s="49">
        <v>0</v>
      </c>
      <c r="N17" s="45">
        <f t="shared" si="14"/>
        <v>1287685</v>
      </c>
      <c r="O17" s="49">
        <v>64574</v>
      </c>
      <c r="P17" s="49">
        <v>156127</v>
      </c>
      <c r="Q17" s="49">
        <v>1403</v>
      </c>
      <c r="R17" s="49">
        <v>0</v>
      </c>
      <c r="S17" s="45">
        <f>SUM(O17:R17)</f>
        <v>222104</v>
      </c>
      <c r="T17" s="47">
        <v>98696</v>
      </c>
      <c r="U17" s="49">
        <v>394727</v>
      </c>
      <c r="V17" s="49">
        <v>2008</v>
      </c>
      <c r="W17" s="49">
        <v>0</v>
      </c>
      <c r="X17" s="45">
        <f t="shared" si="4"/>
        <v>495431</v>
      </c>
      <c r="Y17" s="47">
        <v>65628</v>
      </c>
      <c r="Z17" s="49">
        <v>1057255</v>
      </c>
      <c r="AA17" s="49">
        <v>1220</v>
      </c>
      <c r="AB17" s="49">
        <v>0</v>
      </c>
      <c r="AC17" s="45">
        <f t="shared" si="5"/>
        <v>1124103</v>
      </c>
      <c r="AD17" s="47">
        <v>78891</v>
      </c>
      <c r="AE17" s="49">
        <v>352032</v>
      </c>
      <c r="AF17" s="49">
        <v>5515</v>
      </c>
      <c r="AG17" s="49">
        <v>0</v>
      </c>
      <c r="AH17" s="45">
        <f t="shared" si="6"/>
        <v>436438</v>
      </c>
      <c r="AI17" s="47">
        <v>64686</v>
      </c>
      <c r="AJ17" s="49">
        <v>145775</v>
      </c>
      <c r="AK17" s="49">
        <v>1304</v>
      </c>
      <c r="AL17" s="49">
        <v>0</v>
      </c>
      <c r="AM17" s="45">
        <f t="shared" si="7"/>
        <v>211765</v>
      </c>
      <c r="AN17" s="47">
        <v>66095</v>
      </c>
      <c r="AO17" s="49">
        <v>1265207</v>
      </c>
      <c r="AP17" s="49">
        <v>2567</v>
      </c>
      <c r="AQ17" s="49">
        <v>0</v>
      </c>
      <c r="AR17" s="45">
        <f t="shared" si="1"/>
        <v>1333869</v>
      </c>
      <c r="AS17" s="47">
        <v>81198</v>
      </c>
      <c r="AT17" s="49">
        <v>317409</v>
      </c>
      <c r="AU17" s="49">
        <v>780</v>
      </c>
      <c r="AV17" s="49">
        <v>0</v>
      </c>
      <c r="AW17" s="45">
        <f t="shared" si="8"/>
        <v>399387</v>
      </c>
      <c r="AX17" s="47">
        <v>71138</v>
      </c>
      <c r="AY17" s="49">
        <v>133451</v>
      </c>
      <c r="AZ17" s="49">
        <v>293</v>
      </c>
      <c r="BA17" s="49">
        <v>0</v>
      </c>
      <c r="BB17" s="45">
        <f>SUM(AX17:BA17)</f>
        <v>204882</v>
      </c>
      <c r="BC17" s="47">
        <v>52811</v>
      </c>
      <c r="BD17" s="49">
        <v>1441993</v>
      </c>
      <c r="BE17" s="49">
        <v>359</v>
      </c>
      <c r="BF17" s="49">
        <v>0</v>
      </c>
      <c r="BG17" s="45">
        <f t="shared" si="10"/>
        <v>1495163</v>
      </c>
      <c r="BH17" s="47">
        <v>0</v>
      </c>
      <c r="BI17" s="49">
        <v>0</v>
      </c>
      <c r="BJ17" s="49">
        <v>0</v>
      </c>
      <c r="BK17" s="49">
        <v>0</v>
      </c>
      <c r="BL17" s="45">
        <f t="shared" si="11"/>
        <v>0</v>
      </c>
      <c r="BM17" s="47">
        <v>0</v>
      </c>
      <c r="BN17" s="49">
        <v>0</v>
      </c>
      <c r="BO17" s="49">
        <v>0</v>
      </c>
      <c r="BP17" s="49">
        <v>0</v>
      </c>
      <c r="BQ17" s="45">
        <f t="shared" si="12"/>
        <v>0</v>
      </c>
      <c r="BR17" s="47">
        <f t="shared" si="15"/>
        <v>699897</v>
      </c>
      <c r="BS17" s="330">
        <f t="shared" si="13"/>
        <v>6495288</v>
      </c>
      <c r="BT17" s="49">
        <f t="shared" si="13"/>
        <v>15642</v>
      </c>
      <c r="BU17" s="49">
        <f t="shared" si="13"/>
        <v>0</v>
      </c>
      <c r="BV17" s="47">
        <f t="shared" si="2"/>
        <v>7210827</v>
      </c>
      <c r="BW17" s="13"/>
      <c r="BX17" s="268"/>
    </row>
    <row r="18" spans="1:80" x14ac:dyDescent="0.2">
      <c r="A18" s="262">
        <v>12</v>
      </c>
      <c r="B18" s="263" t="s">
        <v>201</v>
      </c>
      <c r="D18" s="269"/>
      <c r="E18" s="329">
        <v>2225953</v>
      </c>
      <c r="F18" s="330">
        <v>3272</v>
      </c>
      <c r="G18" s="330">
        <v>315599</v>
      </c>
      <c r="H18" s="330">
        <v>8638</v>
      </c>
      <c r="I18" s="45">
        <f t="shared" si="0"/>
        <v>2553462</v>
      </c>
      <c r="J18" s="47">
        <v>144532</v>
      </c>
      <c r="K18" s="49">
        <v>75</v>
      </c>
      <c r="L18" s="49">
        <v>21611</v>
      </c>
      <c r="M18" s="49">
        <v>0</v>
      </c>
      <c r="N18" s="45">
        <f t="shared" si="14"/>
        <v>166218</v>
      </c>
      <c r="O18" s="49">
        <v>170732</v>
      </c>
      <c r="P18" s="49">
        <v>4730</v>
      </c>
      <c r="Q18" s="49">
        <v>21913</v>
      </c>
      <c r="R18" s="49">
        <v>0</v>
      </c>
      <c r="S18" s="45">
        <f>SUM(O18:R18)</f>
        <v>197375</v>
      </c>
      <c r="T18" s="47">
        <v>169470</v>
      </c>
      <c r="U18" s="49">
        <v>-4219</v>
      </c>
      <c r="V18" s="49">
        <v>22083</v>
      </c>
      <c r="W18" s="49">
        <v>0</v>
      </c>
      <c r="X18" s="45">
        <f t="shared" si="4"/>
        <v>187334</v>
      </c>
      <c r="Y18" s="47">
        <v>172504</v>
      </c>
      <c r="Z18" s="49">
        <v>43</v>
      </c>
      <c r="AA18" s="49">
        <v>21481</v>
      </c>
      <c r="AB18" s="49">
        <v>0</v>
      </c>
      <c r="AC18" s="45">
        <f t="shared" si="5"/>
        <v>194028</v>
      </c>
      <c r="AD18" s="47">
        <v>172018</v>
      </c>
      <c r="AE18" s="49">
        <v>515</v>
      </c>
      <c r="AF18" s="49">
        <v>21655</v>
      </c>
      <c r="AG18" s="49">
        <v>0</v>
      </c>
      <c r="AH18" s="45">
        <f t="shared" si="6"/>
        <v>194188</v>
      </c>
      <c r="AI18" s="47">
        <v>174780</v>
      </c>
      <c r="AJ18" s="49">
        <v>136</v>
      </c>
      <c r="AK18" s="49">
        <v>26745</v>
      </c>
      <c r="AL18" s="49">
        <v>0</v>
      </c>
      <c r="AM18" s="45">
        <f>SUM(AI18:AL18)</f>
        <v>201661</v>
      </c>
      <c r="AN18" s="47">
        <v>187413</v>
      </c>
      <c r="AO18" s="49">
        <v>723</v>
      </c>
      <c r="AP18" s="49">
        <v>17944</v>
      </c>
      <c r="AQ18" s="49">
        <v>0</v>
      </c>
      <c r="AR18" s="45">
        <f t="shared" si="1"/>
        <v>206080</v>
      </c>
      <c r="AS18" s="47">
        <v>180304</v>
      </c>
      <c r="AT18" s="49">
        <v>158</v>
      </c>
      <c r="AU18" s="49">
        <v>21921</v>
      </c>
      <c r="AV18" s="49">
        <v>0</v>
      </c>
      <c r="AW18" s="45">
        <f t="shared" si="8"/>
        <v>202383</v>
      </c>
      <c r="AX18" s="47">
        <v>204958</v>
      </c>
      <c r="AY18" s="49">
        <v>261</v>
      </c>
      <c r="AZ18" s="49">
        <v>23227</v>
      </c>
      <c r="BA18" s="49">
        <v>0</v>
      </c>
      <c r="BB18" s="45">
        <f t="shared" si="9"/>
        <v>228446</v>
      </c>
      <c r="BC18" s="47">
        <v>161062</v>
      </c>
      <c r="BD18" s="49">
        <v>102</v>
      </c>
      <c r="BE18" s="49">
        <v>23133</v>
      </c>
      <c r="BF18" s="49">
        <v>0</v>
      </c>
      <c r="BG18" s="45">
        <f t="shared" si="10"/>
        <v>184297</v>
      </c>
      <c r="BH18" s="47">
        <v>0</v>
      </c>
      <c r="BI18" s="49">
        <v>0</v>
      </c>
      <c r="BJ18" s="49">
        <v>0</v>
      </c>
      <c r="BK18" s="49">
        <v>0</v>
      </c>
      <c r="BL18" s="45">
        <f t="shared" si="11"/>
        <v>0</v>
      </c>
      <c r="BM18" s="47">
        <v>0</v>
      </c>
      <c r="BN18" s="49">
        <v>0</v>
      </c>
      <c r="BO18" s="49">
        <v>0</v>
      </c>
      <c r="BP18" s="49">
        <v>0</v>
      </c>
      <c r="BQ18" s="45">
        <f t="shared" si="12"/>
        <v>0</v>
      </c>
      <c r="BR18" s="47">
        <f t="shared" si="15"/>
        <v>1737773</v>
      </c>
      <c r="BS18" s="330">
        <f t="shared" si="13"/>
        <v>2524</v>
      </c>
      <c r="BT18" s="49">
        <f t="shared" si="13"/>
        <v>221713</v>
      </c>
      <c r="BU18" s="49">
        <f t="shared" si="13"/>
        <v>0</v>
      </c>
      <c r="BV18" s="47">
        <f t="shared" si="2"/>
        <v>1962010</v>
      </c>
      <c r="BW18" s="13"/>
      <c r="BX18" s="268"/>
      <c r="BY18" s="49"/>
      <c r="BZ18" s="49"/>
      <c r="CA18" s="49"/>
    </row>
    <row r="19" spans="1:80" x14ac:dyDescent="0.2">
      <c r="A19" s="262">
        <v>13</v>
      </c>
      <c r="B19" s="240" t="s">
        <v>263</v>
      </c>
      <c r="D19" s="264"/>
      <c r="E19" s="329">
        <v>151157</v>
      </c>
      <c r="F19" s="330">
        <v>87146</v>
      </c>
      <c r="G19" s="330">
        <v>2704</v>
      </c>
      <c r="H19" s="330">
        <v>381</v>
      </c>
      <c r="I19" s="45">
        <f t="shared" si="0"/>
        <v>241388</v>
      </c>
      <c r="J19" s="47">
        <v>12411</v>
      </c>
      <c r="K19" s="49">
        <v>7099</v>
      </c>
      <c r="L19" s="49">
        <v>38</v>
      </c>
      <c r="M19" s="49">
        <v>0</v>
      </c>
      <c r="N19" s="45">
        <f t="shared" si="14"/>
        <v>19548</v>
      </c>
      <c r="O19" s="49">
        <v>11788</v>
      </c>
      <c r="P19" s="49">
        <v>7098</v>
      </c>
      <c r="Q19" s="49">
        <v>20</v>
      </c>
      <c r="R19" s="49">
        <v>0</v>
      </c>
      <c r="S19" s="45">
        <f>SUM(O19:R19)</f>
        <v>18906</v>
      </c>
      <c r="T19" s="47">
        <v>14919</v>
      </c>
      <c r="U19" s="49">
        <v>7404</v>
      </c>
      <c r="V19" s="49">
        <v>41</v>
      </c>
      <c r="W19" s="49">
        <v>0</v>
      </c>
      <c r="X19" s="45">
        <f t="shared" si="4"/>
        <v>22364</v>
      </c>
      <c r="Y19" s="47">
        <v>11162</v>
      </c>
      <c r="Z19" s="49">
        <v>8233</v>
      </c>
      <c r="AA19" s="49">
        <v>116</v>
      </c>
      <c r="AB19" s="49">
        <v>0</v>
      </c>
      <c r="AC19" s="45">
        <f t="shared" si="5"/>
        <v>19511</v>
      </c>
      <c r="AD19" s="47">
        <v>12774</v>
      </c>
      <c r="AE19" s="49">
        <v>7131</v>
      </c>
      <c r="AF19" s="49">
        <v>480</v>
      </c>
      <c r="AG19" s="49">
        <v>0</v>
      </c>
      <c r="AH19" s="45">
        <f t="shared" si="6"/>
        <v>20385</v>
      </c>
      <c r="AI19" s="47">
        <v>11630</v>
      </c>
      <c r="AJ19" s="49">
        <v>7098</v>
      </c>
      <c r="AK19" s="49">
        <v>19</v>
      </c>
      <c r="AL19" s="49">
        <v>0</v>
      </c>
      <c r="AM19" s="45">
        <f t="shared" si="7"/>
        <v>18747</v>
      </c>
      <c r="AN19" s="47">
        <v>14968</v>
      </c>
      <c r="AO19" s="49">
        <v>7099</v>
      </c>
      <c r="AP19" s="49">
        <v>282</v>
      </c>
      <c r="AQ19" s="49">
        <v>0</v>
      </c>
      <c r="AR19" s="45">
        <f t="shared" si="1"/>
        <v>22349</v>
      </c>
      <c r="AS19" s="47">
        <v>16211</v>
      </c>
      <c r="AT19" s="49">
        <v>7419</v>
      </c>
      <c r="AU19" s="49">
        <v>264</v>
      </c>
      <c r="AV19" s="49">
        <v>0</v>
      </c>
      <c r="AW19" s="45">
        <f t="shared" si="8"/>
        <v>23894</v>
      </c>
      <c r="AX19" s="47">
        <v>11518</v>
      </c>
      <c r="AY19" s="49">
        <v>7098</v>
      </c>
      <c r="AZ19" s="49">
        <v>18</v>
      </c>
      <c r="BA19" s="49">
        <v>0</v>
      </c>
      <c r="BB19" s="45">
        <f t="shared" si="9"/>
        <v>18634</v>
      </c>
      <c r="BC19" s="47">
        <v>11049</v>
      </c>
      <c r="BD19" s="49">
        <v>7270</v>
      </c>
      <c r="BE19" s="49">
        <v>677</v>
      </c>
      <c r="BF19" s="49">
        <v>0</v>
      </c>
      <c r="BG19" s="45">
        <f t="shared" si="10"/>
        <v>18996</v>
      </c>
      <c r="BH19" s="47">
        <v>0</v>
      </c>
      <c r="BI19" s="49">
        <v>0</v>
      </c>
      <c r="BJ19" s="49">
        <v>0</v>
      </c>
      <c r="BK19" s="49">
        <v>0</v>
      </c>
      <c r="BL19" s="45">
        <f t="shared" si="11"/>
        <v>0</v>
      </c>
      <c r="BM19" s="47">
        <v>0</v>
      </c>
      <c r="BN19" s="49">
        <v>0</v>
      </c>
      <c r="BO19" s="49">
        <v>0</v>
      </c>
      <c r="BP19" s="49">
        <v>0</v>
      </c>
      <c r="BQ19" s="45">
        <f t="shared" si="12"/>
        <v>0</v>
      </c>
      <c r="BR19" s="47">
        <f t="shared" si="15"/>
        <v>128430</v>
      </c>
      <c r="BS19" s="330">
        <f t="shared" si="13"/>
        <v>72949</v>
      </c>
      <c r="BT19" s="49">
        <f t="shared" si="13"/>
        <v>1955</v>
      </c>
      <c r="BU19" s="49">
        <f t="shared" si="13"/>
        <v>0</v>
      </c>
      <c r="BV19" s="47">
        <f t="shared" si="2"/>
        <v>203334</v>
      </c>
      <c r="BW19" s="13"/>
      <c r="BX19" s="268"/>
    </row>
    <row r="20" spans="1:80" x14ac:dyDescent="0.2">
      <c r="A20" s="262">
        <v>14</v>
      </c>
      <c r="B20" s="263" t="s">
        <v>203</v>
      </c>
      <c r="D20" s="264"/>
      <c r="E20" s="329">
        <v>2528199</v>
      </c>
      <c r="F20" s="330">
        <v>20110535</v>
      </c>
      <c r="G20" s="330">
        <f>1212589</f>
        <v>1212589</v>
      </c>
      <c r="H20" s="330">
        <v>240</v>
      </c>
      <c r="I20" s="45">
        <f t="shared" si="0"/>
        <v>23851563</v>
      </c>
      <c r="J20" s="47">
        <v>79776</v>
      </c>
      <c r="K20" s="49">
        <v>3234436</v>
      </c>
      <c r="L20" s="49">
        <v>7750</v>
      </c>
      <c r="M20" s="49">
        <v>180</v>
      </c>
      <c r="N20" s="45">
        <f t="shared" si="14"/>
        <v>3322142</v>
      </c>
      <c r="O20" s="49">
        <v>83503</v>
      </c>
      <c r="P20" s="49">
        <v>3983819</v>
      </c>
      <c r="Q20" s="49">
        <v>69221</v>
      </c>
      <c r="R20" s="49">
        <v>5</v>
      </c>
      <c r="S20" s="45">
        <f>SUM(O20:R20)</f>
        <v>4136548</v>
      </c>
      <c r="T20" s="47">
        <v>93693</v>
      </c>
      <c r="U20" s="49">
        <v>690231</v>
      </c>
      <c r="V20" s="49">
        <v>65939</v>
      </c>
      <c r="W20" s="49">
        <v>1</v>
      </c>
      <c r="X20" s="45">
        <f t="shared" si="4"/>
        <v>849864</v>
      </c>
      <c r="Y20" s="47">
        <v>133545</v>
      </c>
      <c r="Z20" s="49">
        <v>1403599</v>
      </c>
      <c r="AA20" s="49">
        <v>81075</v>
      </c>
      <c r="AB20" s="49">
        <v>0</v>
      </c>
      <c r="AC20" s="45">
        <f t="shared" si="5"/>
        <v>1618219</v>
      </c>
      <c r="AD20" s="47">
        <v>495369</v>
      </c>
      <c r="AE20" s="49">
        <v>2653655</v>
      </c>
      <c r="AF20" s="49">
        <v>212268</v>
      </c>
      <c r="AG20" s="49">
        <v>0</v>
      </c>
      <c r="AH20" s="45">
        <f t="shared" si="6"/>
        <v>3361292</v>
      </c>
      <c r="AI20" s="47">
        <v>133519</v>
      </c>
      <c r="AJ20" s="49">
        <v>781681</v>
      </c>
      <c r="AK20" s="49">
        <v>113406</v>
      </c>
      <c r="AL20" s="49">
        <v>0</v>
      </c>
      <c r="AM20" s="45">
        <f t="shared" si="7"/>
        <v>1028606</v>
      </c>
      <c r="AN20" s="47">
        <v>136997</v>
      </c>
      <c r="AO20" s="49">
        <v>1212127</v>
      </c>
      <c r="AP20" s="49">
        <v>75971</v>
      </c>
      <c r="AQ20" s="49">
        <v>7</v>
      </c>
      <c r="AR20" s="45">
        <f t="shared" si="1"/>
        <v>1425102</v>
      </c>
      <c r="AS20" s="47">
        <v>566643</v>
      </c>
      <c r="AT20" s="49">
        <v>1929063</v>
      </c>
      <c r="AU20" s="49">
        <v>67182</v>
      </c>
      <c r="AV20" s="49">
        <v>41</v>
      </c>
      <c r="AW20" s="45">
        <f t="shared" si="8"/>
        <v>2562929</v>
      </c>
      <c r="AX20" s="47">
        <v>225581</v>
      </c>
      <c r="AY20" s="49">
        <v>581299</v>
      </c>
      <c r="AZ20" s="49">
        <v>156757</v>
      </c>
      <c r="BA20" s="49">
        <v>2</v>
      </c>
      <c r="BB20" s="45">
        <f t="shared" si="9"/>
        <v>963639</v>
      </c>
      <c r="BC20" s="47">
        <v>154667</v>
      </c>
      <c r="BD20" s="49">
        <v>3009243</v>
      </c>
      <c r="BE20" s="49">
        <v>113434</v>
      </c>
      <c r="BF20" s="49">
        <v>3</v>
      </c>
      <c r="BG20" s="45">
        <f t="shared" si="10"/>
        <v>3277347</v>
      </c>
      <c r="BH20" s="47">
        <v>0</v>
      </c>
      <c r="BI20" s="49">
        <v>0</v>
      </c>
      <c r="BJ20" s="49">
        <v>0</v>
      </c>
      <c r="BK20" s="49">
        <v>0</v>
      </c>
      <c r="BL20" s="45">
        <f t="shared" si="11"/>
        <v>0</v>
      </c>
      <c r="BM20" s="47">
        <v>0</v>
      </c>
      <c r="BN20" s="49">
        <v>0</v>
      </c>
      <c r="BO20" s="49">
        <v>0</v>
      </c>
      <c r="BP20" s="49">
        <v>0</v>
      </c>
      <c r="BQ20" s="45">
        <f t="shared" si="12"/>
        <v>0</v>
      </c>
      <c r="BR20" s="47">
        <f t="shared" si="15"/>
        <v>2103293</v>
      </c>
      <c r="BS20" s="330">
        <f t="shared" si="13"/>
        <v>19479153</v>
      </c>
      <c r="BT20" s="49">
        <f t="shared" si="13"/>
        <v>963003</v>
      </c>
      <c r="BU20" s="49">
        <f t="shared" si="13"/>
        <v>239</v>
      </c>
      <c r="BV20" s="47">
        <f t="shared" si="2"/>
        <v>22545688</v>
      </c>
      <c r="BW20" s="13"/>
      <c r="BX20" s="268"/>
      <c r="BY20" s="1"/>
      <c r="BZ20" s="1"/>
      <c r="CA20" s="1"/>
      <c r="CB20" s="1"/>
    </row>
    <row r="21" spans="1:80" x14ac:dyDescent="0.2">
      <c r="A21" s="262">
        <v>15</v>
      </c>
      <c r="B21" s="263" t="s">
        <v>204</v>
      </c>
      <c r="D21" s="269"/>
      <c r="E21" s="329">
        <v>9909400</v>
      </c>
      <c r="F21" s="330">
        <f>97177311-18283844</f>
        <v>78893467</v>
      </c>
      <c r="G21" s="330">
        <v>7926</v>
      </c>
      <c r="H21" s="330">
        <v>1661</v>
      </c>
      <c r="I21" s="45">
        <f t="shared" si="0"/>
        <v>88812454</v>
      </c>
      <c r="J21" s="47">
        <v>762757</v>
      </c>
      <c r="K21" s="49">
        <v>19038631</v>
      </c>
      <c r="L21" s="49">
        <v>780</v>
      </c>
      <c r="M21" s="49">
        <v>1</v>
      </c>
      <c r="N21" s="45">
        <f t="shared" si="14"/>
        <v>19802169</v>
      </c>
      <c r="O21" s="49">
        <v>715486</v>
      </c>
      <c r="P21" s="49">
        <v>8936316</v>
      </c>
      <c r="Q21" s="49">
        <v>248</v>
      </c>
      <c r="R21" s="49">
        <v>1</v>
      </c>
      <c r="S21" s="45">
        <f t="shared" ref="S21:S27" si="16">SUM(O21:R21)</f>
        <v>9652051</v>
      </c>
      <c r="T21" s="47">
        <v>775576</v>
      </c>
      <c r="U21" s="49">
        <v>10765997</v>
      </c>
      <c r="V21" s="49">
        <v>132</v>
      </c>
      <c r="W21" s="49">
        <v>0</v>
      </c>
      <c r="X21" s="45">
        <f t="shared" si="4"/>
        <v>11541705</v>
      </c>
      <c r="Y21" s="47">
        <v>760051</v>
      </c>
      <c r="Z21" s="49">
        <v>4154468</v>
      </c>
      <c r="AA21" s="49">
        <v>426</v>
      </c>
      <c r="AB21" s="49">
        <v>3</v>
      </c>
      <c r="AC21" s="45">
        <f t="shared" si="5"/>
        <v>4914948</v>
      </c>
      <c r="AD21" s="47">
        <v>797538</v>
      </c>
      <c r="AE21" s="49">
        <v>11187843</v>
      </c>
      <c r="AF21" s="49">
        <v>381</v>
      </c>
      <c r="AG21" s="49">
        <v>0</v>
      </c>
      <c r="AH21" s="45">
        <f t="shared" si="6"/>
        <v>11985762</v>
      </c>
      <c r="AI21" s="47">
        <v>844326</v>
      </c>
      <c r="AJ21" s="49">
        <v>4765797</v>
      </c>
      <c r="AK21" s="49">
        <v>96</v>
      </c>
      <c r="AL21" s="49">
        <v>0</v>
      </c>
      <c r="AM21" s="45">
        <f t="shared" si="7"/>
        <v>5610219</v>
      </c>
      <c r="AN21" s="47">
        <v>790057</v>
      </c>
      <c r="AO21" s="49">
        <v>11882605</v>
      </c>
      <c r="AP21" s="49">
        <v>3002</v>
      </c>
      <c r="AQ21" s="49">
        <v>0</v>
      </c>
      <c r="AR21" s="45">
        <f t="shared" si="1"/>
        <v>12675664</v>
      </c>
      <c r="AS21" s="47">
        <v>855423</v>
      </c>
      <c r="AT21" s="49">
        <v>2992682</v>
      </c>
      <c r="AU21" s="49">
        <v>194</v>
      </c>
      <c r="AV21" s="49">
        <v>0</v>
      </c>
      <c r="AW21" s="45">
        <f t="shared" si="8"/>
        <v>3848299</v>
      </c>
      <c r="AX21" s="47">
        <v>798931</v>
      </c>
      <c r="AY21" s="49">
        <v>201864</v>
      </c>
      <c r="AZ21" s="49">
        <v>255</v>
      </c>
      <c r="BA21" s="49">
        <v>0</v>
      </c>
      <c r="BB21" s="45">
        <f t="shared" si="9"/>
        <v>1001050</v>
      </c>
      <c r="BC21" s="47">
        <v>744629</v>
      </c>
      <c r="BD21" s="49">
        <v>1425649</v>
      </c>
      <c r="BE21" s="49">
        <v>150</v>
      </c>
      <c r="BF21" s="49">
        <v>0</v>
      </c>
      <c r="BG21" s="45">
        <f t="shared" si="10"/>
        <v>2170428</v>
      </c>
      <c r="BH21" s="47">
        <v>0</v>
      </c>
      <c r="BI21" s="49">
        <v>0</v>
      </c>
      <c r="BJ21" s="49">
        <v>0</v>
      </c>
      <c r="BK21" s="49">
        <v>0</v>
      </c>
      <c r="BL21" s="45">
        <f t="shared" si="11"/>
        <v>0</v>
      </c>
      <c r="BM21" s="47">
        <v>0</v>
      </c>
      <c r="BN21" s="49">
        <v>0</v>
      </c>
      <c r="BO21" s="49">
        <v>0</v>
      </c>
      <c r="BP21" s="49">
        <v>0</v>
      </c>
      <c r="BQ21" s="45">
        <f t="shared" si="12"/>
        <v>0</v>
      </c>
      <c r="BR21" s="47">
        <f t="shared" si="15"/>
        <v>7844774</v>
      </c>
      <c r="BS21" s="330">
        <f t="shared" si="13"/>
        <v>75351852</v>
      </c>
      <c r="BT21" s="49">
        <f t="shared" si="13"/>
        <v>5664</v>
      </c>
      <c r="BU21" s="49">
        <f t="shared" si="13"/>
        <v>5</v>
      </c>
      <c r="BV21" s="47">
        <f t="shared" si="2"/>
        <v>83202295</v>
      </c>
      <c r="BW21" s="13"/>
      <c r="BX21" s="268"/>
      <c r="BY21" s="1"/>
    </row>
    <row r="22" spans="1:80" x14ac:dyDescent="0.2">
      <c r="A22" s="262">
        <v>16</v>
      </c>
      <c r="B22" s="263" t="s">
        <v>205</v>
      </c>
      <c r="D22" s="264"/>
      <c r="E22" s="329">
        <v>2114769</v>
      </c>
      <c r="F22" s="330">
        <v>47863455</v>
      </c>
      <c r="G22" s="330">
        <v>794547</v>
      </c>
      <c r="H22" s="330">
        <v>0</v>
      </c>
      <c r="I22" s="45">
        <f t="shared" si="0"/>
        <v>50772771</v>
      </c>
      <c r="J22" s="47">
        <v>97182</v>
      </c>
      <c r="K22" s="49">
        <v>5527538</v>
      </c>
      <c r="L22" s="49">
        <v>1585</v>
      </c>
      <c r="M22" s="49">
        <v>0</v>
      </c>
      <c r="N22" s="45">
        <f t="shared" si="14"/>
        <v>5626305</v>
      </c>
      <c r="O22" s="49">
        <v>111121</v>
      </c>
      <c r="P22" s="49">
        <v>3249197</v>
      </c>
      <c r="Q22" s="49">
        <v>14590</v>
      </c>
      <c r="R22" s="49">
        <v>0</v>
      </c>
      <c r="S22" s="45">
        <f t="shared" si="16"/>
        <v>3374908</v>
      </c>
      <c r="T22" s="47">
        <v>130668</v>
      </c>
      <c r="U22" s="49">
        <v>3289852</v>
      </c>
      <c r="V22" s="49">
        <v>53737</v>
      </c>
      <c r="W22" s="49">
        <v>0</v>
      </c>
      <c r="X22" s="45">
        <f t="shared" si="4"/>
        <v>3474257</v>
      </c>
      <c r="Y22" s="47">
        <v>174782</v>
      </c>
      <c r="Z22" s="49">
        <v>5294934</v>
      </c>
      <c r="AA22" s="49">
        <v>77787</v>
      </c>
      <c r="AB22" s="49">
        <v>0</v>
      </c>
      <c r="AC22" s="45">
        <f t="shared" si="5"/>
        <v>5547503</v>
      </c>
      <c r="AD22" s="47">
        <v>158079</v>
      </c>
      <c r="AE22" s="49">
        <v>3248753</v>
      </c>
      <c r="AF22" s="49">
        <v>64015</v>
      </c>
      <c r="AG22" s="49">
        <v>0</v>
      </c>
      <c r="AH22" s="45">
        <f t="shared" si="6"/>
        <v>3470847</v>
      </c>
      <c r="AI22" s="47">
        <v>207339</v>
      </c>
      <c r="AJ22" s="49">
        <v>3267348</v>
      </c>
      <c r="AK22" s="49">
        <v>28763</v>
      </c>
      <c r="AL22" s="49">
        <v>0</v>
      </c>
      <c r="AM22" s="45">
        <f t="shared" si="7"/>
        <v>3503450</v>
      </c>
      <c r="AN22" s="47">
        <v>139336</v>
      </c>
      <c r="AO22" s="49">
        <v>5290237</v>
      </c>
      <c r="AP22" s="49">
        <v>87604</v>
      </c>
      <c r="AQ22" s="49">
        <v>0</v>
      </c>
      <c r="AR22" s="45">
        <f t="shared" si="1"/>
        <v>5517177</v>
      </c>
      <c r="AS22" s="47">
        <v>188159</v>
      </c>
      <c r="AT22" s="49">
        <v>3254104</v>
      </c>
      <c r="AU22" s="49">
        <v>58013</v>
      </c>
      <c r="AV22" s="49">
        <v>0</v>
      </c>
      <c r="AW22" s="45">
        <f t="shared" si="8"/>
        <v>3500276</v>
      </c>
      <c r="AX22" s="47">
        <v>163240</v>
      </c>
      <c r="AY22" s="49">
        <v>3261642</v>
      </c>
      <c r="AZ22" s="49">
        <v>72205</v>
      </c>
      <c r="BA22" s="49">
        <v>0</v>
      </c>
      <c r="BB22" s="45">
        <f t="shared" si="9"/>
        <v>3497087</v>
      </c>
      <c r="BC22" s="47">
        <v>164854</v>
      </c>
      <c r="BD22" s="49">
        <v>5057839</v>
      </c>
      <c r="BE22" s="49">
        <v>89935</v>
      </c>
      <c r="BF22" s="49">
        <v>0</v>
      </c>
      <c r="BG22" s="45">
        <f t="shared" si="10"/>
        <v>5312628</v>
      </c>
      <c r="BH22" s="47">
        <v>0</v>
      </c>
      <c r="BI22" s="49">
        <v>0</v>
      </c>
      <c r="BJ22" s="49">
        <v>0</v>
      </c>
      <c r="BK22" s="49">
        <v>0</v>
      </c>
      <c r="BL22" s="45">
        <f t="shared" si="11"/>
        <v>0</v>
      </c>
      <c r="BM22" s="47">
        <v>0</v>
      </c>
      <c r="BN22" s="49">
        <v>0</v>
      </c>
      <c r="BO22" s="49">
        <v>0</v>
      </c>
      <c r="BP22" s="49">
        <v>0</v>
      </c>
      <c r="BQ22" s="45">
        <f t="shared" si="12"/>
        <v>0</v>
      </c>
      <c r="BR22" s="47">
        <f t="shared" si="15"/>
        <v>1534760</v>
      </c>
      <c r="BS22" s="330">
        <f t="shared" si="13"/>
        <v>40741444</v>
      </c>
      <c r="BT22" s="49">
        <f t="shared" si="13"/>
        <v>548234</v>
      </c>
      <c r="BU22" s="49">
        <f t="shared" si="13"/>
        <v>0</v>
      </c>
      <c r="BV22" s="47">
        <f t="shared" si="2"/>
        <v>42824438</v>
      </c>
      <c r="BW22" s="13"/>
      <c r="BX22" s="268"/>
    </row>
    <row r="23" spans="1:80" x14ac:dyDescent="0.2">
      <c r="A23" s="271">
        <v>17</v>
      </c>
      <c r="B23" s="272" t="s">
        <v>206</v>
      </c>
      <c r="D23" s="275"/>
      <c r="E23" s="329">
        <v>902874</v>
      </c>
      <c r="F23" s="330">
        <v>198571699</v>
      </c>
      <c r="G23" s="330">
        <f>7430-166</f>
        <v>7264</v>
      </c>
      <c r="H23" s="330">
        <v>248539</v>
      </c>
      <c r="I23" s="45">
        <f t="shared" si="0"/>
        <v>199730376</v>
      </c>
      <c r="J23" s="47">
        <v>52234</v>
      </c>
      <c r="K23" s="49">
        <v>14985759</v>
      </c>
      <c r="L23" s="49">
        <v>131</v>
      </c>
      <c r="M23" s="49">
        <v>0</v>
      </c>
      <c r="N23" s="45">
        <f t="shared" si="14"/>
        <v>15038124</v>
      </c>
      <c r="O23" s="49">
        <v>55199</v>
      </c>
      <c r="P23" s="49">
        <v>15008444</v>
      </c>
      <c r="Q23" s="49">
        <v>215</v>
      </c>
      <c r="R23" s="49">
        <v>0</v>
      </c>
      <c r="S23" s="45">
        <f t="shared" si="16"/>
        <v>15063858</v>
      </c>
      <c r="T23" s="47">
        <v>71414</v>
      </c>
      <c r="U23" s="49">
        <v>14567398</v>
      </c>
      <c r="V23" s="49">
        <v>117</v>
      </c>
      <c r="W23" s="49">
        <v>0</v>
      </c>
      <c r="X23" s="45">
        <f t="shared" si="4"/>
        <v>14638929</v>
      </c>
      <c r="Y23" s="47">
        <v>71573</v>
      </c>
      <c r="Z23" s="49">
        <v>15807991</v>
      </c>
      <c r="AA23" s="49">
        <v>328</v>
      </c>
      <c r="AB23" s="49">
        <v>0</v>
      </c>
      <c r="AC23" s="45">
        <f t="shared" si="5"/>
        <v>15879892</v>
      </c>
      <c r="AD23" s="47">
        <v>68321</v>
      </c>
      <c r="AE23" s="49">
        <v>15130117</v>
      </c>
      <c r="AF23" s="49">
        <v>241</v>
      </c>
      <c r="AG23" s="49">
        <v>0</v>
      </c>
      <c r="AH23" s="45">
        <f t="shared" si="6"/>
        <v>15198679</v>
      </c>
      <c r="AI23" s="47">
        <v>62641</v>
      </c>
      <c r="AJ23" s="49">
        <v>15194011</v>
      </c>
      <c r="AK23" s="49">
        <v>623</v>
      </c>
      <c r="AL23" s="49">
        <v>0</v>
      </c>
      <c r="AM23" s="45">
        <f t="shared" si="7"/>
        <v>15257275</v>
      </c>
      <c r="AN23" s="47">
        <v>66836</v>
      </c>
      <c r="AO23" s="49">
        <v>15440254</v>
      </c>
      <c r="AP23" s="49">
        <v>452</v>
      </c>
      <c r="AQ23" s="49">
        <v>0</v>
      </c>
      <c r="AR23" s="45">
        <f t="shared" si="1"/>
        <v>15507542</v>
      </c>
      <c r="AS23" s="47">
        <v>69086</v>
      </c>
      <c r="AT23" s="49">
        <v>15536262</v>
      </c>
      <c r="AU23" s="49">
        <v>292</v>
      </c>
      <c r="AV23" s="49">
        <v>0</v>
      </c>
      <c r="AW23" s="45">
        <f t="shared" si="8"/>
        <v>15605640</v>
      </c>
      <c r="AX23" s="47">
        <v>87995</v>
      </c>
      <c r="AY23" s="49">
        <v>15357143</v>
      </c>
      <c r="AZ23" s="49">
        <v>226</v>
      </c>
      <c r="BA23" s="49">
        <v>0</v>
      </c>
      <c r="BB23" s="45">
        <f t="shared" si="9"/>
        <v>15445364</v>
      </c>
      <c r="BC23" s="47">
        <v>71019</v>
      </c>
      <c r="BD23" s="49">
        <v>15488068</v>
      </c>
      <c r="BE23" s="49">
        <v>853</v>
      </c>
      <c r="BF23" s="49">
        <v>0</v>
      </c>
      <c r="BG23" s="45">
        <f t="shared" si="10"/>
        <v>15559940</v>
      </c>
      <c r="BH23" s="47">
        <v>0</v>
      </c>
      <c r="BI23" s="49">
        <v>0</v>
      </c>
      <c r="BJ23" s="49">
        <v>0</v>
      </c>
      <c r="BK23" s="49">
        <v>0</v>
      </c>
      <c r="BL23" s="45">
        <f t="shared" si="11"/>
        <v>0</v>
      </c>
      <c r="BM23" s="47">
        <v>0</v>
      </c>
      <c r="BN23" s="49">
        <v>0</v>
      </c>
      <c r="BO23" s="49">
        <v>0</v>
      </c>
      <c r="BP23" s="49">
        <v>0</v>
      </c>
      <c r="BQ23" s="45">
        <f t="shared" si="12"/>
        <v>0</v>
      </c>
      <c r="BR23" s="47">
        <f t="shared" si="15"/>
        <v>676318</v>
      </c>
      <c r="BS23" s="330">
        <f t="shared" si="13"/>
        <v>152515447</v>
      </c>
      <c r="BT23" s="49">
        <f t="shared" si="13"/>
        <v>3478</v>
      </c>
      <c r="BU23" s="49">
        <f t="shared" si="13"/>
        <v>0</v>
      </c>
      <c r="BV23" s="47">
        <f t="shared" si="2"/>
        <v>153195243</v>
      </c>
      <c r="BW23" s="13"/>
      <c r="BX23" s="268"/>
    </row>
    <row r="24" spans="1:80" x14ac:dyDescent="0.2">
      <c r="A24" s="262">
        <v>18</v>
      </c>
      <c r="B24" s="263" t="s">
        <v>209</v>
      </c>
      <c r="D24" s="264"/>
      <c r="E24" s="329">
        <v>23783415</v>
      </c>
      <c r="F24" s="330">
        <v>877957</v>
      </c>
      <c r="G24" s="330">
        <v>515439</v>
      </c>
      <c r="H24" s="330">
        <v>9335</v>
      </c>
      <c r="I24" s="45">
        <f t="shared" si="0"/>
        <v>25186146</v>
      </c>
      <c r="J24" s="47">
        <v>1539111</v>
      </c>
      <c r="K24" s="49">
        <v>44796</v>
      </c>
      <c r="L24" s="49">
        <v>31904</v>
      </c>
      <c r="M24" s="49">
        <v>599</v>
      </c>
      <c r="N24" s="45">
        <f t="shared" si="14"/>
        <v>1616410</v>
      </c>
      <c r="O24" s="49">
        <v>1840776</v>
      </c>
      <c r="P24" s="49">
        <v>49396</v>
      </c>
      <c r="Q24" s="49">
        <v>4802</v>
      </c>
      <c r="R24" s="49">
        <v>0</v>
      </c>
      <c r="S24" s="45">
        <f t="shared" si="16"/>
        <v>1894974</v>
      </c>
      <c r="T24" s="47">
        <v>1748453</v>
      </c>
      <c r="U24" s="49">
        <v>9065</v>
      </c>
      <c r="V24" s="49">
        <v>14344</v>
      </c>
      <c r="W24" s="49">
        <v>-599</v>
      </c>
      <c r="X24" s="45">
        <f t="shared" si="4"/>
        <v>1771263</v>
      </c>
      <c r="Y24" s="47">
        <v>1738280</v>
      </c>
      <c r="Z24" s="49">
        <v>52855</v>
      </c>
      <c r="AA24" s="49">
        <v>7422</v>
      </c>
      <c r="AB24" s="49">
        <v>0</v>
      </c>
      <c r="AC24" s="45">
        <f t="shared" si="5"/>
        <v>1798557</v>
      </c>
      <c r="AD24" s="47">
        <v>1929944</v>
      </c>
      <c r="AE24" s="49">
        <v>86830</v>
      </c>
      <c r="AF24" s="49">
        <v>22188</v>
      </c>
      <c r="AG24" s="49">
        <v>0</v>
      </c>
      <c r="AH24" s="45">
        <f t="shared" si="6"/>
        <v>2038962</v>
      </c>
      <c r="AI24" s="47">
        <v>2156686</v>
      </c>
      <c r="AJ24" s="49">
        <v>46091</v>
      </c>
      <c r="AK24" s="49">
        <v>61013</v>
      </c>
      <c r="AL24" s="49">
        <v>0</v>
      </c>
      <c r="AM24" s="45">
        <f t="shared" si="7"/>
        <v>2263790</v>
      </c>
      <c r="AN24" s="47">
        <v>1959084</v>
      </c>
      <c r="AO24" s="49">
        <v>54195</v>
      </c>
      <c r="AP24" s="49">
        <v>-26875</v>
      </c>
      <c r="AQ24" s="49">
        <v>0</v>
      </c>
      <c r="AR24" s="45">
        <f t="shared" si="1"/>
        <v>1986404</v>
      </c>
      <c r="AS24" s="47">
        <v>2158851</v>
      </c>
      <c r="AT24" s="49">
        <v>12826</v>
      </c>
      <c r="AU24" s="49">
        <v>23394</v>
      </c>
      <c r="AV24" s="49">
        <v>0</v>
      </c>
      <c r="AW24" s="45">
        <f t="shared" si="8"/>
        <v>2195071</v>
      </c>
      <c r="AX24" s="47">
        <v>1927133</v>
      </c>
      <c r="AY24" s="49">
        <v>81830</v>
      </c>
      <c r="AZ24" s="49">
        <v>221099</v>
      </c>
      <c r="BA24" s="49">
        <v>0</v>
      </c>
      <c r="BB24" s="45">
        <f t="shared" si="9"/>
        <v>2230062</v>
      </c>
      <c r="BC24" s="47">
        <v>1836620</v>
      </c>
      <c r="BD24" s="49">
        <v>52822</v>
      </c>
      <c r="BE24" s="49">
        <v>-9546</v>
      </c>
      <c r="BF24" s="49">
        <v>0</v>
      </c>
      <c r="BG24" s="45">
        <f t="shared" si="10"/>
        <v>1879896</v>
      </c>
      <c r="BH24" s="47">
        <v>0</v>
      </c>
      <c r="BI24" s="49">
        <v>0</v>
      </c>
      <c r="BJ24" s="49">
        <v>0</v>
      </c>
      <c r="BK24" s="49">
        <v>0</v>
      </c>
      <c r="BL24" s="45">
        <f t="shared" si="11"/>
        <v>0</v>
      </c>
      <c r="BM24" s="47">
        <v>0</v>
      </c>
      <c r="BN24" s="49">
        <v>0</v>
      </c>
      <c r="BO24" s="49">
        <v>0</v>
      </c>
      <c r="BP24" s="49">
        <v>0</v>
      </c>
      <c r="BQ24" s="45">
        <f>SUM(BM24:BP24)</f>
        <v>0</v>
      </c>
      <c r="BR24" s="47">
        <f t="shared" si="15"/>
        <v>18834938</v>
      </c>
      <c r="BS24" s="330">
        <f t="shared" si="15"/>
        <v>490706</v>
      </c>
      <c r="BT24" s="49">
        <f t="shared" si="15"/>
        <v>349745</v>
      </c>
      <c r="BU24" s="49">
        <f t="shared" si="15"/>
        <v>0</v>
      </c>
      <c r="BV24" s="47">
        <f t="shared" si="2"/>
        <v>19675389</v>
      </c>
      <c r="BW24" s="13"/>
      <c r="BX24" s="268"/>
    </row>
    <row r="25" spans="1:80" x14ac:dyDescent="0.2">
      <c r="A25" s="262">
        <v>19</v>
      </c>
      <c r="B25" s="263" t="s">
        <v>264</v>
      </c>
      <c r="D25" s="276"/>
      <c r="E25" s="329">
        <v>42763210</v>
      </c>
      <c r="F25" s="330">
        <v>6674370</v>
      </c>
      <c r="G25" s="330">
        <v>1417666</v>
      </c>
      <c r="H25" s="330">
        <v>27011</v>
      </c>
      <c r="I25" s="45">
        <f t="shared" si="0"/>
        <v>50882257</v>
      </c>
      <c r="J25" s="47">
        <v>2735310</v>
      </c>
      <c r="K25" s="49">
        <v>342471</v>
      </c>
      <c r="L25" s="49">
        <v>43383</v>
      </c>
      <c r="M25" s="49">
        <v>0</v>
      </c>
      <c r="N25" s="45">
        <f t="shared" si="14"/>
        <v>3121164</v>
      </c>
      <c r="O25" s="49">
        <v>3565541</v>
      </c>
      <c r="P25" s="49">
        <v>831702</v>
      </c>
      <c r="Q25" s="49">
        <v>149417</v>
      </c>
      <c r="R25" s="49">
        <v>0</v>
      </c>
      <c r="S25" s="45">
        <f t="shared" si="16"/>
        <v>4546660</v>
      </c>
      <c r="T25" s="47">
        <v>3527797</v>
      </c>
      <c r="U25" s="49">
        <v>495850</v>
      </c>
      <c r="V25" s="49">
        <v>21837</v>
      </c>
      <c r="W25" s="49">
        <v>0</v>
      </c>
      <c r="X25" s="45">
        <f t="shared" si="4"/>
        <v>4045484</v>
      </c>
      <c r="Y25" s="47">
        <v>3692128</v>
      </c>
      <c r="Z25" s="49">
        <v>781446</v>
      </c>
      <c r="AA25" s="49">
        <v>48763</v>
      </c>
      <c r="AB25" s="49">
        <v>0</v>
      </c>
      <c r="AC25" s="45">
        <f t="shared" si="5"/>
        <v>4522337</v>
      </c>
      <c r="AD25" s="47">
        <v>3549026</v>
      </c>
      <c r="AE25" s="49">
        <v>454941</v>
      </c>
      <c r="AF25" s="49">
        <v>84076</v>
      </c>
      <c r="AG25" s="49">
        <v>0</v>
      </c>
      <c r="AH25" s="45">
        <f t="shared" si="6"/>
        <v>4088043</v>
      </c>
      <c r="AI25" s="47">
        <v>3337918</v>
      </c>
      <c r="AJ25" s="49">
        <v>485673</v>
      </c>
      <c r="AK25" s="49">
        <v>126998</v>
      </c>
      <c r="AL25" s="49">
        <v>0</v>
      </c>
      <c r="AM25" s="45">
        <f t="shared" si="7"/>
        <v>3950589</v>
      </c>
      <c r="AN25" s="47">
        <v>3977863</v>
      </c>
      <c r="AO25" s="49">
        <v>828489</v>
      </c>
      <c r="AP25" s="49">
        <v>31045</v>
      </c>
      <c r="AQ25" s="49">
        <v>0</v>
      </c>
      <c r="AR25" s="45">
        <f t="shared" si="1"/>
        <v>4837397</v>
      </c>
      <c r="AS25" s="47">
        <v>3404449</v>
      </c>
      <c r="AT25" s="49">
        <v>503949</v>
      </c>
      <c r="AU25" s="49">
        <v>73715</v>
      </c>
      <c r="AV25" s="49">
        <v>0</v>
      </c>
      <c r="AW25" s="45">
        <f t="shared" si="8"/>
        <v>3982113</v>
      </c>
      <c r="AX25" s="47">
        <v>2993100</v>
      </c>
      <c r="AY25" s="49">
        <v>602865</v>
      </c>
      <c r="AZ25" s="49">
        <v>147861</v>
      </c>
      <c r="BA25" s="49">
        <v>0</v>
      </c>
      <c r="BB25" s="45">
        <f t="shared" si="9"/>
        <v>3743826</v>
      </c>
      <c r="BC25" s="47">
        <v>3947413</v>
      </c>
      <c r="BD25" s="49">
        <v>942508</v>
      </c>
      <c r="BE25" s="49">
        <v>104728</v>
      </c>
      <c r="BF25" s="49">
        <v>0</v>
      </c>
      <c r="BG25" s="45">
        <f t="shared" si="10"/>
        <v>4994649</v>
      </c>
      <c r="BH25" s="47">
        <v>0</v>
      </c>
      <c r="BI25" s="49">
        <v>0</v>
      </c>
      <c r="BJ25" s="49">
        <v>0</v>
      </c>
      <c r="BK25" s="49">
        <v>0</v>
      </c>
      <c r="BL25" s="45">
        <f t="shared" si="11"/>
        <v>0</v>
      </c>
      <c r="BM25" s="47">
        <v>0</v>
      </c>
      <c r="BN25" s="49">
        <v>0</v>
      </c>
      <c r="BO25" s="49">
        <v>0</v>
      </c>
      <c r="BP25" s="49">
        <v>0</v>
      </c>
      <c r="BQ25" s="45">
        <f t="shared" si="12"/>
        <v>0</v>
      </c>
      <c r="BR25" s="47">
        <f t="shared" si="15"/>
        <v>34730545</v>
      </c>
      <c r="BS25" s="330">
        <f t="shared" si="15"/>
        <v>6269894</v>
      </c>
      <c r="BT25" s="49">
        <f t="shared" si="15"/>
        <v>831823</v>
      </c>
      <c r="BU25" s="49">
        <f t="shared" si="15"/>
        <v>0</v>
      </c>
      <c r="BV25" s="47">
        <f t="shared" si="2"/>
        <v>41832262</v>
      </c>
      <c r="BW25" s="13"/>
      <c r="BX25" s="268"/>
    </row>
    <row r="26" spans="1:80" x14ac:dyDescent="0.2">
      <c r="A26" s="262">
        <v>20</v>
      </c>
      <c r="B26" s="263" t="s">
        <v>211</v>
      </c>
      <c r="D26" s="264"/>
      <c r="E26" s="329">
        <v>332584</v>
      </c>
      <c r="F26" s="330">
        <v>1670</v>
      </c>
      <c r="G26" s="330">
        <v>2356</v>
      </c>
      <c r="H26" s="330">
        <v>0</v>
      </c>
      <c r="I26" s="45">
        <f t="shared" si="0"/>
        <v>336610</v>
      </c>
      <c r="J26" s="47">
        <v>24834</v>
      </c>
      <c r="K26" s="49">
        <v>35</v>
      </c>
      <c r="L26" s="49">
        <v>24</v>
      </c>
      <c r="M26" s="49">
        <v>0</v>
      </c>
      <c r="N26" s="45">
        <f t="shared" si="14"/>
        <v>24893</v>
      </c>
      <c r="O26" s="49">
        <v>21484</v>
      </c>
      <c r="P26" s="49">
        <v>49</v>
      </c>
      <c r="Q26" s="49">
        <v>6</v>
      </c>
      <c r="R26" s="49">
        <v>0</v>
      </c>
      <c r="S26" s="45">
        <f t="shared" si="16"/>
        <v>21539</v>
      </c>
      <c r="T26" s="47">
        <v>21968</v>
      </c>
      <c r="U26" s="49">
        <v>1</v>
      </c>
      <c r="V26" s="49">
        <v>0</v>
      </c>
      <c r="W26" s="49">
        <v>0</v>
      </c>
      <c r="X26" s="45">
        <f t="shared" si="4"/>
        <v>21969</v>
      </c>
      <c r="Y26" s="47">
        <v>22983</v>
      </c>
      <c r="Z26" s="49">
        <v>162</v>
      </c>
      <c r="AA26" s="49">
        <v>0</v>
      </c>
      <c r="AB26" s="49">
        <v>0</v>
      </c>
      <c r="AC26" s="45">
        <f t="shared" si="5"/>
        <v>23145</v>
      </c>
      <c r="AD26" s="47">
        <v>24384</v>
      </c>
      <c r="AE26" s="49">
        <v>788</v>
      </c>
      <c r="AF26" s="49">
        <v>795</v>
      </c>
      <c r="AG26" s="49">
        <v>0</v>
      </c>
      <c r="AH26" s="45">
        <f t="shared" si="6"/>
        <v>25967</v>
      </c>
      <c r="AI26" s="47">
        <v>26851</v>
      </c>
      <c r="AJ26" s="49">
        <v>28</v>
      </c>
      <c r="AK26" s="49">
        <v>672</v>
      </c>
      <c r="AL26" s="49">
        <v>0</v>
      </c>
      <c r="AM26" s="45">
        <f t="shared" si="7"/>
        <v>27551</v>
      </c>
      <c r="AN26" s="47">
        <v>23826</v>
      </c>
      <c r="AO26" s="49">
        <v>46</v>
      </c>
      <c r="AP26" s="49">
        <v>37</v>
      </c>
      <c r="AQ26" s="49">
        <v>0</v>
      </c>
      <c r="AR26" s="45">
        <f t="shared" si="1"/>
        <v>23909</v>
      </c>
      <c r="AS26" s="47">
        <v>21510</v>
      </c>
      <c r="AT26" s="49">
        <v>9</v>
      </c>
      <c r="AU26" s="49">
        <v>0</v>
      </c>
      <c r="AV26" s="49">
        <v>0</v>
      </c>
      <c r="AW26" s="45">
        <f t="shared" si="8"/>
        <v>21519</v>
      </c>
      <c r="AX26" s="47">
        <v>22274</v>
      </c>
      <c r="AY26" s="49">
        <v>7</v>
      </c>
      <c r="AZ26" s="49">
        <v>0</v>
      </c>
      <c r="BA26" s="49">
        <v>0</v>
      </c>
      <c r="BB26" s="45">
        <f t="shared" si="9"/>
        <v>22281</v>
      </c>
      <c r="BC26" s="47">
        <v>21339</v>
      </c>
      <c r="BD26" s="49">
        <v>11</v>
      </c>
      <c r="BE26" s="49">
        <v>554</v>
      </c>
      <c r="BF26" s="49">
        <v>0</v>
      </c>
      <c r="BG26" s="45">
        <f t="shared" si="10"/>
        <v>21904</v>
      </c>
      <c r="BH26" s="47">
        <v>0</v>
      </c>
      <c r="BI26" s="49">
        <v>0</v>
      </c>
      <c r="BJ26" s="49">
        <v>0</v>
      </c>
      <c r="BK26" s="49">
        <v>0</v>
      </c>
      <c r="BL26" s="45">
        <f t="shared" si="11"/>
        <v>0</v>
      </c>
      <c r="BM26" s="47">
        <v>0</v>
      </c>
      <c r="BN26" s="49">
        <v>0</v>
      </c>
      <c r="BO26" s="49">
        <v>0</v>
      </c>
      <c r="BP26" s="49">
        <v>0</v>
      </c>
      <c r="BQ26" s="45">
        <f t="shared" si="12"/>
        <v>0</v>
      </c>
      <c r="BR26" s="47">
        <f t="shared" si="15"/>
        <v>231453</v>
      </c>
      <c r="BS26" s="330">
        <f t="shared" si="15"/>
        <v>1136</v>
      </c>
      <c r="BT26" s="49">
        <f t="shared" si="15"/>
        <v>2088</v>
      </c>
      <c r="BU26" s="49">
        <f t="shared" si="15"/>
        <v>0</v>
      </c>
      <c r="BV26" s="47">
        <f t="shared" si="2"/>
        <v>234677</v>
      </c>
      <c r="BW26" s="13"/>
      <c r="BX26" s="268"/>
    </row>
    <row r="27" spans="1:80" x14ac:dyDescent="0.2">
      <c r="A27" s="262">
        <v>21</v>
      </c>
      <c r="B27" s="263" t="s">
        <v>212</v>
      </c>
      <c r="D27" s="264"/>
      <c r="E27" s="329">
        <f>16764086-88277-2076720</f>
        <v>14599089</v>
      </c>
      <c r="F27" s="330">
        <f>2992807-23446</f>
        <v>2969361</v>
      </c>
      <c r="G27" s="330">
        <f>613368-4767</f>
        <v>608601</v>
      </c>
      <c r="H27" s="330">
        <v>10769</v>
      </c>
      <c r="I27" s="45">
        <f t="shared" si="0"/>
        <v>18187820</v>
      </c>
      <c r="J27" s="47">
        <v>1047609</v>
      </c>
      <c r="K27" s="49">
        <v>246807</v>
      </c>
      <c r="L27" s="49">
        <v>58943</v>
      </c>
      <c r="M27" s="49">
        <v>20</v>
      </c>
      <c r="N27" s="45">
        <f t="shared" si="14"/>
        <v>1353379</v>
      </c>
      <c r="O27" s="49">
        <v>987834</v>
      </c>
      <c r="P27" s="49">
        <v>235842</v>
      </c>
      <c r="Q27" s="49">
        <v>17899</v>
      </c>
      <c r="R27" s="49">
        <v>0</v>
      </c>
      <c r="S27" s="45">
        <f t="shared" si="16"/>
        <v>1241575</v>
      </c>
      <c r="T27" s="47">
        <v>1108319</v>
      </c>
      <c r="U27" s="49">
        <v>238627</v>
      </c>
      <c r="V27" s="49">
        <v>31655</v>
      </c>
      <c r="W27" s="49">
        <v>282</v>
      </c>
      <c r="X27" s="45">
        <f t="shared" si="4"/>
        <v>1378883</v>
      </c>
      <c r="Y27" s="47">
        <v>1227956</v>
      </c>
      <c r="Z27" s="49">
        <v>264202</v>
      </c>
      <c r="AA27" s="49">
        <v>27987</v>
      </c>
      <c r="AB27" s="49">
        <v>-203</v>
      </c>
      <c r="AC27" s="45">
        <f t="shared" si="5"/>
        <v>1519942</v>
      </c>
      <c r="AD27" s="47">
        <v>1026461</v>
      </c>
      <c r="AE27" s="49">
        <v>245846</v>
      </c>
      <c r="AF27" s="49">
        <v>50761</v>
      </c>
      <c r="AG27" s="49">
        <v>109</v>
      </c>
      <c r="AH27" s="45">
        <f t="shared" si="6"/>
        <v>1323177</v>
      </c>
      <c r="AI27" s="47">
        <v>1249034</v>
      </c>
      <c r="AJ27" s="49">
        <v>244693</v>
      </c>
      <c r="AK27" s="49">
        <v>37295</v>
      </c>
      <c r="AL27" s="49">
        <v>892</v>
      </c>
      <c r="AM27" s="45">
        <f t="shared" si="7"/>
        <v>1531914</v>
      </c>
      <c r="AN27" s="47">
        <v>1050463</v>
      </c>
      <c r="AO27" s="49">
        <v>239708</v>
      </c>
      <c r="AP27" s="49">
        <v>33745</v>
      </c>
      <c r="AQ27" s="49">
        <v>144</v>
      </c>
      <c r="AR27" s="45">
        <f t="shared" si="1"/>
        <v>1324060</v>
      </c>
      <c r="AS27" s="47">
        <v>1215423</v>
      </c>
      <c r="AT27" s="49">
        <v>242797</v>
      </c>
      <c r="AU27" s="49">
        <v>59962</v>
      </c>
      <c r="AV27" s="49">
        <v>2092</v>
      </c>
      <c r="AW27" s="45">
        <f t="shared" si="8"/>
        <v>1520274</v>
      </c>
      <c r="AX27" s="47">
        <v>1320848</v>
      </c>
      <c r="AY27" s="49">
        <v>246613</v>
      </c>
      <c r="AZ27" s="49">
        <v>9587</v>
      </c>
      <c r="BA27" s="49">
        <v>21</v>
      </c>
      <c r="BB27" s="45">
        <f t="shared" si="9"/>
        <v>1577069</v>
      </c>
      <c r="BC27" s="47">
        <v>1057100</v>
      </c>
      <c r="BD27" s="49">
        <v>251217</v>
      </c>
      <c r="BE27" s="49">
        <v>81727</v>
      </c>
      <c r="BF27" s="49">
        <v>16</v>
      </c>
      <c r="BG27" s="45">
        <f t="shared" si="10"/>
        <v>1390060</v>
      </c>
      <c r="BH27" s="47">
        <v>0</v>
      </c>
      <c r="BI27" s="49">
        <v>0</v>
      </c>
      <c r="BJ27" s="49">
        <v>0</v>
      </c>
      <c r="BK27" s="49">
        <v>0</v>
      </c>
      <c r="BL27" s="45">
        <f t="shared" si="11"/>
        <v>0</v>
      </c>
      <c r="BM27" s="47">
        <v>0</v>
      </c>
      <c r="BN27" s="49">
        <v>0</v>
      </c>
      <c r="BO27" s="49">
        <v>0</v>
      </c>
      <c r="BP27" s="49">
        <v>0</v>
      </c>
      <c r="BQ27" s="45">
        <f t="shared" si="12"/>
        <v>0</v>
      </c>
      <c r="BR27" s="47">
        <f t="shared" si="15"/>
        <v>11291047</v>
      </c>
      <c r="BS27" s="330">
        <f t="shared" si="15"/>
        <v>2456352</v>
      </c>
      <c r="BT27" s="49">
        <f t="shared" si="15"/>
        <v>409561</v>
      </c>
      <c r="BU27" s="49">
        <f t="shared" si="15"/>
        <v>3373</v>
      </c>
      <c r="BV27" s="47">
        <f t="shared" si="2"/>
        <v>14160333</v>
      </c>
      <c r="BW27" s="13"/>
      <c r="BX27" s="268"/>
    </row>
    <row r="28" spans="1:80" x14ac:dyDescent="0.2">
      <c r="A28" s="262">
        <v>22</v>
      </c>
      <c r="B28" s="240" t="s">
        <v>265</v>
      </c>
      <c r="D28" s="264"/>
      <c r="E28" s="329">
        <f>2015518-979987</f>
        <v>1035531</v>
      </c>
      <c r="F28" s="330">
        <f>75004-71738</f>
        <v>3266</v>
      </c>
      <c r="G28" s="330">
        <v>95066</v>
      </c>
      <c r="H28" s="330">
        <v>24</v>
      </c>
      <c r="I28" s="45">
        <f t="shared" si="0"/>
        <v>1133887</v>
      </c>
      <c r="J28" s="47">
        <v>68601</v>
      </c>
      <c r="K28" s="49">
        <v>302</v>
      </c>
      <c r="L28" s="49">
        <v>934</v>
      </c>
      <c r="M28" s="49">
        <v>0</v>
      </c>
      <c r="N28" s="45">
        <f t="shared" si="14"/>
        <v>69837</v>
      </c>
      <c r="O28" s="49">
        <v>73422</v>
      </c>
      <c r="P28" s="49">
        <v>38</v>
      </c>
      <c r="Q28" s="49">
        <v>623</v>
      </c>
      <c r="R28" s="49">
        <v>24</v>
      </c>
      <c r="S28" s="45">
        <f>SUM(O28:R28)</f>
        <v>74107</v>
      </c>
      <c r="T28" s="47">
        <v>79779</v>
      </c>
      <c r="U28" s="49">
        <v>44</v>
      </c>
      <c r="V28" s="49">
        <v>2601</v>
      </c>
      <c r="W28" s="49">
        <v>0</v>
      </c>
      <c r="X28" s="45">
        <f t="shared" si="4"/>
        <v>82424</v>
      </c>
      <c r="Y28" s="47">
        <v>82810</v>
      </c>
      <c r="Z28" s="49">
        <v>1478</v>
      </c>
      <c r="AA28" s="49">
        <v>5692</v>
      </c>
      <c r="AB28" s="49">
        <v>0</v>
      </c>
      <c r="AC28" s="45">
        <f t="shared" si="5"/>
        <v>89980</v>
      </c>
      <c r="AD28" s="47">
        <v>92608</v>
      </c>
      <c r="AE28" s="49">
        <v>-295</v>
      </c>
      <c r="AF28" s="49">
        <v>19853</v>
      </c>
      <c r="AG28" s="49">
        <v>0</v>
      </c>
      <c r="AH28" s="45">
        <f t="shared" si="6"/>
        <v>112166</v>
      </c>
      <c r="AI28" s="47">
        <v>82339</v>
      </c>
      <c r="AJ28" s="49">
        <v>48</v>
      </c>
      <c r="AK28" s="49">
        <v>6178</v>
      </c>
      <c r="AL28" s="49">
        <v>0</v>
      </c>
      <c r="AM28" s="45">
        <f t="shared" si="7"/>
        <v>88565</v>
      </c>
      <c r="AN28" s="47">
        <v>87425</v>
      </c>
      <c r="AO28" s="49">
        <v>231</v>
      </c>
      <c r="AP28" s="49">
        <v>9702</v>
      </c>
      <c r="AQ28" s="49">
        <v>0</v>
      </c>
      <c r="AR28" s="45">
        <f t="shared" si="1"/>
        <v>97358</v>
      </c>
      <c r="AS28" s="47">
        <v>79280</v>
      </c>
      <c r="AT28" s="49">
        <v>138</v>
      </c>
      <c r="AU28" s="49">
        <v>2628</v>
      </c>
      <c r="AV28" s="49">
        <v>0</v>
      </c>
      <c r="AW28" s="45">
        <f t="shared" si="8"/>
        <v>82046</v>
      </c>
      <c r="AX28" s="47">
        <v>80448</v>
      </c>
      <c r="AY28" s="49">
        <v>392</v>
      </c>
      <c r="AZ28" s="49">
        <v>6977</v>
      </c>
      <c r="BA28" s="49">
        <v>0</v>
      </c>
      <c r="BB28" s="45">
        <f t="shared" si="9"/>
        <v>87817</v>
      </c>
      <c r="BC28" s="47">
        <v>78691</v>
      </c>
      <c r="BD28" s="49">
        <v>77</v>
      </c>
      <c r="BE28" s="49">
        <v>5212</v>
      </c>
      <c r="BF28" s="49">
        <v>0</v>
      </c>
      <c r="BG28" s="45">
        <f t="shared" si="10"/>
        <v>83980</v>
      </c>
      <c r="BH28" s="47">
        <v>0</v>
      </c>
      <c r="BI28" s="49">
        <v>0</v>
      </c>
      <c r="BJ28" s="49">
        <v>0</v>
      </c>
      <c r="BK28" s="49">
        <v>0</v>
      </c>
      <c r="BL28" s="45">
        <f t="shared" si="11"/>
        <v>0</v>
      </c>
      <c r="BM28" s="47">
        <v>0</v>
      </c>
      <c r="BN28" s="49">
        <v>0</v>
      </c>
      <c r="BO28" s="49">
        <v>0</v>
      </c>
      <c r="BP28" s="49">
        <v>0</v>
      </c>
      <c r="BQ28" s="45">
        <f t="shared" si="12"/>
        <v>0</v>
      </c>
      <c r="BR28" s="47">
        <f t="shared" si="15"/>
        <v>805403</v>
      </c>
      <c r="BS28" s="330">
        <f t="shared" si="15"/>
        <v>2453</v>
      </c>
      <c r="BT28" s="49">
        <f t="shared" si="15"/>
        <v>60400</v>
      </c>
      <c r="BU28" s="49">
        <f t="shared" si="15"/>
        <v>24</v>
      </c>
      <c r="BV28" s="47">
        <f t="shared" si="2"/>
        <v>868280</v>
      </c>
      <c r="BW28" s="13"/>
      <c r="BX28" s="268"/>
    </row>
    <row r="29" spans="1:80" x14ac:dyDescent="0.2">
      <c r="A29" s="262">
        <v>23</v>
      </c>
      <c r="B29" s="263" t="s">
        <v>215</v>
      </c>
      <c r="D29" s="264"/>
      <c r="E29" s="329">
        <v>92232130</v>
      </c>
      <c r="F29" s="330">
        <v>1368195</v>
      </c>
      <c r="G29" s="330">
        <v>2440586</v>
      </c>
      <c r="H29" s="330">
        <v>32306</v>
      </c>
      <c r="I29" s="45">
        <f t="shared" si="0"/>
        <v>96073217</v>
      </c>
      <c r="J29" s="47">
        <v>7584822</v>
      </c>
      <c r="K29" s="49">
        <v>126582</v>
      </c>
      <c r="L29" s="49">
        <v>77961</v>
      </c>
      <c r="M29" s="49">
        <v>833</v>
      </c>
      <c r="N29" s="45">
        <f t="shared" si="14"/>
        <v>7790198</v>
      </c>
      <c r="O29" s="49">
        <v>7378437</v>
      </c>
      <c r="P29" s="49">
        <v>109950</v>
      </c>
      <c r="Q29" s="49">
        <v>62539</v>
      </c>
      <c r="R29" s="49">
        <v>1248</v>
      </c>
      <c r="S29" s="45">
        <f>SUM(O29:R29)</f>
        <v>7552174</v>
      </c>
      <c r="T29" s="47">
        <v>7722221</v>
      </c>
      <c r="U29" s="49">
        <v>75464</v>
      </c>
      <c r="V29" s="49">
        <v>165924</v>
      </c>
      <c r="W29" s="49">
        <v>154</v>
      </c>
      <c r="X29" s="47">
        <f t="shared" si="4"/>
        <v>7963763</v>
      </c>
      <c r="Y29" s="47">
        <v>7886220</v>
      </c>
      <c r="Z29" s="49">
        <v>148077</v>
      </c>
      <c r="AA29" s="49">
        <v>163921</v>
      </c>
      <c r="AB29" s="49">
        <v>1732</v>
      </c>
      <c r="AC29" s="45">
        <f t="shared" si="5"/>
        <v>8199950</v>
      </c>
      <c r="AD29" s="47">
        <v>7276739</v>
      </c>
      <c r="AE29" s="49">
        <v>105180</v>
      </c>
      <c r="AF29" s="49">
        <v>125595</v>
      </c>
      <c r="AG29" s="49">
        <v>881</v>
      </c>
      <c r="AH29" s="45">
        <f t="shared" si="6"/>
        <v>7508395</v>
      </c>
      <c r="AI29" s="47">
        <v>7181134</v>
      </c>
      <c r="AJ29" s="49">
        <v>102595</v>
      </c>
      <c r="AK29" s="49">
        <v>97674</v>
      </c>
      <c r="AL29" s="49">
        <v>534</v>
      </c>
      <c r="AM29" s="45">
        <f t="shared" si="7"/>
        <v>7381937</v>
      </c>
      <c r="AN29" s="47">
        <v>7767415</v>
      </c>
      <c r="AO29" s="49">
        <v>177789</v>
      </c>
      <c r="AP29" s="49">
        <v>193976</v>
      </c>
      <c r="AQ29" s="49">
        <v>1256</v>
      </c>
      <c r="AR29" s="45">
        <f t="shared" si="1"/>
        <v>8140436</v>
      </c>
      <c r="AS29" s="47">
        <v>7162635</v>
      </c>
      <c r="AT29" s="49">
        <v>103389</v>
      </c>
      <c r="AU29" s="49">
        <v>184574</v>
      </c>
      <c r="AV29" s="49">
        <v>8429</v>
      </c>
      <c r="AW29" s="45">
        <f t="shared" si="8"/>
        <v>7459027</v>
      </c>
      <c r="AX29" s="47">
        <v>7653704</v>
      </c>
      <c r="AY29" s="49">
        <v>115101</v>
      </c>
      <c r="AZ29" s="49">
        <v>349001</v>
      </c>
      <c r="BA29" s="49">
        <v>1353</v>
      </c>
      <c r="BB29" s="45">
        <f t="shared" si="9"/>
        <v>8119159</v>
      </c>
      <c r="BC29" s="47">
        <v>7632078</v>
      </c>
      <c r="BD29" s="49">
        <v>95367</v>
      </c>
      <c r="BE29" s="49">
        <v>312444</v>
      </c>
      <c r="BF29" s="49">
        <v>6848</v>
      </c>
      <c r="BG29" s="45">
        <f t="shared" si="10"/>
        <v>8046737</v>
      </c>
      <c r="BH29" s="47">
        <v>0</v>
      </c>
      <c r="BI29" s="49">
        <v>0</v>
      </c>
      <c r="BJ29" s="49">
        <v>0</v>
      </c>
      <c r="BK29" s="49">
        <v>0</v>
      </c>
      <c r="BL29" s="45">
        <f t="shared" si="11"/>
        <v>0</v>
      </c>
      <c r="BM29" s="47">
        <v>0</v>
      </c>
      <c r="BN29" s="49">
        <v>0</v>
      </c>
      <c r="BO29" s="49">
        <v>0</v>
      </c>
      <c r="BP29" s="49">
        <v>0</v>
      </c>
      <c r="BQ29" s="45">
        <f t="shared" si="12"/>
        <v>0</v>
      </c>
      <c r="BR29" s="47">
        <f t="shared" si="15"/>
        <v>75245405</v>
      </c>
      <c r="BS29" s="330">
        <f t="shared" si="15"/>
        <v>1159494</v>
      </c>
      <c r="BT29" s="49">
        <f t="shared" si="15"/>
        <v>1733609</v>
      </c>
      <c r="BU29" s="49">
        <f t="shared" si="15"/>
        <v>23268</v>
      </c>
      <c r="BV29" s="47">
        <f t="shared" si="2"/>
        <v>78161776</v>
      </c>
      <c r="BW29" s="13"/>
      <c r="BX29" s="268"/>
    </row>
    <row r="30" spans="1:80" x14ac:dyDescent="0.2">
      <c r="A30" s="262">
        <v>24</v>
      </c>
      <c r="B30" s="263" t="s">
        <v>266</v>
      </c>
      <c r="D30" s="264"/>
      <c r="E30" s="329">
        <v>3069306</v>
      </c>
      <c r="F30" s="330">
        <v>4185490</v>
      </c>
      <c r="G30" s="330">
        <f>202307-31</f>
        <v>202276</v>
      </c>
      <c r="H30" s="330">
        <v>2928</v>
      </c>
      <c r="I30" s="45">
        <f t="shared" si="0"/>
        <v>7460000</v>
      </c>
      <c r="J30" s="47">
        <v>309658</v>
      </c>
      <c r="K30" s="49">
        <v>549654</v>
      </c>
      <c r="L30" s="49">
        <v>8219</v>
      </c>
      <c r="M30" s="49">
        <v>0</v>
      </c>
      <c r="N30" s="45">
        <f t="shared" si="14"/>
        <v>867531</v>
      </c>
      <c r="O30" s="49">
        <v>270415</v>
      </c>
      <c r="P30" s="49">
        <v>369038</v>
      </c>
      <c r="Q30" s="49">
        <v>20066</v>
      </c>
      <c r="R30" s="49">
        <v>17</v>
      </c>
      <c r="S30" s="45">
        <f>SUM(O30:R30)</f>
        <v>659536</v>
      </c>
      <c r="T30" s="47">
        <v>257411</v>
      </c>
      <c r="U30" s="49">
        <v>157097</v>
      </c>
      <c r="V30" s="49">
        <v>12852</v>
      </c>
      <c r="W30" s="49">
        <v>14</v>
      </c>
      <c r="X30" s="45">
        <f t="shared" si="4"/>
        <v>427374</v>
      </c>
      <c r="Y30" s="47">
        <v>254616</v>
      </c>
      <c r="Z30" s="49">
        <v>127626</v>
      </c>
      <c r="AA30" s="49">
        <v>24567</v>
      </c>
      <c r="AB30" s="49">
        <v>3</v>
      </c>
      <c r="AC30" s="45">
        <f t="shared" si="5"/>
        <v>406812</v>
      </c>
      <c r="AD30" s="47">
        <v>261910</v>
      </c>
      <c r="AE30" s="49">
        <v>898028</v>
      </c>
      <c r="AF30" s="49">
        <v>19103</v>
      </c>
      <c r="AG30" s="49">
        <v>116</v>
      </c>
      <c r="AH30" s="45">
        <f t="shared" si="6"/>
        <v>1179157</v>
      </c>
      <c r="AI30" s="47">
        <v>238307</v>
      </c>
      <c r="AJ30" s="49">
        <v>90631</v>
      </c>
      <c r="AK30" s="49">
        <v>9568</v>
      </c>
      <c r="AL30" s="49">
        <v>23</v>
      </c>
      <c r="AM30" s="45">
        <f t="shared" si="7"/>
        <v>338529</v>
      </c>
      <c r="AN30" s="47">
        <v>219257</v>
      </c>
      <c r="AO30" s="49">
        <v>918239</v>
      </c>
      <c r="AP30" s="49">
        <v>29482</v>
      </c>
      <c r="AQ30" s="49">
        <v>27</v>
      </c>
      <c r="AR30" s="45">
        <f t="shared" si="1"/>
        <v>1167005</v>
      </c>
      <c r="AS30" s="47">
        <v>250456</v>
      </c>
      <c r="AT30" s="49">
        <v>89739</v>
      </c>
      <c r="AU30" s="49">
        <v>22610</v>
      </c>
      <c r="AV30" s="49">
        <v>20</v>
      </c>
      <c r="AW30" s="45">
        <f t="shared" si="8"/>
        <v>362825</v>
      </c>
      <c r="AX30" s="47">
        <v>249862</v>
      </c>
      <c r="AY30" s="49">
        <v>93770</v>
      </c>
      <c r="AZ30" s="49">
        <v>14433</v>
      </c>
      <c r="BA30" s="49">
        <v>31</v>
      </c>
      <c r="BB30" s="45">
        <f t="shared" si="9"/>
        <v>358096</v>
      </c>
      <c r="BC30" s="47">
        <v>229489</v>
      </c>
      <c r="BD30" s="49">
        <v>855251</v>
      </c>
      <c r="BE30" s="49">
        <v>10574</v>
      </c>
      <c r="BF30" s="49">
        <v>34</v>
      </c>
      <c r="BG30" s="45">
        <f t="shared" si="10"/>
        <v>1095348</v>
      </c>
      <c r="BH30" s="47">
        <v>0</v>
      </c>
      <c r="BI30" s="49">
        <v>0</v>
      </c>
      <c r="BJ30" s="49">
        <v>0</v>
      </c>
      <c r="BK30" s="49">
        <v>0</v>
      </c>
      <c r="BL30" s="45">
        <f t="shared" si="11"/>
        <v>0</v>
      </c>
      <c r="BM30" s="47">
        <v>0</v>
      </c>
      <c r="BN30" s="49">
        <v>0</v>
      </c>
      <c r="BO30" s="49">
        <v>0</v>
      </c>
      <c r="BP30" s="49">
        <v>0</v>
      </c>
      <c r="BQ30" s="45">
        <f t="shared" si="12"/>
        <v>0</v>
      </c>
      <c r="BR30" s="47">
        <f t="shared" si="15"/>
        <v>2541381</v>
      </c>
      <c r="BS30" s="330">
        <f t="shared" si="15"/>
        <v>4149073</v>
      </c>
      <c r="BT30" s="49">
        <f t="shared" si="15"/>
        <v>171474</v>
      </c>
      <c r="BU30" s="49">
        <f t="shared" si="15"/>
        <v>285</v>
      </c>
      <c r="BV30" s="47">
        <f t="shared" si="2"/>
        <v>6862213</v>
      </c>
      <c r="BW30" s="13"/>
      <c r="BX30" s="268"/>
    </row>
    <row r="31" spans="1:80" x14ac:dyDescent="0.2">
      <c r="A31" s="262">
        <v>25</v>
      </c>
      <c r="B31" s="263" t="s">
        <v>267</v>
      </c>
      <c r="D31" s="264"/>
      <c r="E31" s="329">
        <v>124792</v>
      </c>
      <c r="F31" s="330">
        <v>840821</v>
      </c>
      <c r="G31" s="330">
        <v>746</v>
      </c>
      <c r="H31" s="330">
        <v>0</v>
      </c>
      <c r="I31" s="45">
        <f t="shared" si="0"/>
        <v>966359</v>
      </c>
      <c r="J31" s="47">
        <v>12577</v>
      </c>
      <c r="K31" s="49">
        <v>160603</v>
      </c>
      <c r="L31" s="49">
        <v>38</v>
      </c>
      <c r="M31" s="49">
        <v>0</v>
      </c>
      <c r="N31" s="45">
        <f t="shared" si="14"/>
        <v>173218</v>
      </c>
      <c r="O31" s="49">
        <v>8990</v>
      </c>
      <c r="P31" s="49">
        <v>72420</v>
      </c>
      <c r="Q31" s="49">
        <v>76</v>
      </c>
      <c r="R31" s="49">
        <v>0</v>
      </c>
      <c r="S31" s="45">
        <f>SUM(O31:R31)</f>
        <v>81486</v>
      </c>
      <c r="T31" s="47">
        <v>10450</v>
      </c>
      <c r="U31" s="49">
        <v>17500</v>
      </c>
      <c r="V31" s="49">
        <v>59</v>
      </c>
      <c r="W31" s="49">
        <v>0</v>
      </c>
      <c r="X31" s="45">
        <f t="shared" si="4"/>
        <v>28009</v>
      </c>
      <c r="Y31" s="47">
        <v>12028</v>
      </c>
      <c r="Z31" s="49">
        <v>100656</v>
      </c>
      <c r="AA31" s="49">
        <v>58</v>
      </c>
      <c r="AB31" s="49">
        <v>0</v>
      </c>
      <c r="AC31" s="45">
        <f t="shared" si="5"/>
        <v>112742</v>
      </c>
      <c r="AD31" s="47">
        <v>10832</v>
      </c>
      <c r="AE31" s="49">
        <v>113420</v>
      </c>
      <c r="AF31" s="49">
        <v>47</v>
      </c>
      <c r="AG31" s="49">
        <v>0</v>
      </c>
      <c r="AH31" s="45">
        <f t="shared" si="6"/>
        <v>124299</v>
      </c>
      <c r="AI31" s="47">
        <v>12479</v>
      </c>
      <c r="AJ31" s="49">
        <v>17504</v>
      </c>
      <c r="AK31" s="49">
        <v>65</v>
      </c>
      <c r="AL31" s="49">
        <v>0</v>
      </c>
      <c r="AM31" s="45">
        <f t="shared" si="7"/>
        <v>30048</v>
      </c>
      <c r="AN31" s="47">
        <v>8628</v>
      </c>
      <c r="AO31" s="49">
        <v>100592</v>
      </c>
      <c r="AP31" s="49">
        <v>53</v>
      </c>
      <c r="AQ31" s="49">
        <v>0</v>
      </c>
      <c r="AR31" s="45">
        <f t="shared" si="1"/>
        <v>109273</v>
      </c>
      <c r="AS31" s="47">
        <v>9780</v>
      </c>
      <c r="AT31" s="49">
        <v>92671</v>
      </c>
      <c r="AU31" s="49">
        <v>50</v>
      </c>
      <c r="AV31" s="49">
        <v>0</v>
      </c>
      <c r="AW31" s="45">
        <f t="shared" si="8"/>
        <v>102501</v>
      </c>
      <c r="AX31" s="47">
        <v>8874</v>
      </c>
      <c r="AY31" s="49">
        <v>0</v>
      </c>
      <c r="AZ31" s="49">
        <v>50</v>
      </c>
      <c r="BA31" s="49">
        <v>0</v>
      </c>
      <c r="BB31" s="45">
        <f t="shared" si="9"/>
        <v>8924</v>
      </c>
      <c r="BC31" s="47">
        <v>9465</v>
      </c>
      <c r="BD31" s="49">
        <v>105092</v>
      </c>
      <c r="BE31" s="49">
        <v>49</v>
      </c>
      <c r="BF31" s="49">
        <v>0</v>
      </c>
      <c r="BG31" s="45">
        <f t="shared" si="10"/>
        <v>114606</v>
      </c>
      <c r="BH31" s="47">
        <v>0</v>
      </c>
      <c r="BI31" s="49">
        <v>0</v>
      </c>
      <c r="BJ31" s="49">
        <v>0</v>
      </c>
      <c r="BK31" s="49">
        <v>0</v>
      </c>
      <c r="BL31" s="45">
        <f t="shared" si="11"/>
        <v>0</v>
      </c>
      <c r="BM31" s="47">
        <v>0</v>
      </c>
      <c r="BN31" s="49">
        <v>0</v>
      </c>
      <c r="BO31" s="49">
        <v>0</v>
      </c>
      <c r="BP31" s="49">
        <v>0</v>
      </c>
      <c r="BQ31" s="45">
        <f t="shared" si="12"/>
        <v>0</v>
      </c>
      <c r="BR31" s="47">
        <f t="shared" si="15"/>
        <v>104103</v>
      </c>
      <c r="BS31" s="330">
        <f t="shared" si="15"/>
        <v>780458</v>
      </c>
      <c r="BT31" s="49">
        <f t="shared" si="15"/>
        <v>545</v>
      </c>
      <c r="BU31" s="49">
        <f t="shared" si="15"/>
        <v>0</v>
      </c>
      <c r="BV31" s="47">
        <f t="shared" si="2"/>
        <v>885106</v>
      </c>
      <c r="BW31" s="13"/>
      <c r="BX31" s="268"/>
    </row>
    <row r="32" spans="1:80" x14ac:dyDescent="0.2">
      <c r="A32" s="262">
        <v>26</v>
      </c>
      <c r="B32" s="263" t="s">
        <v>268</v>
      </c>
      <c r="D32" s="264"/>
      <c r="E32" s="329">
        <v>615208</v>
      </c>
      <c r="F32" s="330">
        <v>6309774</v>
      </c>
      <c r="G32" s="330">
        <v>2237</v>
      </c>
      <c r="H32" s="330">
        <v>11</v>
      </c>
      <c r="I32" s="45">
        <f t="shared" si="0"/>
        <v>6927230</v>
      </c>
      <c r="J32" s="47">
        <v>34656</v>
      </c>
      <c r="K32" s="49">
        <v>476094</v>
      </c>
      <c r="L32" s="49">
        <v>0</v>
      </c>
      <c r="M32" s="49">
        <v>0</v>
      </c>
      <c r="N32" s="45">
        <f t="shared" si="14"/>
        <v>510750</v>
      </c>
      <c r="O32" s="49">
        <v>41232</v>
      </c>
      <c r="P32" s="49">
        <v>613287</v>
      </c>
      <c r="Q32" s="49">
        <v>495</v>
      </c>
      <c r="R32" s="49">
        <v>0</v>
      </c>
      <c r="S32" s="45">
        <f>SUM(O32:R32)</f>
        <v>655014</v>
      </c>
      <c r="T32" s="47">
        <v>42340</v>
      </c>
      <c r="U32" s="49">
        <v>94049</v>
      </c>
      <c r="V32" s="49">
        <v>294</v>
      </c>
      <c r="W32" s="49">
        <v>0</v>
      </c>
      <c r="X32" s="45">
        <f t="shared" si="4"/>
        <v>136683</v>
      </c>
      <c r="Y32" s="47">
        <v>41777</v>
      </c>
      <c r="Z32" s="49">
        <v>740658</v>
      </c>
      <c r="AA32" s="49">
        <v>127</v>
      </c>
      <c r="AB32" s="49">
        <v>0</v>
      </c>
      <c r="AC32" s="45">
        <f t="shared" si="5"/>
        <v>782562</v>
      </c>
      <c r="AD32" s="47">
        <v>42470</v>
      </c>
      <c r="AE32" s="49">
        <v>793677</v>
      </c>
      <c r="AF32" s="49">
        <v>433</v>
      </c>
      <c r="AG32" s="49">
        <v>8</v>
      </c>
      <c r="AH32" s="45">
        <f>SUM(AD32:AG32)</f>
        <v>836588</v>
      </c>
      <c r="AI32" s="47">
        <v>63596</v>
      </c>
      <c r="AJ32" s="49">
        <v>110403</v>
      </c>
      <c r="AK32" s="49">
        <v>240</v>
      </c>
      <c r="AL32" s="49">
        <v>0</v>
      </c>
      <c r="AM32" s="45">
        <f t="shared" si="7"/>
        <v>174239</v>
      </c>
      <c r="AN32" s="47">
        <v>57457</v>
      </c>
      <c r="AO32" s="49">
        <v>982087</v>
      </c>
      <c r="AP32" s="49">
        <v>103</v>
      </c>
      <c r="AQ32" s="49">
        <v>0</v>
      </c>
      <c r="AR32" s="45">
        <f t="shared" si="1"/>
        <v>1039647</v>
      </c>
      <c r="AS32" s="47">
        <v>43483</v>
      </c>
      <c r="AT32" s="49">
        <v>677986</v>
      </c>
      <c r="AU32" s="49">
        <v>0</v>
      </c>
      <c r="AV32" s="49">
        <v>0</v>
      </c>
      <c r="AW32" s="45">
        <f t="shared" si="8"/>
        <v>721469</v>
      </c>
      <c r="AX32" s="47">
        <v>79933</v>
      </c>
      <c r="AY32" s="49">
        <v>850901</v>
      </c>
      <c r="AZ32" s="49">
        <v>328</v>
      </c>
      <c r="BA32" s="49">
        <v>0</v>
      </c>
      <c r="BB32" s="45">
        <f t="shared" si="9"/>
        <v>931162</v>
      </c>
      <c r="BC32" s="47">
        <v>35073</v>
      </c>
      <c r="BD32" s="49">
        <v>416</v>
      </c>
      <c r="BE32" s="49">
        <v>23</v>
      </c>
      <c r="BF32" s="49">
        <v>0</v>
      </c>
      <c r="BG32" s="45">
        <f t="shared" si="10"/>
        <v>35512</v>
      </c>
      <c r="BH32" s="47">
        <v>0</v>
      </c>
      <c r="BI32" s="49">
        <v>0</v>
      </c>
      <c r="BJ32" s="49">
        <v>0</v>
      </c>
      <c r="BK32" s="49">
        <v>0</v>
      </c>
      <c r="BL32" s="45">
        <f t="shared" si="11"/>
        <v>0</v>
      </c>
      <c r="BM32" s="47">
        <v>0</v>
      </c>
      <c r="BN32" s="49">
        <v>0</v>
      </c>
      <c r="BO32" s="49">
        <v>0</v>
      </c>
      <c r="BP32" s="49">
        <v>0</v>
      </c>
      <c r="BQ32" s="45">
        <f t="shared" si="12"/>
        <v>0</v>
      </c>
      <c r="BR32" s="47">
        <f t="shared" si="15"/>
        <v>482017</v>
      </c>
      <c r="BS32" s="330">
        <f t="shared" si="15"/>
        <v>5339558</v>
      </c>
      <c r="BT32" s="49">
        <f t="shared" si="15"/>
        <v>2043</v>
      </c>
      <c r="BU32" s="49">
        <f t="shared" si="15"/>
        <v>8</v>
      </c>
      <c r="BV32" s="47">
        <f t="shared" si="2"/>
        <v>5823626</v>
      </c>
      <c r="BW32" s="13"/>
      <c r="BX32" s="268"/>
    </row>
    <row r="33" spans="1:78" x14ac:dyDescent="0.2">
      <c r="A33" s="262">
        <v>27</v>
      </c>
      <c r="B33" s="270" t="s">
        <v>269</v>
      </c>
      <c r="D33" s="267"/>
      <c r="E33" s="329">
        <v>4745830</v>
      </c>
      <c r="F33" s="330">
        <v>2030324</v>
      </c>
      <c r="G33" s="330">
        <v>576725</v>
      </c>
      <c r="H33" s="330">
        <v>13768</v>
      </c>
      <c r="I33" s="45">
        <f t="shared" si="0"/>
        <v>7366647</v>
      </c>
      <c r="J33" s="47">
        <v>152643</v>
      </c>
      <c r="K33" s="49">
        <v>126597</v>
      </c>
      <c r="L33" s="49">
        <v>69</v>
      </c>
      <c r="M33" s="49">
        <v>0</v>
      </c>
      <c r="N33" s="45">
        <f t="shared" si="14"/>
        <v>279309</v>
      </c>
      <c r="O33" s="49">
        <v>413177</v>
      </c>
      <c r="P33" s="49">
        <v>141813</v>
      </c>
      <c r="Q33" s="49">
        <v>1106</v>
      </c>
      <c r="R33" s="49">
        <v>0</v>
      </c>
      <c r="S33" s="45">
        <f t="shared" ref="S33:S46" si="17">SUM(O33:R33)</f>
        <v>556096</v>
      </c>
      <c r="T33" s="47">
        <v>303803</v>
      </c>
      <c r="U33" s="49">
        <v>64958</v>
      </c>
      <c r="V33" s="49">
        <v>26154</v>
      </c>
      <c r="W33" s="49">
        <v>0</v>
      </c>
      <c r="X33" s="45">
        <f t="shared" si="4"/>
        <v>394915</v>
      </c>
      <c r="Y33" s="47">
        <v>463602</v>
      </c>
      <c r="Z33" s="49">
        <v>110638</v>
      </c>
      <c r="AA33" s="49">
        <v>17527</v>
      </c>
      <c r="AB33" s="49">
        <v>0</v>
      </c>
      <c r="AC33" s="45">
        <f t="shared" si="5"/>
        <v>591767</v>
      </c>
      <c r="AD33" s="47">
        <v>276602</v>
      </c>
      <c r="AE33" s="49">
        <v>64335</v>
      </c>
      <c r="AF33" s="49">
        <v>18336</v>
      </c>
      <c r="AG33" s="49">
        <v>0</v>
      </c>
      <c r="AH33" s="45">
        <f t="shared" si="6"/>
        <v>359273</v>
      </c>
      <c r="AI33" s="47">
        <v>411961</v>
      </c>
      <c r="AJ33" s="49">
        <v>89756</v>
      </c>
      <c r="AK33" s="49">
        <v>26648</v>
      </c>
      <c r="AL33" s="49">
        <v>1534</v>
      </c>
      <c r="AM33" s="45">
        <f t="shared" si="7"/>
        <v>529899</v>
      </c>
      <c r="AN33" s="47">
        <v>572272</v>
      </c>
      <c r="AO33" s="49">
        <v>186771</v>
      </c>
      <c r="AP33" s="49">
        <v>17033</v>
      </c>
      <c r="AQ33" s="49">
        <v>0</v>
      </c>
      <c r="AR33" s="45">
        <f t="shared" si="1"/>
        <v>776076</v>
      </c>
      <c r="AS33" s="47">
        <v>294636</v>
      </c>
      <c r="AT33" s="49">
        <v>97982</v>
      </c>
      <c r="AU33" s="49">
        <v>16449</v>
      </c>
      <c r="AV33" s="49">
        <v>1</v>
      </c>
      <c r="AW33" s="45">
        <f t="shared" si="8"/>
        <v>409068</v>
      </c>
      <c r="AX33" s="47">
        <v>538931</v>
      </c>
      <c r="AY33" s="49">
        <v>320168</v>
      </c>
      <c r="AZ33" s="49">
        <v>13730</v>
      </c>
      <c r="BA33" s="49">
        <v>0</v>
      </c>
      <c r="BB33" s="45">
        <f t="shared" si="9"/>
        <v>872829</v>
      </c>
      <c r="BC33" s="47">
        <v>409919</v>
      </c>
      <c r="BD33" s="49">
        <v>257841</v>
      </c>
      <c r="BE33" s="49">
        <v>1188</v>
      </c>
      <c r="BF33" s="49">
        <v>0</v>
      </c>
      <c r="BG33" s="45">
        <f t="shared" si="10"/>
        <v>668948</v>
      </c>
      <c r="BH33" s="47">
        <v>0</v>
      </c>
      <c r="BI33" s="49">
        <v>0</v>
      </c>
      <c r="BJ33" s="49">
        <v>0</v>
      </c>
      <c r="BK33" s="49">
        <v>0</v>
      </c>
      <c r="BL33" s="45">
        <f t="shared" si="11"/>
        <v>0</v>
      </c>
      <c r="BM33" s="47">
        <v>0</v>
      </c>
      <c r="BN33" s="49">
        <v>0</v>
      </c>
      <c r="BO33" s="49">
        <v>0</v>
      </c>
      <c r="BP33" s="49">
        <v>0</v>
      </c>
      <c r="BQ33" s="45">
        <f t="shared" si="12"/>
        <v>0</v>
      </c>
      <c r="BR33" s="47">
        <f t="shared" si="15"/>
        <v>3837546</v>
      </c>
      <c r="BS33" s="330">
        <f t="shared" si="15"/>
        <v>1460859</v>
      </c>
      <c r="BT33" s="49">
        <f t="shared" si="15"/>
        <v>138240</v>
      </c>
      <c r="BU33" s="49">
        <f t="shared" si="15"/>
        <v>1535</v>
      </c>
      <c r="BV33" s="47">
        <f t="shared" si="2"/>
        <v>5438180</v>
      </c>
      <c r="BW33" s="13"/>
      <c r="BX33" s="268"/>
    </row>
    <row r="34" spans="1:78" x14ac:dyDescent="0.2">
      <c r="A34" s="262">
        <v>28</v>
      </c>
      <c r="B34" s="270" t="s">
        <v>270</v>
      </c>
      <c r="D34" s="264"/>
      <c r="E34" s="329">
        <v>1833326</v>
      </c>
      <c r="F34" s="330">
        <v>1338288</v>
      </c>
      <c r="G34" s="330">
        <v>43145</v>
      </c>
      <c r="H34" s="330">
        <v>1118</v>
      </c>
      <c r="I34" s="45">
        <f t="shared" si="0"/>
        <v>3215877</v>
      </c>
      <c r="J34" s="47">
        <v>125523</v>
      </c>
      <c r="K34" s="49">
        <v>292413</v>
      </c>
      <c r="L34" s="49">
        <v>628</v>
      </c>
      <c r="M34" s="49">
        <v>1</v>
      </c>
      <c r="N34" s="45">
        <f t="shared" si="14"/>
        <v>418565</v>
      </c>
      <c r="O34" s="49">
        <v>149186</v>
      </c>
      <c r="P34" s="49">
        <v>2085</v>
      </c>
      <c r="Q34" s="49">
        <v>2847</v>
      </c>
      <c r="R34" s="49">
        <v>60</v>
      </c>
      <c r="S34" s="45">
        <f t="shared" si="17"/>
        <v>154178</v>
      </c>
      <c r="T34" s="47">
        <v>133260</v>
      </c>
      <c r="U34" s="49">
        <v>52148</v>
      </c>
      <c r="V34" s="49">
        <v>379</v>
      </c>
      <c r="W34" s="49">
        <v>114</v>
      </c>
      <c r="X34" s="45">
        <f t="shared" si="4"/>
        <v>185901</v>
      </c>
      <c r="Y34" s="47">
        <v>161126</v>
      </c>
      <c r="Z34" s="49">
        <v>2994</v>
      </c>
      <c r="AA34" s="49">
        <v>10417</v>
      </c>
      <c r="AB34" s="49">
        <v>-3</v>
      </c>
      <c r="AC34" s="45">
        <f t="shared" si="5"/>
        <v>174534</v>
      </c>
      <c r="AD34" s="47">
        <v>142292</v>
      </c>
      <c r="AE34" s="49">
        <v>296631</v>
      </c>
      <c r="AF34" s="49">
        <v>2945</v>
      </c>
      <c r="AG34" s="49">
        <v>43</v>
      </c>
      <c r="AH34" s="45">
        <f t="shared" si="6"/>
        <v>441911</v>
      </c>
      <c r="AI34" s="47">
        <v>153646</v>
      </c>
      <c r="AJ34" s="49">
        <v>5014</v>
      </c>
      <c r="AK34" s="49">
        <v>3527</v>
      </c>
      <c r="AL34" s="49">
        <v>12</v>
      </c>
      <c r="AM34" s="45">
        <f t="shared" si="7"/>
        <v>162199</v>
      </c>
      <c r="AN34" s="47">
        <v>150328</v>
      </c>
      <c r="AO34" s="49">
        <v>324248</v>
      </c>
      <c r="AP34" s="49">
        <v>5471</v>
      </c>
      <c r="AQ34" s="49">
        <v>25</v>
      </c>
      <c r="AR34" s="45">
        <f t="shared" si="1"/>
        <v>480072</v>
      </c>
      <c r="AS34" s="47">
        <v>155752</v>
      </c>
      <c r="AT34" s="49">
        <v>17774</v>
      </c>
      <c r="AU34" s="49">
        <v>1157</v>
      </c>
      <c r="AV34" s="49">
        <v>5</v>
      </c>
      <c r="AW34" s="45">
        <f t="shared" si="8"/>
        <v>174688</v>
      </c>
      <c r="AX34" s="47">
        <v>150059</v>
      </c>
      <c r="AY34" s="49">
        <v>24462</v>
      </c>
      <c r="AZ34" s="49">
        <v>819</v>
      </c>
      <c r="BA34" s="49">
        <v>3</v>
      </c>
      <c r="BB34" s="45">
        <f t="shared" si="9"/>
        <v>175343</v>
      </c>
      <c r="BC34" s="47">
        <v>138742</v>
      </c>
      <c r="BD34" s="49">
        <v>37393</v>
      </c>
      <c r="BE34" s="49">
        <v>764</v>
      </c>
      <c r="BF34" s="49">
        <v>2</v>
      </c>
      <c r="BG34" s="45">
        <f t="shared" si="10"/>
        <v>176901</v>
      </c>
      <c r="BH34" s="47">
        <v>0</v>
      </c>
      <c r="BI34" s="49">
        <v>0</v>
      </c>
      <c r="BJ34" s="49">
        <v>0</v>
      </c>
      <c r="BK34" s="49">
        <v>0</v>
      </c>
      <c r="BL34" s="45">
        <f t="shared" si="11"/>
        <v>0</v>
      </c>
      <c r="BM34" s="47">
        <v>0</v>
      </c>
      <c r="BN34" s="49">
        <v>0</v>
      </c>
      <c r="BO34" s="49">
        <v>0</v>
      </c>
      <c r="BP34" s="49">
        <v>0</v>
      </c>
      <c r="BQ34" s="45">
        <f t="shared" si="12"/>
        <v>0</v>
      </c>
      <c r="BR34" s="47">
        <f t="shared" si="15"/>
        <v>1459914</v>
      </c>
      <c r="BS34" s="330">
        <f t="shared" si="15"/>
        <v>1055162</v>
      </c>
      <c r="BT34" s="49">
        <f t="shared" si="15"/>
        <v>28954</v>
      </c>
      <c r="BU34" s="49">
        <f t="shared" si="15"/>
        <v>262</v>
      </c>
      <c r="BV34" s="47">
        <f t="shared" si="2"/>
        <v>2544292</v>
      </c>
      <c r="BW34" s="13"/>
      <c r="BX34" s="268"/>
    </row>
    <row r="35" spans="1:78" x14ac:dyDescent="0.2">
      <c r="A35" s="262">
        <v>29</v>
      </c>
      <c r="B35" s="263" t="s">
        <v>271</v>
      </c>
      <c r="D35" s="264"/>
      <c r="E35" s="329">
        <v>937330</v>
      </c>
      <c r="F35" s="330">
        <v>1048651</v>
      </c>
      <c r="G35" s="330">
        <v>2238</v>
      </c>
      <c r="H35" s="330">
        <v>73</v>
      </c>
      <c r="I35" s="45">
        <f t="shared" si="0"/>
        <v>1988292</v>
      </c>
      <c r="J35" s="47">
        <v>91734</v>
      </c>
      <c r="K35" s="49">
        <v>200010</v>
      </c>
      <c r="L35" s="49">
        <v>133</v>
      </c>
      <c r="M35" s="49">
        <v>0</v>
      </c>
      <c r="N35" s="45">
        <f t="shared" si="14"/>
        <v>291877</v>
      </c>
      <c r="O35" s="49">
        <v>71355</v>
      </c>
      <c r="P35" s="49">
        <v>76379</v>
      </c>
      <c r="Q35" s="49">
        <v>569</v>
      </c>
      <c r="R35" s="49">
        <v>0</v>
      </c>
      <c r="S35" s="45">
        <f t="shared" si="17"/>
        <v>148303</v>
      </c>
      <c r="T35" s="47">
        <v>81849</v>
      </c>
      <c r="U35" s="49">
        <v>64821</v>
      </c>
      <c r="V35" s="49">
        <v>0</v>
      </c>
      <c r="W35" s="49">
        <v>0</v>
      </c>
      <c r="X35" s="45">
        <f t="shared" si="4"/>
        <v>146670</v>
      </c>
      <c r="Y35" s="47">
        <v>81415</v>
      </c>
      <c r="Z35" s="49">
        <v>163708</v>
      </c>
      <c r="AA35" s="49">
        <v>268</v>
      </c>
      <c r="AB35" s="49">
        <v>0</v>
      </c>
      <c r="AC35" s="45">
        <f t="shared" si="5"/>
        <v>245391</v>
      </c>
      <c r="AD35" s="47">
        <v>70428</v>
      </c>
      <c r="AE35" s="49">
        <v>77762</v>
      </c>
      <c r="AF35" s="49">
        <v>34</v>
      </c>
      <c r="AG35" s="49">
        <v>0</v>
      </c>
      <c r="AH35" s="45">
        <f t="shared" si="6"/>
        <v>148224</v>
      </c>
      <c r="AI35" s="47">
        <v>72692</v>
      </c>
      <c r="AJ35" s="49">
        <v>62024</v>
      </c>
      <c r="AK35" s="49">
        <v>49</v>
      </c>
      <c r="AL35" s="49">
        <v>0</v>
      </c>
      <c r="AM35" s="45">
        <f t="shared" si="7"/>
        <v>134765</v>
      </c>
      <c r="AN35" s="47">
        <v>87051</v>
      </c>
      <c r="AO35" s="49">
        <v>62856</v>
      </c>
      <c r="AP35" s="49">
        <v>195</v>
      </c>
      <c r="AQ35" s="49">
        <v>3</v>
      </c>
      <c r="AR35" s="45">
        <f t="shared" si="1"/>
        <v>150105</v>
      </c>
      <c r="AS35" s="47">
        <v>73365</v>
      </c>
      <c r="AT35" s="49">
        <v>55587</v>
      </c>
      <c r="AU35" s="49">
        <v>267</v>
      </c>
      <c r="AV35" s="49">
        <v>70</v>
      </c>
      <c r="AW35" s="45">
        <f t="shared" si="8"/>
        <v>129289</v>
      </c>
      <c r="AX35" s="47">
        <v>84975</v>
      </c>
      <c r="AY35" s="49">
        <v>66619</v>
      </c>
      <c r="AZ35" s="49">
        <v>74</v>
      </c>
      <c r="BA35" s="49">
        <v>0</v>
      </c>
      <c r="BB35" s="45">
        <f t="shared" si="9"/>
        <v>151668</v>
      </c>
      <c r="BC35" s="47">
        <v>88293</v>
      </c>
      <c r="BD35" s="49">
        <v>72994</v>
      </c>
      <c r="BE35" s="49">
        <v>177</v>
      </c>
      <c r="BF35" s="49">
        <v>0</v>
      </c>
      <c r="BG35" s="45">
        <f t="shared" si="10"/>
        <v>161464</v>
      </c>
      <c r="BH35" s="47">
        <v>0</v>
      </c>
      <c r="BI35" s="49">
        <v>0</v>
      </c>
      <c r="BJ35" s="49">
        <v>0</v>
      </c>
      <c r="BK35" s="49">
        <v>0</v>
      </c>
      <c r="BL35" s="45">
        <f t="shared" si="11"/>
        <v>0</v>
      </c>
      <c r="BM35" s="47">
        <v>0</v>
      </c>
      <c r="BN35" s="49">
        <v>0</v>
      </c>
      <c r="BO35" s="49">
        <v>0</v>
      </c>
      <c r="BP35" s="49">
        <v>0</v>
      </c>
      <c r="BQ35" s="45">
        <f t="shared" si="12"/>
        <v>0</v>
      </c>
      <c r="BR35" s="47">
        <f t="shared" si="15"/>
        <v>803157</v>
      </c>
      <c r="BS35" s="330">
        <f t="shared" si="15"/>
        <v>902760</v>
      </c>
      <c r="BT35" s="49">
        <f t="shared" si="15"/>
        <v>1766</v>
      </c>
      <c r="BU35" s="49">
        <f t="shared" si="15"/>
        <v>73</v>
      </c>
      <c r="BV35" s="47">
        <f t="shared" si="2"/>
        <v>1707756</v>
      </c>
      <c r="BW35" s="13"/>
      <c r="BX35" s="268"/>
    </row>
    <row r="36" spans="1:78" x14ac:dyDescent="0.2">
      <c r="A36" s="262">
        <v>30</v>
      </c>
      <c r="B36" s="263" t="s">
        <v>272</v>
      </c>
      <c r="D36" s="264"/>
      <c r="E36" s="329">
        <v>530935</v>
      </c>
      <c r="F36" s="330">
        <v>7513932</v>
      </c>
      <c r="G36" s="330">
        <v>7541</v>
      </c>
      <c r="H36" s="330">
        <v>89</v>
      </c>
      <c r="I36" s="45">
        <f t="shared" si="0"/>
        <v>8052497</v>
      </c>
      <c r="J36" s="47">
        <v>34532</v>
      </c>
      <c r="K36" s="49">
        <v>842756</v>
      </c>
      <c r="L36" s="49">
        <v>3</v>
      </c>
      <c r="M36" s="49">
        <v>0</v>
      </c>
      <c r="N36" s="45">
        <f t="shared" si="14"/>
        <v>877291</v>
      </c>
      <c r="O36" s="49">
        <v>36142</v>
      </c>
      <c r="P36" s="49">
        <v>30668</v>
      </c>
      <c r="Q36" s="49">
        <v>373</v>
      </c>
      <c r="R36" s="49">
        <v>0</v>
      </c>
      <c r="S36" s="45">
        <f t="shared" si="17"/>
        <v>67183</v>
      </c>
      <c r="T36" s="47">
        <v>40271</v>
      </c>
      <c r="U36" s="49">
        <v>225000</v>
      </c>
      <c r="V36" s="49">
        <v>1296</v>
      </c>
      <c r="W36" s="49">
        <v>0</v>
      </c>
      <c r="X36" s="45">
        <f t="shared" si="4"/>
        <v>266567</v>
      </c>
      <c r="Y36" s="47">
        <v>40131</v>
      </c>
      <c r="Z36" s="49">
        <v>744276</v>
      </c>
      <c r="AA36" s="49">
        <v>1178</v>
      </c>
      <c r="AB36" s="49">
        <v>1</v>
      </c>
      <c r="AC36" s="45">
        <f t="shared" si="5"/>
        <v>785586</v>
      </c>
      <c r="AD36" s="47">
        <v>47254</v>
      </c>
      <c r="AE36" s="49">
        <v>1822059</v>
      </c>
      <c r="AF36" s="49">
        <v>2066</v>
      </c>
      <c r="AG36" s="49">
        <v>1</v>
      </c>
      <c r="AH36" s="45">
        <f>SUM(AD36:AG36)</f>
        <v>1871380</v>
      </c>
      <c r="AI36" s="47">
        <v>37249</v>
      </c>
      <c r="AJ36" s="49">
        <v>191665</v>
      </c>
      <c r="AK36" s="49">
        <v>1331</v>
      </c>
      <c r="AL36" s="49">
        <v>7</v>
      </c>
      <c r="AM36" s="45">
        <f t="shared" si="7"/>
        <v>230252</v>
      </c>
      <c r="AN36" s="47">
        <v>44257</v>
      </c>
      <c r="AO36" s="49">
        <v>989373</v>
      </c>
      <c r="AP36" s="49">
        <v>541</v>
      </c>
      <c r="AQ36" s="49">
        <v>0</v>
      </c>
      <c r="AR36" s="45">
        <f t="shared" si="1"/>
        <v>1034171</v>
      </c>
      <c r="AS36" s="47">
        <v>40090</v>
      </c>
      <c r="AT36" s="49">
        <v>934184</v>
      </c>
      <c r="AU36" s="49">
        <v>221</v>
      </c>
      <c r="AV36" s="49">
        <v>19</v>
      </c>
      <c r="AW36" s="45">
        <f t="shared" si="8"/>
        <v>974514</v>
      </c>
      <c r="AX36" s="47">
        <v>50402</v>
      </c>
      <c r="AY36" s="49">
        <v>268026</v>
      </c>
      <c r="AZ36" s="49">
        <v>407</v>
      </c>
      <c r="BA36" s="49">
        <v>3</v>
      </c>
      <c r="BB36" s="45">
        <f t="shared" si="9"/>
        <v>318838</v>
      </c>
      <c r="BC36" s="47">
        <v>60221</v>
      </c>
      <c r="BD36" s="49">
        <v>511200</v>
      </c>
      <c r="BE36" s="49">
        <v>-840</v>
      </c>
      <c r="BF36" s="49">
        <v>0</v>
      </c>
      <c r="BG36" s="45">
        <f t="shared" si="10"/>
        <v>570581</v>
      </c>
      <c r="BH36" s="47">
        <v>0</v>
      </c>
      <c r="BI36" s="49">
        <v>0</v>
      </c>
      <c r="BJ36" s="49">
        <v>0</v>
      </c>
      <c r="BK36" s="49">
        <v>0</v>
      </c>
      <c r="BL36" s="45">
        <f t="shared" si="11"/>
        <v>0</v>
      </c>
      <c r="BM36" s="47">
        <v>0</v>
      </c>
      <c r="BN36" s="49">
        <v>0</v>
      </c>
      <c r="BO36" s="49">
        <v>0</v>
      </c>
      <c r="BP36" s="49">
        <v>0</v>
      </c>
      <c r="BQ36" s="45">
        <f t="shared" si="12"/>
        <v>0</v>
      </c>
      <c r="BR36" s="47">
        <f t="shared" si="15"/>
        <v>430549</v>
      </c>
      <c r="BS36" s="330">
        <f t="shared" si="15"/>
        <v>6559207</v>
      </c>
      <c r="BT36" s="49">
        <f t="shared" si="15"/>
        <v>6576</v>
      </c>
      <c r="BU36" s="49">
        <f t="shared" si="15"/>
        <v>31</v>
      </c>
      <c r="BV36" s="47">
        <f t="shared" si="2"/>
        <v>6996363</v>
      </c>
      <c r="BW36" s="13"/>
      <c r="BX36" s="268"/>
      <c r="BZ36" s="49"/>
    </row>
    <row r="37" spans="1:78" x14ac:dyDescent="0.2">
      <c r="A37" s="262">
        <v>31</v>
      </c>
      <c r="B37" s="240" t="s">
        <v>223</v>
      </c>
      <c r="D37" s="276"/>
      <c r="E37" s="329">
        <v>198825</v>
      </c>
      <c r="F37" s="330">
        <v>2025730</v>
      </c>
      <c r="G37" s="330">
        <v>4224</v>
      </c>
      <c r="H37" s="330">
        <v>0</v>
      </c>
      <c r="I37" s="45">
        <f t="shared" si="0"/>
        <v>2228779</v>
      </c>
      <c r="J37" s="47">
        <v>15388</v>
      </c>
      <c r="K37" s="49">
        <v>13938</v>
      </c>
      <c r="L37" s="49">
        <v>72</v>
      </c>
      <c r="M37" s="49">
        <v>0</v>
      </c>
      <c r="N37" s="45">
        <f t="shared" si="14"/>
        <v>29398</v>
      </c>
      <c r="O37" s="49">
        <v>16666</v>
      </c>
      <c r="P37" s="49">
        <v>219455</v>
      </c>
      <c r="Q37" s="49">
        <v>307</v>
      </c>
      <c r="R37" s="49">
        <v>0</v>
      </c>
      <c r="S37" s="45">
        <f t="shared" si="17"/>
        <v>236428</v>
      </c>
      <c r="T37" s="47">
        <v>15258</v>
      </c>
      <c r="U37" s="49">
        <v>105476</v>
      </c>
      <c r="V37" s="49">
        <v>221</v>
      </c>
      <c r="W37" s="49">
        <v>0</v>
      </c>
      <c r="X37" s="45">
        <f t="shared" si="4"/>
        <v>120955</v>
      </c>
      <c r="Y37" s="47">
        <v>16077</v>
      </c>
      <c r="Z37" s="49">
        <v>94055</v>
      </c>
      <c r="AA37" s="49">
        <v>258</v>
      </c>
      <c r="AB37" s="49">
        <v>0</v>
      </c>
      <c r="AC37" s="45">
        <f t="shared" si="5"/>
        <v>110390</v>
      </c>
      <c r="AD37" s="47">
        <v>16832</v>
      </c>
      <c r="AE37" s="49">
        <v>87256</v>
      </c>
      <c r="AF37" s="49">
        <v>236</v>
      </c>
      <c r="AG37" s="49">
        <v>0</v>
      </c>
      <c r="AH37" s="45">
        <f t="shared" si="6"/>
        <v>104324</v>
      </c>
      <c r="AI37" s="47">
        <v>17925</v>
      </c>
      <c r="AJ37" s="49">
        <v>286705</v>
      </c>
      <c r="AK37" s="49">
        <v>455</v>
      </c>
      <c r="AL37" s="49">
        <v>0</v>
      </c>
      <c r="AM37" s="45">
        <f t="shared" si="7"/>
        <v>305085</v>
      </c>
      <c r="AN37" s="47">
        <v>17846</v>
      </c>
      <c r="AO37" s="49">
        <v>109300</v>
      </c>
      <c r="AP37" s="49">
        <v>229</v>
      </c>
      <c r="AQ37" s="49">
        <v>0</v>
      </c>
      <c r="AR37" s="45">
        <f t="shared" si="1"/>
        <v>127375</v>
      </c>
      <c r="AS37" s="47">
        <v>16164</v>
      </c>
      <c r="AT37" s="49">
        <v>668565</v>
      </c>
      <c r="AU37" s="49">
        <v>299</v>
      </c>
      <c r="AV37" s="49">
        <v>0</v>
      </c>
      <c r="AW37" s="45">
        <f t="shared" si="8"/>
        <v>685028</v>
      </c>
      <c r="AX37" s="47">
        <v>16490</v>
      </c>
      <c r="AY37" s="49">
        <v>125650</v>
      </c>
      <c r="AZ37" s="49">
        <v>111</v>
      </c>
      <c r="BA37" s="49">
        <v>0</v>
      </c>
      <c r="BB37" s="45">
        <f t="shared" si="9"/>
        <v>142251</v>
      </c>
      <c r="BC37" s="47">
        <v>14092</v>
      </c>
      <c r="BD37" s="49">
        <v>90173</v>
      </c>
      <c r="BE37" s="49">
        <v>210</v>
      </c>
      <c r="BF37" s="49">
        <v>0</v>
      </c>
      <c r="BG37" s="45">
        <f t="shared" si="10"/>
        <v>104475</v>
      </c>
      <c r="BH37" s="47">
        <v>0</v>
      </c>
      <c r="BI37" s="49">
        <v>0</v>
      </c>
      <c r="BJ37" s="49">
        <v>0</v>
      </c>
      <c r="BK37" s="49">
        <v>0</v>
      </c>
      <c r="BL37" s="45">
        <f t="shared" si="11"/>
        <v>0</v>
      </c>
      <c r="BM37" s="47">
        <v>0</v>
      </c>
      <c r="BN37" s="49">
        <v>0</v>
      </c>
      <c r="BO37" s="49">
        <v>0</v>
      </c>
      <c r="BP37" s="49">
        <v>0</v>
      </c>
      <c r="BQ37" s="45">
        <f t="shared" si="12"/>
        <v>0</v>
      </c>
      <c r="BR37" s="47">
        <f t="shared" si="15"/>
        <v>162738</v>
      </c>
      <c r="BS37" s="330">
        <f t="shared" si="15"/>
        <v>1800573</v>
      </c>
      <c r="BT37" s="49">
        <f t="shared" si="15"/>
        <v>2398</v>
      </c>
      <c r="BU37" s="49">
        <f t="shared" si="15"/>
        <v>0</v>
      </c>
      <c r="BV37" s="47">
        <f t="shared" si="2"/>
        <v>1965709</v>
      </c>
      <c r="BW37" s="13"/>
      <c r="BX37" s="268"/>
      <c r="BZ37" s="49"/>
    </row>
    <row r="38" spans="1:78" x14ac:dyDescent="0.2">
      <c r="A38" s="262">
        <v>32</v>
      </c>
      <c r="B38" s="240" t="s">
        <v>273</v>
      </c>
      <c r="D38" s="264"/>
      <c r="E38" s="329">
        <v>561330</v>
      </c>
      <c r="F38" s="330">
        <v>1052672</v>
      </c>
      <c r="G38" s="330">
        <v>6881</v>
      </c>
      <c r="H38" s="330">
        <v>1</v>
      </c>
      <c r="I38" s="45">
        <f t="shared" si="0"/>
        <v>1620884</v>
      </c>
      <c r="J38" s="47">
        <v>27245</v>
      </c>
      <c r="K38" s="49">
        <v>218820</v>
      </c>
      <c r="L38" s="49">
        <v>944</v>
      </c>
      <c r="M38" s="49">
        <v>0</v>
      </c>
      <c r="N38" s="45">
        <f t="shared" si="14"/>
        <v>247009</v>
      </c>
      <c r="O38" s="49">
        <v>32341</v>
      </c>
      <c r="P38" s="49">
        <v>112743</v>
      </c>
      <c r="Q38" s="49">
        <v>204</v>
      </c>
      <c r="R38" s="49">
        <v>0</v>
      </c>
      <c r="S38" s="45">
        <f t="shared" si="17"/>
        <v>145288</v>
      </c>
      <c r="T38" s="47">
        <v>22715</v>
      </c>
      <c r="U38" s="49">
        <v>25790</v>
      </c>
      <c r="V38" s="49">
        <v>4</v>
      </c>
      <c r="W38" s="49">
        <v>0</v>
      </c>
      <c r="X38" s="45">
        <f t="shared" si="4"/>
        <v>48509</v>
      </c>
      <c r="Y38" s="47">
        <v>27493</v>
      </c>
      <c r="Z38" s="49">
        <v>241509</v>
      </c>
      <c r="AA38" s="49">
        <v>381</v>
      </c>
      <c r="AB38" s="49">
        <v>0</v>
      </c>
      <c r="AC38" s="45">
        <f t="shared" si="5"/>
        <v>269383</v>
      </c>
      <c r="AD38" s="47">
        <v>25967</v>
      </c>
      <c r="AE38" s="49">
        <v>342</v>
      </c>
      <c r="AF38" s="49">
        <v>84</v>
      </c>
      <c r="AG38" s="49">
        <v>0</v>
      </c>
      <c r="AH38" s="45">
        <f t="shared" si="6"/>
        <v>26393</v>
      </c>
      <c r="AI38" s="47">
        <v>24845</v>
      </c>
      <c r="AJ38" s="49">
        <v>247</v>
      </c>
      <c r="AK38" s="49">
        <v>148</v>
      </c>
      <c r="AL38" s="49">
        <v>0</v>
      </c>
      <c r="AM38" s="45">
        <f t="shared" si="7"/>
        <v>25240</v>
      </c>
      <c r="AN38" s="47">
        <v>26673</v>
      </c>
      <c r="AO38" s="49">
        <v>207509</v>
      </c>
      <c r="AP38" s="49">
        <v>361</v>
      </c>
      <c r="AQ38" s="49">
        <v>0</v>
      </c>
      <c r="AR38" s="45">
        <f t="shared" si="1"/>
        <v>234543</v>
      </c>
      <c r="AS38" s="47">
        <v>31686</v>
      </c>
      <c r="AT38" s="49">
        <v>88</v>
      </c>
      <c r="AU38" s="49">
        <v>82</v>
      </c>
      <c r="AV38" s="49">
        <v>1</v>
      </c>
      <c r="AW38" s="45">
        <f t="shared" si="8"/>
        <v>31857</v>
      </c>
      <c r="AX38" s="47">
        <v>25445</v>
      </c>
      <c r="AY38" s="49">
        <v>6687</v>
      </c>
      <c r="AZ38" s="49">
        <v>254</v>
      </c>
      <c r="BA38" s="49">
        <v>0</v>
      </c>
      <c r="BB38" s="45">
        <f t="shared" si="9"/>
        <v>32386</v>
      </c>
      <c r="BC38" s="47">
        <v>89340</v>
      </c>
      <c r="BD38" s="49">
        <v>214444</v>
      </c>
      <c r="BE38" s="49">
        <v>1142</v>
      </c>
      <c r="BF38" s="49">
        <v>0</v>
      </c>
      <c r="BG38" s="45">
        <f t="shared" si="10"/>
        <v>304926</v>
      </c>
      <c r="BH38" s="47">
        <v>0</v>
      </c>
      <c r="BI38" s="49">
        <v>0</v>
      </c>
      <c r="BJ38" s="49">
        <v>0</v>
      </c>
      <c r="BK38" s="49">
        <v>0</v>
      </c>
      <c r="BL38" s="45">
        <f t="shared" si="11"/>
        <v>0</v>
      </c>
      <c r="BM38" s="47">
        <v>0</v>
      </c>
      <c r="BN38" s="49">
        <v>0</v>
      </c>
      <c r="BO38" s="49">
        <v>0</v>
      </c>
      <c r="BP38" s="49">
        <v>0</v>
      </c>
      <c r="BQ38" s="45">
        <f t="shared" si="12"/>
        <v>0</v>
      </c>
      <c r="BR38" s="47">
        <f t="shared" si="15"/>
        <v>333750</v>
      </c>
      <c r="BS38" s="330">
        <f t="shared" si="15"/>
        <v>1028179</v>
      </c>
      <c r="BT38" s="49">
        <f t="shared" si="15"/>
        <v>3604</v>
      </c>
      <c r="BU38" s="49">
        <f t="shared" si="15"/>
        <v>1</v>
      </c>
      <c r="BV38" s="47">
        <f t="shared" si="2"/>
        <v>1365534</v>
      </c>
      <c r="BW38" s="13"/>
      <c r="BX38" s="268"/>
      <c r="BZ38" s="49"/>
    </row>
    <row r="39" spans="1:78" x14ac:dyDescent="0.2">
      <c r="A39" s="262">
        <v>33</v>
      </c>
      <c r="B39" s="263" t="s">
        <v>225</v>
      </c>
      <c r="D39" s="264"/>
      <c r="E39" s="329">
        <v>864723</v>
      </c>
      <c r="F39" s="330">
        <v>1499202</v>
      </c>
      <c r="G39" s="330">
        <v>20035</v>
      </c>
      <c r="H39" s="330">
        <v>432</v>
      </c>
      <c r="I39" s="45">
        <f t="shared" si="0"/>
        <v>2384392</v>
      </c>
      <c r="J39" s="47">
        <v>44361</v>
      </c>
      <c r="K39" s="49">
        <v>996606</v>
      </c>
      <c r="L39" s="49">
        <v>406</v>
      </c>
      <c r="M39" s="49">
        <v>7</v>
      </c>
      <c r="N39" s="45">
        <f>SUM(J39:M39)</f>
        <v>1041380</v>
      </c>
      <c r="O39" s="49">
        <v>64944</v>
      </c>
      <c r="P39" s="49">
        <v>14664</v>
      </c>
      <c r="Q39" s="49">
        <v>5626</v>
      </c>
      <c r="R39" s="49">
        <v>0</v>
      </c>
      <c r="S39" s="45">
        <f>SUM(O39:R39)</f>
        <v>85234</v>
      </c>
      <c r="T39" s="47">
        <v>37975</v>
      </c>
      <c r="U39" s="49">
        <v>11382</v>
      </c>
      <c r="V39" s="49">
        <v>-2692</v>
      </c>
      <c r="W39" s="49">
        <v>0</v>
      </c>
      <c r="X39" s="45">
        <f t="shared" si="4"/>
        <v>46665</v>
      </c>
      <c r="Y39" s="47">
        <v>92749</v>
      </c>
      <c r="Z39" s="49">
        <v>68112</v>
      </c>
      <c r="AA39" s="49">
        <v>751</v>
      </c>
      <c r="AB39" s="49">
        <v>84</v>
      </c>
      <c r="AC39" s="45">
        <f t="shared" si="5"/>
        <v>161696</v>
      </c>
      <c r="AD39" s="47">
        <v>73183</v>
      </c>
      <c r="AE39" s="49">
        <v>882</v>
      </c>
      <c r="AF39" s="49">
        <v>252</v>
      </c>
      <c r="AG39" s="49">
        <v>0</v>
      </c>
      <c r="AH39" s="45">
        <f>SUM(AD39:AG39)</f>
        <v>74317</v>
      </c>
      <c r="AI39" s="47">
        <v>69083</v>
      </c>
      <c r="AJ39" s="49">
        <v>5568</v>
      </c>
      <c r="AK39" s="49">
        <v>585</v>
      </c>
      <c r="AL39" s="49">
        <v>0</v>
      </c>
      <c r="AM39" s="45">
        <f t="shared" si="7"/>
        <v>75236</v>
      </c>
      <c r="AN39" s="47">
        <v>87047</v>
      </c>
      <c r="AO39" s="49">
        <v>86232</v>
      </c>
      <c r="AP39" s="49">
        <v>8938</v>
      </c>
      <c r="AQ39" s="49">
        <v>0</v>
      </c>
      <c r="AR39" s="45">
        <f t="shared" si="1"/>
        <v>182217</v>
      </c>
      <c r="AS39" s="47">
        <v>70269</v>
      </c>
      <c r="AT39" s="49">
        <v>16648</v>
      </c>
      <c r="AU39" s="49">
        <v>399</v>
      </c>
      <c r="AV39" s="49">
        <v>0</v>
      </c>
      <c r="AW39" s="45">
        <f t="shared" si="8"/>
        <v>87316</v>
      </c>
      <c r="AX39" s="47">
        <v>66781</v>
      </c>
      <c r="AY39" s="49">
        <v>40172</v>
      </c>
      <c r="AZ39" s="49">
        <v>637</v>
      </c>
      <c r="BA39" s="49">
        <v>0</v>
      </c>
      <c r="BB39" s="45">
        <f t="shared" si="9"/>
        <v>107590</v>
      </c>
      <c r="BC39" s="47">
        <v>37961</v>
      </c>
      <c r="BD39" s="49">
        <v>86572</v>
      </c>
      <c r="BE39" s="49">
        <v>599</v>
      </c>
      <c r="BF39" s="49">
        <v>0</v>
      </c>
      <c r="BG39" s="45">
        <f t="shared" si="10"/>
        <v>125132</v>
      </c>
      <c r="BH39" s="47">
        <v>0</v>
      </c>
      <c r="BI39" s="49">
        <v>0</v>
      </c>
      <c r="BJ39" s="49">
        <v>0</v>
      </c>
      <c r="BK39" s="49">
        <v>0</v>
      </c>
      <c r="BL39" s="45">
        <f t="shared" si="11"/>
        <v>0</v>
      </c>
      <c r="BM39" s="47">
        <v>0</v>
      </c>
      <c r="BN39" s="49">
        <v>0</v>
      </c>
      <c r="BO39" s="49">
        <v>0</v>
      </c>
      <c r="BP39" s="49">
        <v>0</v>
      </c>
      <c r="BQ39" s="45">
        <f t="shared" si="12"/>
        <v>0</v>
      </c>
      <c r="BR39" s="47">
        <f t="shared" si="15"/>
        <v>644353</v>
      </c>
      <c r="BS39" s="330">
        <f t="shared" si="15"/>
        <v>1326838</v>
      </c>
      <c r="BT39" s="49">
        <f t="shared" si="15"/>
        <v>15501</v>
      </c>
      <c r="BU39" s="49">
        <f t="shared" si="15"/>
        <v>91</v>
      </c>
      <c r="BV39" s="47">
        <f>SUM(BR39:BU39)</f>
        <v>1986783</v>
      </c>
      <c r="BW39" s="13"/>
      <c r="BX39" s="268"/>
      <c r="BZ39" s="49"/>
    </row>
    <row r="40" spans="1:78" ht="12" customHeight="1" x14ac:dyDescent="0.2">
      <c r="A40" s="262">
        <v>34</v>
      </c>
      <c r="B40" s="240" t="s">
        <v>274</v>
      </c>
      <c r="D40" s="264"/>
      <c r="E40" s="329">
        <v>1684263</v>
      </c>
      <c r="F40" s="330">
        <v>8259005</v>
      </c>
      <c r="G40" s="330">
        <v>11817</v>
      </c>
      <c r="H40" s="330">
        <v>14521</v>
      </c>
      <c r="I40" s="45">
        <f t="shared" si="0"/>
        <v>9969606</v>
      </c>
      <c r="J40" s="47">
        <v>114852</v>
      </c>
      <c r="K40" s="49">
        <v>1113915</v>
      </c>
      <c r="L40" s="49">
        <v>0</v>
      </c>
      <c r="M40" s="49">
        <v>0</v>
      </c>
      <c r="N40" s="45">
        <f t="shared" si="14"/>
        <v>1228767</v>
      </c>
      <c r="O40" s="49">
        <v>132340</v>
      </c>
      <c r="P40" s="49">
        <v>365422</v>
      </c>
      <c r="Q40" s="49">
        <v>509</v>
      </c>
      <c r="R40" s="49">
        <v>0</v>
      </c>
      <c r="S40" s="45">
        <f t="shared" si="17"/>
        <v>498271</v>
      </c>
      <c r="T40" s="47">
        <v>129816</v>
      </c>
      <c r="U40" s="49">
        <v>672401</v>
      </c>
      <c r="V40" s="49">
        <v>14</v>
      </c>
      <c r="W40" s="49">
        <v>3</v>
      </c>
      <c r="X40" s="45">
        <f t="shared" si="4"/>
        <v>802234</v>
      </c>
      <c r="Y40" s="47">
        <v>141324</v>
      </c>
      <c r="Z40" s="49">
        <v>705406</v>
      </c>
      <c r="AA40" s="49">
        <v>163</v>
      </c>
      <c r="AB40" s="49">
        <v>0</v>
      </c>
      <c r="AC40" s="45">
        <f t="shared" si="5"/>
        <v>846893</v>
      </c>
      <c r="AD40" s="47">
        <v>130851</v>
      </c>
      <c r="AE40" s="49">
        <v>328117</v>
      </c>
      <c r="AF40" s="49">
        <v>-52</v>
      </c>
      <c r="AG40" s="49">
        <v>0</v>
      </c>
      <c r="AH40" s="45">
        <f t="shared" si="6"/>
        <v>458916</v>
      </c>
      <c r="AI40" s="47">
        <v>123023</v>
      </c>
      <c r="AJ40" s="49">
        <v>399167</v>
      </c>
      <c r="AK40" s="49">
        <v>27</v>
      </c>
      <c r="AL40" s="49">
        <v>0</v>
      </c>
      <c r="AM40" s="45">
        <f t="shared" si="7"/>
        <v>522217</v>
      </c>
      <c r="AN40" s="47">
        <v>154894</v>
      </c>
      <c r="AO40" s="49">
        <v>202814</v>
      </c>
      <c r="AP40" s="49">
        <v>20</v>
      </c>
      <c r="AQ40" s="49">
        <v>0</v>
      </c>
      <c r="AR40" s="45">
        <f t="shared" si="1"/>
        <v>357728</v>
      </c>
      <c r="AS40" s="47">
        <v>150695</v>
      </c>
      <c r="AT40" s="49">
        <v>347296</v>
      </c>
      <c r="AU40" s="49">
        <v>8329</v>
      </c>
      <c r="AV40" s="49">
        <v>0</v>
      </c>
      <c r="AW40" s="45">
        <f t="shared" si="8"/>
        <v>506320</v>
      </c>
      <c r="AX40" s="47">
        <v>128092</v>
      </c>
      <c r="AY40" s="49">
        <v>830909</v>
      </c>
      <c r="AZ40" s="49">
        <v>884</v>
      </c>
      <c r="BA40" s="49">
        <v>0</v>
      </c>
      <c r="BB40" s="45">
        <f t="shared" si="9"/>
        <v>959885</v>
      </c>
      <c r="BC40" s="47">
        <v>136518</v>
      </c>
      <c r="BD40" s="49">
        <v>725871</v>
      </c>
      <c r="BE40" s="49">
        <v>362</v>
      </c>
      <c r="BF40" s="49">
        <v>0</v>
      </c>
      <c r="BG40" s="45">
        <f t="shared" si="10"/>
        <v>862751</v>
      </c>
      <c r="BH40" s="47">
        <v>0</v>
      </c>
      <c r="BI40" s="49">
        <v>0</v>
      </c>
      <c r="BJ40" s="49">
        <v>0</v>
      </c>
      <c r="BK40" s="49">
        <v>0</v>
      </c>
      <c r="BL40" s="45">
        <f t="shared" si="11"/>
        <v>0</v>
      </c>
      <c r="BM40" s="47">
        <v>0</v>
      </c>
      <c r="BN40" s="49">
        <v>0</v>
      </c>
      <c r="BO40" s="49">
        <v>0</v>
      </c>
      <c r="BP40" s="49">
        <v>0</v>
      </c>
      <c r="BQ40" s="45">
        <f t="shared" si="12"/>
        <v>0</v>
      </c>
      <c r="BR40" s="47">
        <f t="shared" si="15"/>
        <v>1342405</v>
      </c>
      <c r="BS40" s="330">
        <f t="shared" si="15"/>
        <v>5691318</v>
      </c>
      <c r="BT40" s="49">
        <f t="shared" si="15"/>
        <v>10256</v>
      </c>
      <c r="BU40" s="49">
        <f t="shared" si="15"/>
        <v>3</v>
      </c>
      <c r="BV40" s="47">
        <f t="shared" si="2"/>
        <v>7043982</v>
      </c>
      <c r="BW40" s="13"/>
      <c r="BX40" s="268"/>
      <c r="BZ40" s="49"/>
    </row>
    <row r="41" spans="1:78" x14ac:dyDescent="0.2">
      <c r="A41" s="262">
        <v>35</v>
      </c>
      <c r="B41" s="263" t="s">
        <v>227</v>
      </c>
      <c r="D41" s="264"/>
      <c r="E41" s="329">
        <v>1348297</v>
      </c>
      <c r="F41" s="330">
        <f>62515214-2614</f>
        <v>62512600</v>
      </c>
      <c r="G41" s="330">
        <v>21367</v>
      </c>
      <c r="H41" s="330">
        <v>6347</v>
      </c>
      <c r="I41" s="45">
        <f t="shared" si="0"/>
        <v>63888611</v>
      </c>
      <c r="J41" s="47">
        <v>51047</v>
      </c>
      <c r="K41" s="49">
        <v>2750093</v>
      </c>
      <c r="L41" s="49">
        <v>79</v>
      </c>
      <c r="M41" s="49">
        <v>0</v>
      </c>
      <c r="N41" s="45">
        <f t="shared" si="14"/>
        <v>2801219</v>
      </c>
      <c r="O41" s="49">
        <v>83842</v>
      </c>
      <c r="P41" s="49">
        <v>7264640</v>
      </c>
      <c r="Q41" s="49">
        <v>997</v>
      </c>
      <c r="R41" s="49">
        <v>25</v>
      </c>
      <c r="S41" s="45">
        <f t="shared" si="17"/>
        <v>7349504</v>
      </c>
      <c r="T41" s="47">
        <v>99081</v>
      </c>
      <c r="U41" s="49">
        <v>2940710</v>
      </c>
      <c r="V41" s="49">
        <v>294</v>
      </c>
      <c r="W41" s="49">
        <v>0</v>
      </c>
      <c r="X41" s="45">
        <f t="shared" si="4"/>
        <v>3040085</v>
      </c>
      <c r="Y41" s="47">
        <v>71867</v>
      </c>
      <c r="Z41" s="49">
        <v>8264971</v>
      </c>
      <c r="AA41" s="49">
        <v>1115</v>
      </c>
      <c r="AB41" s="49">
        <v>2</v>
      </c>
      <c r="AC41" s="45">
        <f t="shared" si="5"/>
        <v>8337955</v>
      </c>
      <c r="AD41" s="47">
        <v>105110</v>
      </c>
      <c r="AE41" s="49">
        <v>5682722</v>
      </c>
      <c r="AF41" s="49">
        <v>1352</v>
      </c>
      <c r="AG41" s="49">
        <v>8</v>
      </c>
      <c r="AH41" s="45">
        <f>SUM(AD41:AG41)</f>
        <v>5789192</v>
      </c>
      <c r="AI41" s="47">
        <v>66056</v>
      </c>
      <c r="AJ41" s="49">
        <v>2687767</v>
      </c>
      <c r="AK41" s="49">
        <v>1125</v>
      </c>
      <c r="AL41" s="49">
        <v>0</v>
      </c>
      <c r="AM41" s="45">
        <f t="shared" si="7"/>
        <v>2754948</v>
      </c>
      <c r="AN41" s="47">
        <v>79589</v>
      </c>
      <c r="AO41" s="49">
        <v>7792822</v>
      </c>
      <c r="AP41" s="49">
        <v>1162</v>
      </c>
      <c r="AQ41" s="49">
        <v>9</v>
      </c>
      <c r="AR41" s="45">
        <f t="shared" si="1"/>
        <v>7873582</v>
      </c>
      <c r="AS41" s="47">
        <v>106392</v>
      </c>
      <c r="AT41" s="49">
        <v>7469428</v>
      </c>
      <c r="AU41" s="49">
        <v>1000</v>
      </c>
      <c r="AV41" s="49">
        <v>0</v>
      </c>
      <c r="AW41" s="45">
        <f t="shared" si="8"/>
        <v>7576820</v>
      </c>
      <c r="AX41" s="47">
        <v>111324</v>
      </c>
      <c r="AY41" s="49">
        <v>2538602</v>
      </c>
      <c r="AZ41" s="49">
        <v>916</v>
      </c>
      <c r="BA41" s="49">
        <v>0</v>
      </c>
      <c r="BB41" s="45">
        <f t="shared" si="9"/>
        <v>2650842</v>
      </c>
      <c r="BC41" s="47">
        <v>47154</v>
      </c>
      <c r="BD41" s="49">
        <v>7997184</v>
      </c>
      <c r="BE41" s="49">
        <v>504</v>
      </c>
      <c r="BF41" s="49">
        <v>3</v>
      </c>
      <c r="BG41" s="45">
        <f t="shared" si="10"/>
        <v>8044845</v>
      </c>
      <c r="BH41" s="47">
        <v>0</v>
      </c>
      <c r="BI41" s="49">
        <v>0</v>
      </c>
      <c r="BJ41" s="49">
        <v>0</v>
      </c>
      <c r="BK41" s="49">
        <v>0</v>
      </c>
      <c r="BL41" s="45">
        <f t="shared" si="11"/>
        <v>0</v>
      </c>
      <c r="BM41" s="47">
        <v>0</v>
      </c>
      <c r="BN41" s="49">
        <v>0</v>
      </c>
      <c r="BO41" s="49">
        <v>0</v>
      </c>
      <c r="BP41" s="49">
        <v>0</v>
      </c>
      <c r="BQ41" s="45">
        <f t="shared" si="12"/>
        <v>0</v>
      </c>
      <c r="BR41" s="47">
        <f t="shared" si="15"/>
        <v>821462</v>
      </c>
      <c r="BS41" s="330">
        <f t="shared" si="15"/>
        <v>55388939</v>
      </c>
      <c r="BT41" s="49">
        <f t="shared" si="15"/>
        <v>8544</v>
      </c>
      <c r="BU41" s="49">
        <f t="shared" si="15"/>
        <v>47</v>
      </c>
      <c r="BV41" s="47">
        <f t="shared" si="2"/>
        <v>56218992</v>
      </c>
      <c r="BW41" s="13"/>
      <c r="BX41" s="268"/>
      <c r="BZ41" s="49"/>
    </row>
    <row r="42" spans="1:78" x14ac:dyDescent="0.2">
      <c r="A42" s="262">
        <v>36</v>
      </c>
      <c r="B42" s="263" t="s">
        <v>228</v>
      </c>
      <c r="D42" s="264"/>
      <c r="E42" s="329">
        <v>3705515</v>
      </c>
      <c r="F42" s="330">
        <v>9116654</v>
      </c>
      <c r="G42" s="330">
        <v>2394699</v>
      </c>
      <c r="H42" s="330">
        <v>738</v>
      </c>
      <c r="I42" s="45">
        <f t="shared" si="0"/>
        <v>15217606</v>
      </c>
      <c r="J42" s="47">
        <v>222359</v>
      </c>
      <c r="K42" s="49">
        <v>823699</v>
      </c>
      <c r="L42" s="49">
        <v>72483</v>
      </c>
      <c r="M42" s="49">
        <v>484</v>
      </c>
      <c r="N42" s="45">
        <f t="shared" si="14"/>
        <v>1119025</v>
      </c>
      <c r="O42" s="49">
        <v>259052</v>
      </c>
      <c r="P42" s="49">
        <v>10820</v>
      </c>
      <c r="Q42" s="49">
        <v>95915</v>
      </c>
      <c r="R42" s="49">
        <v>6</v>
      </c>
      <c r="S42" s="45">
        <f t="shared" si="17"/>
        <v>365793</v>
      </c>
      <c r="T42" s="47">
        <v>252724</v>
      </c>
      <c r="U42" s="49">
        <v>778268</v>
      </c>
      <c r="V42" s="49">
        <v>68287</v>
      </c>
      <c r="W42" s="49">
        <v>0</v>
      </c>
      <c r="X42" s="45">
        <f t="shared" si="4"/>
        <v>1099279</v>
      </c>
      <c r="Y42" s="47">
        <v>260129</v>
      </c>
      <c r="Z42" s="49">
        <v>8357</v>
      </c>
      <c r="AA42" s="49">
        <v>97860</v>
      </c>
      <c r="AB42" s="49">
        <v>248</v>
      </c>
      <c r="AC42" s="45">
        <f t="shared" si="5"/>
        <v>366594</v>
      </c>
      <c r="AD42" s="47">
        <v>180163</v>
      </c>
      <c r="AE42" s="49">
        <v>1327367</v>
      </c>
      <c r="AF42" s="49">
        <v>104408</v>
      </c>
      <c r="AG42" s="49">
        <v>0</v>
      </c>
      <c r="AH42" s="45">
        <f t="shared" si="6"/>
        <v>1611938</v>
      </c>
      <c r="AI42" s="47">
        <v>287128</v>
      </c>
      <c r="AJ42" s="49">
        <v>971322</v>
      </c>
      <c r="AK42" s="49">
        <v>299821</v>
      </c>
      <c r="AL42" s="49">
        <v>0</v>
      </c>
      <c r="AM42" s="45">
        <f t="shared" si="7"/>
        <v>1558271</v>
      </c>
      <c r="AN42" s="47">
        <v>300175</v>
      </c>
      <c r="AO42" s="49">
        <v>2542</v>
      </c>
      <c r="AP42" s="49">
        <v>85189</v>
      </c>
      <c r="AQ42" s="49">
        <v>0</v>
      </c>
      <c r="AR42" s="45">
        <f t="shared" si="1"/>
        <v>387906</v>
      </c>
      <c r="AS42" s="47">
        <v>225707</v>
      </c>
      <c r="AT42" s="49">
        <v>1418814</v>
      </c>
      <c r="AU42" s="49">
        <v>90390</v>
      </c>
      <c r="AV42" s="49">
        <v>0</v>
      </c>
      <c r="AW42" s="45">
        <f t="shared" si="8"/>
        <v>1734911</v>
      </c>
      <c r="AX42" s="47">
        <v>277464</v>
      </c>
      <c r="AY42" s="49">
        <v>930242</v>
      </c>
      <c r="AZ42" s="49">
        <v>287536</v>
      </c>
      <c r="BA42" s="49">
        <v>0</v>
      </c>
      <c r="BB42" s="45">
        <f t="shared" si="9"/>
        <v>1495242</v>
      </c>
      <c r="BC42" s="47">
        <v>301817</v>
      </c>
      <c r="BD42" s="49">
        <v>-42073</v>
      </c>
      <c r="BE42" s="49">
        <v>135285</v>
      </c>
      <c r="BF42" s="49">
        <v>0</v>
      </c>
      <c r="BG42" s="45">
        <f t="shared" si="10"/>
        <v>395029</v>
      </c>
      <c r="BH42" s="47">
        <v>0</v>
      </c>
      <c r="BI42" s="49">
        <v>0</v>
      </c>
      <c r="BJ42" s="49">
        <v>0</v>
      </c>
      <c r="BK42" s="49">
        <v>0</v>
      </c>
      <c r="BL42" s="45">
        <f t="shared" si="11"/>
        <v>0</v>
      </c>
      <c r="BM42" s="47">
        <v>0</v>
      </c>
      <c r="BN42" s="49">
        <v>0</v>
      </c>
      <c r="BO42" s="49">
        <v>0</v>
      </c>
      <c r="BP42" s="49">
        <v>0</v>
      </c>
      <c r="BQ42" s="45">
        <f t="shared" si="12"/>
        <v>0</v>
      </c>
      <c r="BR42" s="47">
        <f t="shared" si="15"/>
        <v>2566718</v>
      </c>
      <c r="BS42" s="330">
        <f t="shared" si="15"/>
        <v>6229358</v>
      </c>
      <c r="BT42" s="49">
        <f t="shared" si="15"/>
        <v>1337174</v>
      </c>
      <c r="BU42" s="49">
        <f t="shared" si="15"/>
        <v>738</v>
      </c>
      <c r="BV42" s="47">
        <f t="shared" si="2"/>
        <v>10133988</v>
      </c>
      <c r="BW42" s="13"/>
      <c r="BX42" s="268"/>
      <c r="BZ42" s="49"/>
    </row>
    <row r="43" spans="1:78" x14ac:dyDescent="0.2">
      <c r="A43" s="262">
        <v>37</v>
      </c>
      <c r="B43" s="263" t="s">
        <v>275</v>
      </c>
      <c r="D43" s="264"/>
      <c r="E43" s="329">
        <v>673523</v>
      </c>
      <c r="F43" s="330">
        <v>3624491</v>
      </c>
      <c r="G43" s="330">
        <v>45804</v>
      </c>
      <c r="H43" s="330">
        <v>749</v>
      </c>
      <c r="I43" s="45">
        <f t="shared" si="0"/>
        <v>4344567</v>
      </c>
      <c r="J43" s="47">
        <v>52549</v>
      </c>
      <c r="K43" s="49">
        <v>686320</v>
      </c>
      <c r="L43" s="49">
        <v>370</v>
      </c>
      <c r="M43" s="49">
        <v>0</v>
      </c>
      <c r="N43" s="45">
        <f t="shared" si="14"/>
        <v>739239</v>
      </c>
      <c r="O43" s="49">
        <v>58639</v>
      </c>
      <c r="P43" s="49">
        <v>41198</v>
      </c>
      <c r="Q43" s="49">
        <v>23502</v>
      </c>
      <c r="R43" s="49">
        <v>0</v>
      </c>
      <c r="S43" s="45">
        <f t="shared" si="17"/>
        <v>123339</v>
      </c>
      <c r="T43" s="47">
        <v>55510</v>
      </c>
      <c r="U43" s="49">
        <v>23937</v>
      </c>
      <c r="V43" s="49">
        <v>1516</v>
      </c>
      <c r="W43" s="49">
        <v>0</v>
      </c>
      <c r="X43" s="45">
        <f t="shared" si="4"/>
        <v>80963</v>
      </c>
      <c r="Y43" s="47">
        <v>46245</v>
      </c>
      <c r="Z43" s="49">
        <v>652664</v>
      </c>
      <c r="AA43" s="49">
        <v>1730</v>
      </c>
      <c r="AB43" s="49">
        <v>0</v>
      </c>
      <c r="AC43" s="45">
        <f t="shared" si="5"/>
        <v>700639</v>
      </c>
      <c r="AD43" s="47">
        <v>50163</v>
      </c>
      <c r="AE43" s="49">
        <v>262113</v>
      </c>
      <c r="AF43" s="49">
        <v>2050</v>
      </c>
      <c r="AG43" s="49">
        <v>23</v>
      </c>
      <c r="AH43" s="45">
        <f t="shared" si="6"/>
        <v>314349</v>
      </c>
      <c r="AI43" s="47">
        <v>47288</v>
      </c>
      <c r="AJ43" s="49">
        <v>26454</v>
      </c>
      <c r="AK43" s="49">
        <v>157</v>
      </c>
      <c r="AL43" s="49">
        <v>7</v>
      </c>
      <c r="AM43" s="45">
        <f t="shared" si="7"/>
        <v>73906</v>
      </c>
      <c r="AN43" s="47">
        <v>48652</v>
      </c>
      <c r="AO43" s="49">
        <v>937143</v>
      </c>
      <c r="AP43" s="49">
        <v>8274</v>
      </c>
      <c r="AQ43" s="49">
        <v>25</v>
      </c>
      <c r="AR43" s="45">
        <f t="shared" si="1"/>
        <v>994094</v>
      </c>
      <c r="AS43" s="47">
        <v>51293</v>
      </c>
      <c r="AT43" s="49">
        <v>-1867</v>
      </c>
      <c r="AU43" s="49">
        <v>0</v>
      </c>
      <c r="AV43" s="49">
        <v>36</v>
      </c>
      <c r="AW43" s="45">
        <f t="shared" si="8"/>
        <v>49462</v>
      </c>
      <c r="AX43" s="47">
        <v>51534</v>
      </c>
      <c r="AY43" s="49">
        <v>47131</v>
      </c>
      <c r="AZ43" s="49">
        <v>3677</v>
      </c>
      <c r="BA43" s="49">
        <v>20</v>
      </c>
      <c r="BB43" s="45">
        <f t="shared" si="9"/>
        <v>102362</v>
      </c>
      <c r="BC43" s="47">
        <v>28534</v>
      </c>
      <c r="BD43" s="49">
        <v>696476</v>
      </c>
      <c r="BE43" s="49">
        <v>-333</v>
      </c>
      <c r="BF43" s="49">
        <v>500</v>
      </c>
      <c r="BG43" s="45">
        <f t="shared" si="10"/>
        <v>725177</v>
      </c>
      <c r="BH43" s="47">
        <v>0</v>
      </c>
      <c r="BI43" s="49">
        <v>0</v>
      </c>
      <c r="BJ43" s="49">
        <v>0</v>
      </c>
      <c r="BK43" s="49">
        <v>0</v>
      </c>
      <c r="BL43" s="45">
        <f t="shared" si="11"/>
        <v>0</v>
      </c>
      <c r="BM43" s="47">
        <v>0</v>
      </c>
      <c r="BN43" s="49">
        <v>0</v>
      </c>
      <c r="BO43" s="49">
        <v>0</v>
      </c>
      <c r="BP43" s="49">
        <v>0</v>
      </c>
      <c r="BQ43" s="45">
        <f>SUM(BM43:BP43)</f>
        <v>0</v>
      </c>
      <c r="BR43" s="47">
        <f t="shared" si="15"/>
        <v>490407</v>
      </c>
      <c r="BS43" s="330">
        <f t="shared" si="15"/>
        <v>3371569</v>
      </c>
      <c r="BT43" s="49">
        <f t="shared" si="15"/>
        <v>40943</v>
      </c>
      <c r="BU43" s="49">
        <f t="shared" si="15"/>
        <v>611</v>
      </c>
      <c r="BV43" s="47">
        <f>SUM(BR43:BU43)</f>
        <v>3903530</v>
      </c>
      <c r="BW43" s="13"/>
      <c r="BX43" s="268"/>
      <c r="BZ43" s="49"/>
    </row>
    <row r="44" spans="1:78" x14ac:dyDescent="0.2">
      <c r="A44" s="262">
        <v>38</v>
      </c>
      <c r="B44" s="263" t="s">
        <v>220</v>
      </c>
      <c r="D44" s="264"/>
      <c r="E44" s="329">
        <v>729375</v>
      </c>
      <c r="F44" s="330">
        <v>32560142</v>
      </c>
      <c r="G44" s="330">
        <v>5872</v>
      </c>
      <c r="H44" s="330">
        <v>50164</v>
      </c>
      <c r="I44" s="45">
        <f t="shared" si="0"/>
        <v>33345553</v>
      </c>
      <c r="J44" s="47">
        <v>48090</v>
      </c>
      <c r="K44" s="49">
        <v>970151</v>
      </c>
      <c r="L44" s="49">
        <v>958</v>
      </c>
      <c r="M44" s="49">
        <v>0</v>
      </c>
      <c r="N44" s="45">
        <f t="shared" si="14"/>
        <v>1019199</v>
      </c>
      <c r="O44" s="49">
        <v>60539</v>
      </c>
      <c r="P44" s="49">
        <v>1909703</v>
      </c>
      <c r="Q44" s="49">
        <v>153</v>
      </c>
      <c r="R44" s="49">
        <v>50071</v>
      </c>
      <c r="S44" s="45">
        <f t="shared" si="17"/>
        <v>2020466</v>
      </c>
      <c r="T44" s="47">
        <v>49155</v>
      </c>
      <c r="U44" s="49">
        <v>2014353</v>
      </c>
      <c r="V44" s="49">
        <v>232</v>
      </c>
      <c r="W44" s="49">
        <v>0</v>
      </c>
      <c r="X44" s="45">
        <f t="shared" si="4"/>
        <v>2063740</v>
      </c>
      <c r="Y44" s="47">
        <v>57857</v>
      </c>
      <c r="Z44" s="49">
        <v>4310160</v>
      </c>
      <c r="AA44" s="49">
        <v>294</v>
      </c>
      <c r="AB44" s="49">
        <v>34</v>
      </c>
      <c r="AC44" s="45">
        <f t="shared" si="5"/>
        <v>4368345</v>
      </c>
      <c r="AD44" s="47">
        <v>50992</v>
      </c>
      <c r="AE44" s="49">
        <v>1653962</v>
      </c>
      <c r="AF44" s="49">
        <v>335</v>
      </c>
      <c r="AG44" s="49">
        <v>37</v>
      </c>
      <c r="AH44" s="45">
        <f t="shared" si="6"/>
        <v>1705326</v>
      </c>
      <c r="AI44" s="47">
        <v>53384</v>
      </c>
      <c r="AJ44" s="49">
        <v>1726776</v>
      </c>
      <c r="AK44" s="49">
        <v>637</v>
      </c>
      <c r="AL44" s="49">
        <v>0</v>
      </c>
      <c r="AM44" s="45">
        <f t="shared" si="7"/>
        <v>1780797</v>
      </c>
      <c r="AN44" s="47">
        <v>66299</v>
      </c>
      <c r="AO44" s="49">
        <v>1694115</v>
      </c>
      <c r="AP44" s="49">
        <v>461</v>
      </c>
      <c r="AQ44" s="49">
        <v>0</v>
      </c>
      <c r="AR44" s="45">
        <f t="shared" si="1"/>
        <v>1760875</v>
      </c>
      <c r="AS44" s="47">
        <v>62564</v>
      </c>
      <c r="AT44" s="49">
        <v>3795088</v>
      </c>
      <c r="AU44" s="49">
        <v>602</v>
      </c>
      <c r="AV44" s="49">
        <v>18</v>
      </c>
      <c r="AW44" s="45">
        <f t="shared" si="8"/>
        <v>3858272</v>
      </c>
      <c r="AX44" s="47">
        <v>63331</v>
      </c>
      <c r="AY44" s="49">
        <v>2384210</v>
      </c>
      <c r="AZ44" s="49">
        <v>204</v>
      </c>
      <c r="BA44" s="49">
        <v>0</v>
      </c>
      <c r="BB44" s="45">
        <f t="shared" si="9"/>
        <v>2447745</v>
      </c>
      <c r="BC44" s="47">
        <v>50149</v>
      </c>
      <c r="BD44" s="49">
        <v>1621300</v>
      </c>
      <c r="BE44" s="49">
        <v>437</v>
      </c>
      <c r="BF44" s="49">
        <v>2</v>
      </c>
      <c r="BG44" s="45">
        <f t="shared" si="10"/>
        <v>1671888</v>
      </c>
      <c r="BH44" s="47">
        <v>0</v>
      </c>
      <c r="BI44" s="49">
        <v>0</v>
      </c>
      <c r="BJ44" s="49">
        <v>0</v>
      </c>
      <c r="BK44" s="49">
        <v>0</v>
      </c>
      <c r="BL44" s="45">
        <f t="shared" si="11"/>
        <v>0</v>
      </c>
      <c r="BM44" s="47">
        <v>0</v>
      </c>
      <c r="BN44" s="49">
        <v>0</v>
      </c>
      <c r="BO44" s="49">
        <v>0</v>
      </c>
      <c r="BP44" s="49">
        <v>0</v>
      </c>
      <c r="BQ44" s="45">
        <f>SUM(BM44:BP44)</f>
        <v>0</v>
      </c>
      <c r="BR44" s="47">
        <f t="shared" si="15"/>
        <v>562360</v>
      </c>
      <c r="BS44" s="330">
        <f t="shared" si="15"/>
        <v>22079818</v>
      </c>
      <c r="BT44" s="49">
        <f t="shared" si="15"/>
        <v>4313</v>
      </c>
      <c r="BU44" s="49">
        <f t="shared" si="15"/>
        <v>50162</v>
      </c>
      <c r="BV44" s="47">
        <f t="shared" si="2"/>
        <v>22696653</v>
      </c>
      <c r="BW44" s="13"/>
      <c r="BX44" s="268"/>
      <c r="BZ44" s="49"/>
    </row>
    <row r="45" spans="1:78" x14ac:dyDescent="0.2">
      <c r="A45" s="262">
        <v>39</v>
      </c>
      <c r="B45" s="263" t="s">
        <v>276</v>
      </c>
      <c r="D45" s="264"/>
      <c r="E45" s="329">
        <v>6510457</v>
      </c>
      <c r="F45" s="330">
        <v>3533838</v>
      </c>
      <c r="G45" s="330">
        <v>761272</v>
      </c>
      <c r="H45" s="330">
        <v>7260</v>
      </c>
      <c r="I45" s="45">
        <f t="shared" si="0"/>
        <v>10812827</v>
      </c>
      <c r="J45" s="47">
        <v>295601</v>
      </c>
      <c r="K45" s="49">
        <v>816400</v>
      </c>
      <c r="L45" s="49">
        <v>19695</v>
      </c>
      <c r="M45" s="49">
        <v>0</v>
      </c>
      <c r="N45" s="45">
        <f t="shared" si="14"/>
        <v>1131696</v>
      </c>
      <c r="O45" s="49">
        <v>348996</v>
      </c>
      <c r="P45" s="49">
        <v>216624</v>
      </c>
      <c r="Q45" s="49">
        <v>31997</v>
      </c>
      <c r="R45" s="49">
        <v>0</v>
      </c>
      <c r="S45" s="45">
        <f t="shared" si="17"/>
        <v>597617</v>
      </c>
      <c r="T45" s="47">
        <v>295796</v>
      </c>
      <c r="U45" s="49">
        <v>141884</v>
      </c>
      <c r="V45" s="49">
        <v>38590</v>
      </c>
      <c r="W45" s="49">
        <v>0</v>
      </c>
      <c r="X45" s="45">
        <f t="shared" si="4"/>
        <v>476270</v>
      </c>
      <c r="Y45" s="47">
        <v>410097</v>
      </c>
      <c r="Z45" s="49">
        <v>606567</v>
      </c>
      <c r="AA45" s="49">
        <v>53873</v>
      </c>
      <c r="AB45" s="49">
        <v>0</v>
      </c>
      <c r="AC45" s="45">
        <f t="shared" si="5"/>
        <v>1070537</v>
      </c>
      <c r="AD45" s="47">
        <v>362701</v>
      </c>
      <c r="AE45" s="49">
        <v>220199</v>
      </c>
      <c r="AF45" s="49">
        <v>32348</v>
      </c>
      <c r="AG45" s="49">
        <v>53</v>
      </c>
      <c r="AH45" s="45">
        <f t="shared" si="6"/>
        <v>615301</v>
      </c>
      <c r="AI45" s="47">
        <v>372929</v>
      </c>
      <c r="AJ45" s="49">
        <v>76154</v>
      </c>
      <c r="AK45" s="49">
        <v>43177</v>
      </c>
      <c r="AL45" s="49">
        <v>0</v>
      </c>
      <c r="AM45" s="45">
        <f t="shared" si="7"/>
        <v>492260</v>
      </c>
      <c r="AN45" s="47">
        <v>417005</v>
      </c>
      <c r="AO45" s="49">
        <v>576839</v>
      </c>
      <c r="AP45" s="49">
        <v>51461</v>
      </c>
      <c r="AQ45" s="49">
        <v>-53</v>
      </c>
      <c r="AR45" s="45">
        <f t="shared" si="1"/>
        <v>1045252</v>
      </c>
      <c r="AS45" s="47">
        <v>363675</v>
      </c>
      <c r="AT45" s="49">
        <v>318348</v>
      </c>
      <c r="AU45" s="49">
        <v>53318</v>
      </c>
      <c r="AV45" s="49">
        <v>0</v>
      </c>
      <c r="AW45" s="45">
        <f t="shared" si="8"/>
        <v>735341</v>
      </c>
      <c r="AX45" s="47">
        <v>351868</v>
      </c>
      <c r="AY45" s="49">
        <v>758984</v>
      </c>
      <c r="AZ45" s="49">
        <v>150127</v>
      </c>
      <c r="BA45" s="49">
        <v>0</v>
      </c>
      <c r="BB45" s="45">
        <f t="shared" si="9"/>
        <v>1260979</v>
      </c>
      <c r="BC45" s="47">
        <v>368472</v>
      </c>
      <c r="BD45" s="49">
        <v>536133</v>
      </c>
      <c r="BE45" s="49">
        <v>4007</v>
      </c>
      <c r="BF45" s="49">
        <v>0</v>
      </c>
      <c r="BG45" s="45">
        <f t="shared" si="10"/>
        <v>908612</v>
      </c>
      <c r="BH45" s="47">
        <v>0</v>
      </c>
      <c r="BI45" s="49">
        <v>0</v>
      </c>
      <c r="BJ45" s="49">
        <v>0</v>
      </c>
      <c r="BK45" s="49">
        <v>0</v>
      </c>
      <c r="BL45" s="45">
        <f t="shared" si="11"/>
        <v>0</v>
      </c>
      <c r="BM45" s="47">
        <v>0</v>
      </c>
      <c r="BN45" s="49">
        <v>0</v>
      </c>
      <c r="BO45" s="49">
        <v>0</v>
      </c>
      <c r="BP45" s="49">
        <v>0</v>
      </c>
      <c r="BQ45" s="45">
        <f t="shared" si="12"/>
        <v>0</v>
      </c>
      <c r="BR45" s="47">
        <f t="shared" si="15"/>
        <v>3587140</v>
      </c>
      <c r="BS45" s="330">
        <f t="shared" si="15"/>
        <v>4268132</v>
      </c>
      <c r="BT45" s="49">
        <f t="shared" si="15"/>
        <v>478593</v>
      </c>
      <c r="BU45" s="49">
        <f t="shared" si="15"/>
        <v>0</v>
      </c>
      <c r="BV45" s="47">
        <f t="shared" si="2"/>
        <v>8333865</v>
      </c>
      <c r="BW45" s="13"/>
      <c r="BX45" s="268"/>
      <c r="BZ45" s="49"/>
    </row>
    <row r="46" spans="1:78" x14ac:dyDescent="0.2">
      <c r="A46" s="299">
        <v>40</v>
      </c>
      <c r="B46" s="332" t="s">
        <v>277</v>
      </c>
      <c r="C46" s="332"/>
      <c r="D46" s="281"/>
      <c r="E46" s="329">
        <v>265281</v>
      </c>
      <c r="F46" s="330">
        <v>855647</v>
      </c>
      <c r="G46" s="330">
        <v>2927</v>
      </c>
      <c r="H46" s="330">
        <v>93</v>
      </c>
      <c r="I46" s="45">
        <f t="shared" si="0"/>
        <v>1123948</v>
      </c>
      <c r="J46" s="47">
        <v>16922</v>
      </c>
      <c r="K46" s="49">
        <v>6459</v>
      </c>
      <c r="L46" s="49">
        <v>95</v>
      </c>
      <c r="M46" s="49">
        <v>0</v>
      </c>
      <c r="N46" s="45">
        <f t="shared" si="14"/>
        <v>23476</v>
      </c>
      <c r="O46" s="49">
        <v>19126</v>
      </c>
      <c r="P46" s="49">
        <v>196</v>
      </c>
      <c r="Q46" s="49">
        <v>26</v>
      </c>
      <c r="R46" s="49">
        <v>0</v>
      </c>
      <c r="S46" s="45">
        <f t="shared" si="17"/>
        <v>19348</v>
      </c>
      <c r="T46" s="47">
        <v>18356</v>
      </c>
      <c r="U46" s="49">
        <v>159594</v>
      </c>
      <c r="V46" s="49">
        <v>179</v>
      </c>
      <c r="W46" s="49">
        <v>0</v>
      </c>
      <c r="X46" s="45">
        <f t="shared" si="4"/>
        <v>178129</v>
      </c>
      <c r="Y46" s="47">
        <v>13452</v>
      </c>
      <c r="Z46" s="49">
        <v>208</v>
      </c>
      <c r="AA46" s="49">
        <v>44</v>
      </c>
      <c r="AB46" s="49">
        <v>0</v>
      </c>
      <c r="AC46" s="45">
        <f t="shared" si="5"/>
        <v>13704</v>
      </c>
      <c r="AD46" s="47">
        <v>34106</v>
      </c>
      <c r="AE46" s="49">
        <v>30178</v>
      </c>
      <c r="AF46" s="49">
        <v>3</v>
      </c>
      <c r="AG46" s="49">
        <v>0</v>
      </c>
      <c r="AH46" s="45">
        <f t="shared" si="6"/>
        <v>64287</v>
      </c>
      <c r="AI46" s="47">
        <v>12358</v>
      </c>
      <c r="AJ46" s="49">
        <v>191887</v>
      </c>
      <c r="AK46" s="49">
        <v>27</v>
      </c>
      <c r="AL46" s="49">
        <v>0</v>
      </c>
      <c r="AM46" s="45">
        <f t="shared" si="7"/>
        <v>204272</v>
      </c>
      <c r="AN46" s="47">
        <v>44994</v>
      </c>
      <c r="AO46" s="49">
        <v>69808</v>
      </c>
      <c r="AP46" s="49">
        <v>0</v>
      </c>
      <c r="AQ46" s="49">
        <v>0</v>
      </c>
      <c r="AR46" s="45">
        <f>SUM(AN46:AQ46)</f>
        <v>114802</v>
      </c>
      <c r="AS46" s="47">
        <v>37657</v>
      </c>
      <c r="AT46" s="49">
        <v>249515</v>
      </c>
      <c r="AU46" s="49">
        <v>490</v>
      </c>
      <c r="AV46" s="49">
        <v>0</v>
      </c>
      <c r="AW46" s="45">
        <f t="shared" si="8"/>
        <v>287662</v>
      </c>
      <c r="AX46" s="47">
        <v>24936</v>
      </c>
      <c r="AY46" s="49">
        <v>10398</v>
      </c>
      <c r="AZ46" s="49">
        <v>31</v>
      </c>
      <c r="BA46" s="49">
        <v>0</v>
      </c>
      <c r="BB46" s="45">
        <f t="shared" si="9"/>
        <v>35365</v>
      </c>
      <c r="BC46" s="47">
        <v>13234</v>
      </c>
      <c r="BD46" s="49">
        <v>38565</v>
      </c>
      <c r="BE46" s="49">
        <v>722</v>
      </c>
      <c r="BF46" s="49">
        <v>35</v>
      </c>
      <c r="BG46" s="45">
        <f t="shared" si="10"/>
        <v>52556</v>
      </c>
      <c r="BH46" s="47">
        <v>0</v>
      </c>
      <c r="BI46" s="49">
        <v>0</v>
      </c>
      <c r="BJ46" s="49">
        <v>0</v>
      </c>
      <c r="BK46" s="49">
        <v>0</v>
      </c>
      <c r="BL46" s="45">
        <f t="shared" si="11"/>
        <v>0</v>
      </c>
      <c r="BM46" s="47">
        <v>0</v>
      </c>
      <c r="BN46" s="49">
        <v>0</v>
      </c>
      <c r="BO46" s="333">
        <v>0</v>
      </c>
      <c r="BP46" s="49">
        <v>0</v>
      </c>
      <c r="BQ46" s="45">
        <f t="shared" si="12"/>
        <v>0</v>
      </c>
      <c r="BR46" s="47">
        <f t="shared" si="15"/>
        <v>235141</v>
      </c>
      <c r="BS46" s="330">
        <f t="shared" si="15"/>
        <v>756808</v>
      </c>
      <c r="BT46" s="49">
        <f t="shared" si="15"/>
        <v>1617</v>
      </c>
      <c r="BU46" s="49">
        <f t="shared" si="15"/>
        <v>35</v>
      </c>
      <c r="BV46" s="47">
        <f t="shared" si="2"/>
        <v>993601</v>
      </c>
      <c r="BW46" s="13"/>
      <c r="BX46" s="268"/>
      <c r="BZ46" s="49"/>
    </row>
    <row r="47" spans="1:78" x14ac:dyDescent="0.2">
      <c r="A47" s="334" t="s">
        <v>229</v>
      </c>
      <c r="B47" s="263"/>
      <c r="D47" s="282"/>
      <c r="E47" s="42">
        <f t="shared" ref="E47:J47" si="18">SUM(E7:E46)</f>
        <v>243798853</v>
      </c>
      <c r="F47" s="41">
        <f t="shared" si="18"/>
        <v>624608366</v>
      </c>
      <c r="G47" s="41">
        <f t="shared" si="18"/>
        <v>12204523</v>
      </c>
      <c r="H47" s="41">
        <f t="shared" si="18"/>
        <v>64518506</v>
      </c>
      <c r="I47" s="21">
        <f t="shared" si="18"/>
        <v>945130248</v>
      </c>
      <c r="J47" s="42">
        <f t="shared" si="18"/>
        <v>17419897</v>
      </c>
      <c r="K47" s="41">
        <f>SUM(K7:K46)</f>
        <v>58376647</v>
      </c>
      <c r="L47" s="41">
        <f t="shared" ref="L47:AB47" si="19">SUM(L7:L46)</f>
        <v>362073</v>
      </c>
      <c r="M47" s="41">
        <f t="shared" si="19"/>
        <v>2125</v>
      </c>
      <c r="N47" s="21">
        <f>SUM(N7:N46)</f>
        <v>76160742</v>
      </c>
      <c r="O47" s="41">
        <f>SUM(O7:O46)</f>
        <v>18816680</v>
      </c>
      <c r="P47" s="41">
        <f t="shared" si="19"/>
        <v>46735572</v>
      </c>
      <c r="Q47" s="41">
        <f t="shared" si="19"/>
        <v>582691</v>
      </c>
      <c r="R47" s="41">
        <f t="shared" si="19"/>
        <v>51556</v>
      </c>
      <c r="S47" s="21">
        <f>SUM(S7:S46)</f>
        <v>66186499</v>
      </c>
      <c r="T47" s="42">
        <f t="shared" si="19"/>
        <v>18927123</v>
      </c>
      <c r="U47" s="41">
        <f t="shared" si="19"/>
        <v>40054108</v>
      </c>
      <c r="V47" s="41">
        <f t="shared" si="19"/>
        <v>553754</v>
      </c>
      <c r="W47" s="41">
        <f t="shared" si="19"/>
        <v>-30</v>
      </c>
      <c r="X47" s="21">
        <f>SUM(X7:X46)</f>
        <v>59534955</v>
      </c>
      <c r="Y47" s="42">
        <f t="shared" si="19"/>
        <v>20136950</v>
      </c>
      <c r="Z47" s="41">
        <f t="shared" si="19"/>
        <v>80697705</v>
      </c>
      <c r="AA47" s="41">
        <f t="shared" si="19"/>
        <v>714762</v>
      </c>
      <c r="AB47" s="41">
        <f t="shared" si="19"/>
        <v>2447</v>
      </c>
      <c r="AC47" s="21">
        <f>SUM(AC7:AC46)</f>
        <v>101551864</v>
      </c>
      <c r="AD47" s="42">
        <f t="shared" ref="AD47:AL47" si="20">SUM(AD7:AD46)</f>
        <v>19206769</v>
      </c>
      <c r="AE47" s="41">
        <f t="shared" si="20"/>
        <v>50967096</v>
      </c>
      <c r="AF47" s="41">
        <f t="shared" si="20"/>
        <v>844913</v>
      </c>
      <c r="AG47" s="41">
        <f t="shared" si="20"/>
        <v>2116</v>
      </c>
      <c r="AH47" s="21">
        <f>SUM(AH7:AH46)</f>
        <v>71020894</v>
      </c>
      <c r="AI47" s="42">
        <f t="shared" si="20"/>
        <v>19341077</v>
      </c>
      <c r="AJ47" s="41">
        <f t="shared" si="20"/>
        <v>33901185</v>
      </c>
      <c r="AK47" s="41">
        <f t="shared" si="20"/>
        <v>853464</v>
      </c>
      <c r="AL47" s="41">
        <f t="shared" si="20"/>
        <v>13502173</v>
      </c>
      <c r="AM47" s="21">
        <f t="shared" ref="AM47:AV47" si="21">SUM(AM7:AM46)</f>
        <v>67597899</v>
      </c>
      <c r="AN47" s="42">
        <f>SUM(AN7:AN46)</f>
        <v>20488885</v>
      </c>
      <c r="AO47" s="41">
        <f>SUM(AO7:AO46)</f>
        <v>54427618</v>
      </c>
      <c r="AP47" s="41">
        <f>SUM(AP7:AP46)</f>
        <v>670997</v>
      </c>
      <c r="AQ47" s="41">
        <f>SUM(AQ7:AQ46)</f>
        <v>1514</v>
      </c>
      <c r="AR47" s="21">
        <f>SUM(AR7:AR46)</f>
        <v>75589014</v>
      </c>
      <c r="AS47" s="42">
        <f t="shared" si="21"/>
        <v>19784022</v>
      </c>
      <c r="AT47" s="41">
        <f t="shared" si="21"/>
        <v>43850096</v>
      </c>
      <c r="AU47" s="41">
        <f t="shared" si="21"/>
        <v>737799</v>
      </c>
      <c r="AV47" s="41">
        <f t="shared" si="21"/>
        <v>10145</v>
      </c>
      <c r="AW47" s="21">
        <f t="shared" ref="AW47:BU47" si="22">SUM(AW7:AW46)</f>
        <v>64382062</v>
      </c>
      <c r="AX47" s="42">
        <f>SUM(AX7:AX46)</f>
        <v>19695531</v>
      </c>
      <c r="AY47" s="41">
        <f t="shared" si="22"/>
        <v>54421109</v>
      </c>
      <c r="AZ47" s="41">
        <f t="shared" si="22"/>
        <v>1572655</v>
      </c>
      <c r="BA47" s="41">
        <f t="shared" si="22"/>
        <v>17274933</v>
      </c>
      <c r="BB47" s="21">
        <f>SUM(BB7:BB46)</f>
        <v>92964228</v>
      </c>
      <c r="BC47" s="42">
        <f t="shared" si="22"/>
        <v>19481922</v>
      </c>
      <c r="BD47" s="41">
        <f t="shared" si="22"/>
        <v>45649125</v>
      </c>
      <c r="BE47" s="41">
        <f t="shared" si="22"/>
        <v>896488</v>
      </c>
      <c r="BF47" s="41">
        <f>SUM(BF7:BF46)</f>
        <v>9707626</v>
      </c>
      <c r="BG47" s="21">
        <f>SUM(BG7:BG46)</f>
        <v>75735161</v>
      </c>
      <c r="BH47" s="42">
        <f t="shared" si="22"/>
        <v>0</v>
      </c>
      <c r="BI47" s="41">
        <f t="shared" si="22"/>
        <v>0</v>
      </c>
      <c r="BJ47" s="41">
        <f t="shared" si="22"/>
        <v>0</v>
      </c>
      <c r="BK47" s="41">
        <f t="shared" si="22"/>
        <v>0</v>
      </c>
      <c r="BL47" s="21">
        <f t="shared" si="22"/>
        <v>0</v>
      </c>
      <c r="BM47" s="42">
        <f t="shared" si="22"/>
        <v>0</v>
      </c>
      <c r="BN47" s="41">
        <f t="shared" si="22"/>
        <v>0</v>
      </c>
      <c r="BO47" s="41">
        <f t="shared" si="22"/>
        <v>0</v>
      </c>
      <c r="BP47" s="41">
        <f t="shared" si="22"/>
        <v>0</v>
      </c>
      <c r="BQ47" s="21">
        <f t="shared" si="22"/>
        <v>0</v>
      </c>
      <c r="BR47" s="42">
        <f t="shared" si="22"/>
        <v>193298856</v>
      </c>
      <c r="BS47" s="41">
        <f t="shared" si="22"/>
        <v>509080261</v>
      </c>
      <c r="BT47" s="41">
        <f t="shared" si="22"/>
        <v>7789596</v>
      </c>
      <c r="BU47" s="41">
        <f t="shared" si="22"/>
        <v>40554605</v>
      </c>
      <c r="BV47" s="21">
        <f>SUM(BV7:BV46)</f>
        <v>750723318</v>
      </c>
      <c r="BW47" s="13"/>
      <c r="BX47" s="268"/>
      <c r="BZ47" s="49"/>
    </row>
    <row r="48" spans="1:78" x14ac:dyDescent="0.2">
      <c r="A48" s="284" t="s">
        <v>230</v>
      </c>
      <c r="B48" s="263"/>
      <c r="D48" s="282"/>
      <c r="E48" s="65"/>
      <c r="F48" s="23"/>
      <c r="G48" s="23"/>
      <c r="H48" s="23"/>
      <c r="I48" s="66"/>
      <c r="J48" s="65"/>
      <c r="K48" s="23"/>
      <c r="L48" s="23"/>
      <c r="M48" s="23"/>
      <c r="N48" s="66"/>
      <c r="O48" s="23"/>
      <c r="P48" s="23"/>
      <c r="Q48" s="23"/>
      <c r="R48" s="23"/>
      <c r="S48" s="66"/>
      <c r="T48" s="65"/>
      <c r="U48" s="23"/>
      <c r="V48" s="23"/>
      <c r="W48" s="23"/>
      <c r="X48" s="66"/>
      <c r="Y48" s="65"/>
      <c r="Z48" s="23"/>
      <c r="AA48" s="23"/>
      <c r="AB48" s="23"/>
      <c r="AC48" s="66"/>
      <c r="AD48" s="65"/>
      <c r="AE48" s="23"/>
      <c r="AF48" s="23"/>
      <c r="AG48" s="23"/>
      <c r="AH48" s="66"/>
      <c r="AI48" s="65"/>
      <c r="AJ48" s="23"/>
      <c r="AK48" s="23"/>
      <c r="AL48" s="23"/>
      <c r="AM48" s="66"/>
      <c r="AN48" s="65"/>
      <c r="AO48" s="23"/>
      <c r="AP48" s="23"/>
      <c r="AQ48" s="23"/>
      <c r="AR48" s="66"/>
      <c r="AS48" s="65"/>
      <c r="AT48" s="23"/>
      <c r="AU48" s="23"/>
      <c r="AV48" s="23"/>
      <c r="AW48" s="66"/>
      <c r="AX48" s="65"/>
      <c r="AY48" s="23"/>
      <c r="AZ48" s="23"/>
      <c r="BA48" s="23"/>
      <c r="BB48" s="66"/>
      <c r="BC48" s="65"/>
      <c r="BD48" s="23"/>
      <c r="BE48" s="23"/>
      <c r="BF48" s="23"/>
      <c r="BG48" s="66"/>
      <c r="BH48" s="65"/>
      <c r="BI48" s="23"/>
      <c r="BJ48" s="23"/>
      <c r="BK48" s="23"/>
      <c r="BL48" s="66"/>
      <c r="BM48" s="65"/>
      <c r="BN48" s="23"/>
      <c r="BO48" s="23"/>
      <c r="BP48" s="23"/>
      <c r="BQ48" s="66"/>
      <c r="BR48" s="65"/>
      <c r="BS48" s="23"/>
      <c r="BT48" s="23"/>
      <c r="BU48" s="23"/>
      <c r="BV48" s="66"/>
      <c r="BW48" s="13"/>
      <c r="BX48" s="268"/>
      <c r="BZ48" s="49"/>
    </row>
    <row r="49" spans="1:78" x14ac:dyDescent="0.2">
      <c r="A49" s="259" t="s">
        <v>231</v>
      </c>
      <c r="D49" s="286"/>
      <c r="E49" s="335"/>
      <c r="F49" s="336"/>
      <c r="G49" s="336"/>
      <c r="H49" s="336"/>
      <c r="I49" s="65"/>
      <c r="J49" s="335"/>
      <c r="K49" s="336"/>
      <c r="L49" s="336"/>
      <c r="M49" s="336"/>
      <c r="N49" s="66"/>
      <c r="O49" s="336"/>
      <c r="P49" s="336"/>
      <c r="Q49" s="336"/>
      <c r="R49" s="336"/>
      <c r="S49" s="65"/>
      <c r="T49" s="335"/>
      <c r="U49" s="336"/>
      <c r="V49" s="336"/>
      <c r="W49" s="336"/>
      <c r="X49" s="65"/>
      <c r="Y49" s="335"/>
      <c r="Z49" s="336"/>
      <c r="AA49" s="336"/>
      <c r="AB49" s="336"/>
      <c r="AC49" s="65"/>
      <c r="AD49" s="335"/>
      <c r="AE49" s="336"/>
      <c r="AF49" s="336"/>
      <c r="AG49" s="336"/>
      <c r="AH49" s="65"/>
      <c r="AI49" s="335"/>
      <c r="AJ49" s="336"/>
      <c r="AK49" s="336"/>
      <c r="AL49" s="336"/>
      <c r="AM49" s="65"/>
      <c r="AN49" s="335"/>
      <c r="AO49" s="336"/>
      <c r="AP49" s="336"/>
      <c r="AQ49" s="336"/>
      <c r="AR49" s="65"/>
      <c r="AS49" s="335"/>
      <c r="AT49" s="336"/>
      <c r="AU49" s="336"/>
      <c r="AV49" s="336"/>
      <c r="AW49" s="65"/>
      <c r="AX49" s="335"/>
      <c r="AY49" s="336"/>
      <c r="AZ49" s="336"/>
      <c r="BA49" s="336"/>
      <c r="BB49" s="65"/>
      <c r="BC49" s="335"/>
      <c r="BD49" s="336"/>
      <c r="BE49" s="336"/>
      <c r="BF49" s="336"/>
      <c r="BG49" s="65"/>
      <c r="BH49" s="335"/>
      <c r="BI49" s="336"/>
      <c r="BJ49" s="336"/>
      <c r="BK49" s="336"/>
      <c r="BL49" s="65"/>
      <c r="BM49" s="335"/>
      <c r="BN49" s="336"/>
      <c r="BO49" s="336"/>
      <c r="BP49" s="336"/>
      <c r="BQ49" s="65"/>
      <c r="BR49" s="335"/>
      <c r="BS49" s="336"/>
      <c r="BT49" s="336"/>
      <c r="BU49" s="336"/>
      <c r="BV49" s="65"/>
      <c r="BW49" s="337"/>
      <c r="BX49" s="268"/>
      <c r="BZ49" s="49"/>
    </row>
    <row r="50" spans="1:78" x14ac:dyDescent="0.2">
      <c r="A50" s="262" t="s">
        <v>232</v>
      </c>
      <c r="B50" s="288"/>
      <c r="C50" s="288"/>
      <c r="D50" s="286"/>
      <c r="E50" s="330">
        <v>5708</v>
      </c>
      <c r="F50" s="330">
        <v>0</v>
      </c>
      <c r="G50" s="330">
        <v>0</v>
      </c>
      <c r="H50" s="330">
        <v>0</v>
      </c>
      <c r="I50" s="45">
        <f t="shared" ref="I50:I56" si="23">SUM(E50:H50)</f>
        <v>5708</v>
      </c>
      <c r="J50" s="329">
        <v>475</v>
      </c>
      <c r="K50" s="330">
        <v>0</v>
      </c>
      <c r="L50" s="330">
        <v>0</v>
      </c>
      <c r="M50" s="330">
        <v>0</v>
      </c>
      <c r="N50" s="45">
        <f>SUM(J50:M50)</f>
        <v>475</v>
      </c>
      <c r="O50" s="330">
        <v>475</v>
      </c>
      <c r="P50" s="330">
        <v>0</v>
      </c>
      <c r="Q50" s="330">
        <v>0</v>
      </c>
      <c r="R50" s="330">
        <v>0</v>
      </c>
      <c r="S50" s="45">
        <f>SUM(O50:R50)</f>
        <v>475</v>
      </c>
      <c r="T50" s="330">
        <v>475</v>
      </c>
      <c r="U50" s="330">
        <v>0</v>
      </c>
      <c r="V50" s="330">
        <v>0</v>
      </c>
      <c r="W50" s="330">
        <v>0</v>
      </c>
      <c r="X50" s="45">
        <f>SUM(T50:W50)</f>
        <v>475</v>
      </c>
      <c r="Y50" s="330">
        <v>483</v>
      </c>
      <c r="Z50" s="330">
        <v>0</v>
      </c>
      <c r="AA50" s="330">
        <v>0</v>
      </c>
      <c r="AB50" s="330">
        <v>0</v>
      </c>
      <c r="AC50" s="45">
        <f>SUM(Y50:AB50)</f>
        <v>483</v>
      </c>
      <c r="AD50" s="330">
        <v>475</v>
      </c>
      <c r="AE50" s="330">
        <v>0</v>
      </c>
      <c r="AF50" s="330">
        <v>0</v>
      </c>
      <c r="AG50" s="330">
        <v>0</v>
      </c>
      <c r="AH50" s="45">
        <f>SUM(AD50:AG50)</f>
        <v>475</v>
      </c>
      <c r="AI50" s="330">
        <v>475</v>
      </c>
      <c r="AJ50" s="330">
        <v>0</v>
      </c>
      <c r="AK50" s="330">
        <v>0</v>
      </c>
      <c r="AL50" s="330">
        <v>0</v>
      </c>
      <c r="AM50" s="45">
        <f>SUM(AI50:AL50)</f>
        <v>475</v>
      </c>
      <c r="AN50" s="330">
        <v>499</v>
      </c>
      <c r="AO50" s="330">
        <v>0</v>
      </c>
      <c r="AP50" s="330">
        <v>0</v>
      </c>
      <c r="AQ50" s="330">
        <v>0</v>
      </c>
      <c r="AR50" s="45">
        <f>SUM(AN50:AQ50)</f>
        <v>499</v>
      </c>
      <c r="AS50" s="330">
        <v>475</v>
      </c>
      <c r="AT50" s="330">
        <v>0</v>
      </c>
      <c r="AU50" s="330">
        <v>0</v>
      </c>
      <c r="AV50" s="330">
        <v>0</v>
      </c>
      <c r="AW50" s="45">
        <f>SUM(AS50:AV50)</f>
        <v>475</v>
      </c>
      <c r="AX50" s="330">
        <v>475</v>
      </c>
      <c r="AY50" s="330">
        <v>0</v>
      </c>
      <c r="AZ50" s="330">
        <v>0</v>
      </c>
      <c r="BA50" s="330">
        <v>0</v>
      </c>
      <c r="BB50" s="45">
        <f>SUM(AX50:BA50)</f>
        <v>475</v>
      </c>
      <c r="BC50" s="330">
        <f>475-24</f>
        <v>451</v>
      </c>
      <c r="BD50" s="330">
        <v>0</v>
      </c>
      <c r="BE50" s="330">
        <v>0</v>
      </c>
      <c r="BF50" s="330">
        <v>0</v>
      </c>
      <c r="BG50" s="45">
        <f>SUM(BC50:BF50)</f>
        <v>451</v>
      </c>
      <c r="BH50" s="330">
        <v>0</v>
      </c>
      <c r="BI50" s="330">
        <v>0</v>
      </c>
      <c r="BJ50" s="330">
        <v>0</v>
      </c>
      <c r="BK50" s="330">
        <v>0</v>
      </c>
      <c r="BL50" s="45">
        <f>SUM(BH50:BK50)</f>
        <v>0</v>
      </c>
      <c r="BM50" s="330">
        <v>0</v>
      </c>
      <c r="BN50" s="330">
        <v>0</v>
      </c>
      <c r="BO50" s="330">
        <v>0</v>
      </c>
      <c r="BP50" s="330">
        <v>0</v>
      </c>
      <c r="BQ50" s="45">
        <f>SUM(BM50:BP50)</f>
        <v>0</v>
      </c>
      <c r="BR50" s="330">
        <f t="shared" ref="BR50:BT51" si="24">+J50+O50+T50+Y50+AD50+AI50+AN50+AS50+AX50+BC50+BH50+BM50</f>
        <v>4758</v>
      </c>
      <c r="BS50" s="330">
        <f t="shared" si="24"/>
        <v>0</v>
      </c>
      <c r="BT50" s="330">
        <f t="shared" si="24"/>
        <v>0</v>
      </c>
      <c r="BU50" s="330">
        <f>+M50+R50+W50+AB50+AG50+AL50+AQ50+AV50+BA50+BF50+BK50+BP50</f>
        <v>0</v>
      </c>
      <c r="BV50" s="45">
        <f>SUM(BR50:BU50)</f>
        <v>4758</v>
      </c>
      <c r="BW50" s="13"/>
      <c r="BX50" s="268"/>
      <c r="BZ50" s="49"/>
    </row>
    <row r="51" spans="1:78" x14ac:dyDescent="0.2">
      <c r="A51" s="262" t="s">
        <v>233</v>
      </c>
      <c r="B51" s="288"/>
      <c r="D51" s="282" t="s">
        <v>60</v>
      </c>
      <c r="E51" s="330">
        <v>600518</v>
      </c>
      <c r="F51" s="330">
        <v>0</v>
      </c>
      <c r="G51" s="330">
        <v>0</v>
      </c>
      <c r="H51" s="330">
        <v>0</v>
      </c>
      <c r="I51" s="45">
        <f t="shared" si="23"/>
        <v>600518</v>
      </c>
      <c r="J51" s="329">
        <v>43960</v>
      </c>
      <c r="K51" s="330">
        <v>0</v>
      </c>
      <c r="L51" s="330">
        <v>0</v>
      </c>
      <c r="M51" s="330">
        <v>0</v>
      </c>
      <c r="N51" s="45">
        <f>SUM(J51:M51)</f>
        <v>43960</v>
      </c>
      <c r="O51" s="330">
        <v>43960</v>
      </c>
      <c r="P51" s="330">
        <v>0</v>
      </c>
      <c r="Q51" s="330">
        <v>0</v>
      </c>
      <c r="R51" s="330">
        <v>0</v>
      </c>
      <c r="S51" s="45">
        <f>SUM(O51:R51)</f>
        <v>43960</v>
      </c>
      <c r="T51" s="330">
        <v>43960</v>
      </c>
      <c r="U51" s="330">
        <v>0</v>
      </c>
      <c r="V51" s="330">
        <v>0</v>
      </c>
      <c r="W51" s="330">
        <v>0</v>
      </c>
      <c r="X51" s="45">
        <f>SUM(T51:W51)</f>
        <v>43960</v>
      </c>
      <c r="Y51" s="330">
        <v>103960</v>
      </c>
      <c r="Z51" s="330">
        <v>0</v>
      </c>
      <c r="AA51" s="330">
        <v>0</v>
      </c>
      <c r="AB51" s="330">
        <v>0</v>
      </c>
      <c r="AC51" s="45">
        <f>SUM(Y51:AB51)</f>
        <v>103960</v>
      </c>
      <c r="AD51" s="330">
        <v>103960</v>
      </c>
      <c r="AE51" s="330">
        <v>0</v>
      </c>
      <c r="AF51" s="330">
        <v>0</v>
      </c>
      <c r="AG51" s="330">
        <v>0</v>
      </c>
      <c r="AH51" s="45">
        <f>SUM(AD51:AG51)</f>
        <v>103960</v>
      </c>
      <c r="AI51" s="330">
        <v>43960</v>
      </c>
      <c r="AJ51" s="330">
        <v>0</v>
      </c>
      <c r="AK51" s="330">
        <v>0</v>
      </c>
      <c r="AL51" s="330">
        <v>0</v>
      </c>
      <c r="AM51" s="45">
        <f>SUM(AI51:AL51)</f>
        <v>43960</v>
      </c>
      <c r="AN51" s="330">
        <v>43960</v>
      </c>
      <c r="AO51" s="330">
        <v>0</v>
      </c>
      <c r="AP51" s="330">
        <v>0</v>
      </c>
      <c r="AQ51" s="330">
        <v>0</v>
      </c>
      <c r="AR51" s="45">
        <f>SUM(AN51:AQ51)</f>
        <v>43960</v>
      </c>
      <c r="AS51" s="330">
        <v>43960</v>
      </c>
      <c r="AT51" s="330">
        <v>0</v>
      </c>
      <c r="AU51" s="330">
        <v>0</v>
      </c>
      <c r="AV51" s="330">
        <v>0</v>
      </c>
      <c r="AW51" s="45">
        <f>SUM(AS51:AV51)</f>
        <v>43960</v>
      </c>
      <c r="AX51" s="330">
        <v>43960</v>
      </c>
      <c r="AY51" s="330">
        <v>0</v>
      </c>
      <c r="AZ51" s="330">
        <v>0</v>
      </c>
      <c r="BA51" s="330">
        <v>0</v>
      </c>
      <c r="BB51" s="45">
        <f>SUM(AX51:BA51)</f>
        <v>43960</v>
      </c>
      <c r="BC51" s="330">
        <v>3960</v>
      </c>
      <c r="BD51" s="330">
        <v>0</v>
      </c>
      <c r="BE51" s="330">
        <v>0</v>
      </c>
      <c r="BF51" s="330">
        <v>0</v>
      </c>
      <c r="BG51" s="45">
        <f>SUM(BC51:BF51)</f>
        <v>3960</v>
      </c>
      <c r="BH51" s="330">
        <v>0</v>
      </c>
      <c r="BI51" s="330">
        <v>0</v>
      </c>
      <c r="BJ51" s="330">
        <v>0</v>
      </c>
      <c r="BK51" s="330">
        <v>0</v>
      </c>
      <c r="BL51" s="45">
        <f>SUM(BH51:BK51)</f>
        <v>0</v>
      </c>
      <c r="BM51" s="330">
        <v>0</v>
      </c>
      <c r="BN51" s="330">
        <v>0</v>
      </c>
      <c r="BO51" s="330">
        <v>0</v>
      </c>
      <c r="BP51" s="330">
        <v>0</v>
      </c>
      <c r="BQ51" s="45">
        <f>SUM(BM51:BP51)</f>
        <v>0</v>
      </c>
      <c r="BR51" s="330">
        <f t="shared" si="24"/>
        <v>519600</v>
      </c>
      <c r="BS51" s="330">
        <f t="shared" si="24"/>
        <v>0</v>
      </c>
      <c r="BT51" s="330">
        <f t="shared" si="24"/>
        <v>0</v>
      </c>
      <c r="BU51" s="330">
        <f>+M51+R51+W51+AB51+AG51+AL51+AQ51+AV51+BA51+BF51+BK51+BP51</f>
        <v>0</v>
      </c>
      <c r="BV51" s="45">
        <f>SUM(BR51:BU51)</f>
        <v>519600</v>
      </c>
      <c r="BW51" s="13"/>
      <c r="BX51" s="268"/>
      <c r="BZ51" s="49"/>
    </row>
    <row r="52" spans="1:78" x14ac:dyDescent="0.2">
      <c r="A52" s="262" t="s">
        <v>234</v>
      </c>
      <c r="B52" s="288"/>
      <c r="D52" s="292"/>
      <c r="E52" s="330">
        <f>SUM(E53:E54)</f>
        <v>204769349.69999999</v>
      </c>
      <c r="F52" s="330">
        <v>0</v>
      </c>
      <c r="G52" s="330">
        <v>0</v>
      </c>
      <c r="H52" s="330">
        <v>0</v>
      </c>
      <c r="I52" s="45">
        <f t="shared" ref="I52:X52" si="25">SUM(I53:I54)</f>
        <v>204769349.69999999</v>
      </c>
      <c r="J52" s="329">
        <f t="shared" si="25"/>
        <v>3587887</v>
      </c>
      <c r="K52" s="330">
        <f t="shared" si="25"/>
        <v>0</v>
      </c>
      <c r="L52" s="330">
        <f t="shared" si="25"/>
        <v>0</v>
      </c>
      <c r="M52" s="330">
        <f t="shared" si="25"/>
        <v>0</v>
      </c>
      <c r="N52" s="45">
        <f t="shared" si="25"/>
        <v>3587887</v>
      </c>
      <c r="O52" s="330">
        <f t="shared" si="25"/>
        <v>4274259</v>
      </c>
      <c r="P52" s="330">
        <f t="shared" si="25"/>
        <v>0</v>
      </c>
      <c r="Q52" s="330">
        <f t="shared" si="25"/>
        <v>0</v>
      </c>
      <c r="R52" s="330">
        <f t="shared" si="25"/>
        <v>0</v>
      </c>
      <c r="S52" s="45">
        <f t="shared" si="25"/>
        <v>4274259</v>
      </c>
      <c r="T52" s="330">
        <f t="shared" si="25"/>
        <v>20232557</v>
      </c>
      <c r="U52" s="330">
        <f t="shared" si="25"/>
        <v>0</v>
      </c>
      <c r="V52" s="330">
        <f t="shared" si="25"/>
        <v>0</v>
      </c>
      <c r="W52" s="330">
        <f t="shared" si="25"/>
        <v>0</v>
      </c>
      <c r="X52" s="45">
        <f t="shared" si="25"/>
        <v>20232557</v>
      </c>
      <c r="Y52" s="330">
        <v>27300430</v>
      </c>
      <c r="Z52" s="330">
        <f t="shared" ref="Z52:AH52" si="26">SUM(Z53:Z54)</f>
        <v>0</v>
      </c>
      <c r="AA52" s="330">
        <f t="shared" si="26"/>
        <v>0</v>
      </c>
      <c r="AB52" s="330">
        <f t="shared" si="26"/>
        <v>0</v>
      </c>
      <c r="AC52" s="45">
        <f t="shared" si="26"/>
        <v>27300430</v>
      </c>
      <c r="AD52" s="330">
        <f t="shared" si="26"/>
        <v>27624060</v>
      </c>
      <c r="AE52" s="330">
        <f t="shared" si="26"/>
        <v>0</v>
      </c>
      <c r="AF52" s="330">
        <f t="shared" si="26"/>
        <v>0</v>
      </c>
      <c r="AG52" s="330">
        <f t="shared" si="26"/>
        <v>0</v>
      </c>
      <c r="AH52" s="45">
        <f t="shared" si="26"/>
        <v>27624060</v>
      </c>
      <c r="AI52" s="330">
        <v>16497519</v>
      </c>
      <c r="AJ52" s="330">
        <v>0</v>
      </c>
      <c r="AK52" s="330">
        <v>0</v>
      </c>
      <c r="AL52" s="330">
        <v>0</v>
      </c>
      <c r="AM52" s="45">
        <f>SUM(AM53:AM54)</f>
        <v>16497519</v>
      </c>
      <c r="AN52" s="330">
        <v>4518363</v>
      </c>
      <c r="AO52" s="330">
        <v>0</v>
      </c>
      <c r="AP52" s="330">
        <v>0</v>
      </c>
      <c r="AQ52" s="330">
        <v>0</v>
      </c>
      <c r="AR52" s="45">
        <f t="shared" ref="AR52:BL52" si="27">SUM(AR53:AR54)</f>
        <v>4518363</v>
      </c>
      <c r="AS52" s="330">
        <f t="shared" si="27"/>
        <v>2314875</v>
      </c>
      <c r="AT52" s="330">
        <f t="shared" si="27"/>
        <v>0</v>
      </c>
      <c r="AU52" s="330">
        <f t="shared" si="27"/>
        <v>0</v>
      </c>
      <c r="AV52" s="330">
        <f t="shared" si="27"/>
        <v>0</v>
      </c>
      <c r="AW52" s="45">
        <f t="shared" si="27"/>
        <v>2314875</v>
      </c>
      <c r="AX52" s="330">
        <f t="shared" si="27"/>
        <v>21145008</v>
      </c>
      <c r="AY52" s="330">
        <f t="shared" si="27"/>
        <v>0</v>
      </c>
      <c r="AZ52" s="330">
        <f t="shared" si="27"/>
        <v>0</v>
      </c>
      <c r="BA52" s="330">
        <f t="shared" si="27"/>
        <v>0</v>
      </c>
      <c r="BB52" s="45">
        <f t="shared" si="27"/>
        <v>21145008</v>
      </c>
      <c r="BC52" s="330">
        <f t="shared" si="27"/>
        <v>28808483</v>
      </c>
      <c r="BD52" s="330">
        <f t="shared" si="27"/>
        <v>0</v>
      </c>
      <c r="BE52" s="330">
        <f t="shared" si="27"/>
        <v>0</v>
      </c>
      <c r="BF52" s="330">
        <f t="shared" si="27"/>
        <v>0</v>
      </c>
      <c r="BG52" s="45">
        <f t="shared" si="27"/>
        <v>28808483</v>
      </c>
      <c r="BH52" s="330">
        <f t="shared" si="27"/>
        <v>0</v>
      </c>
      <c r="BI52" s="330">
        <f t="shared" si="27"/>
        <v>0</v>
      </c>
      <c r="BJ52" s="330">
        <f t="shared" si="27"/>
        <v>0</v>
      </c>
      <c r="BK52" s="330">
        <f t="shared" si="27"/>
        <v>0</v>
      </c>
      <c r="BL52" s="45">
        <f t="shared" si="27"/>
        <v>0</v>
      </c>
      <c r="BM52" s="330">
        <v>0</v>
      </c>
      <c r="BN52" s="330">
        <v>0</v>
      </c>
      <c r="BO52" s="330">
        <v>0</v>
      </c>
      <c r="BP52" s="330">
        <v>0</v>
      </c>
      <c r="BQ52" s="45">
        <f t="shared" ref="BQ52:BV52" si="28">SUM(BQ53:BQ54)</f>
        <v>0</v>
      </c>
      <c r="BR52" s="330">
        <f t="shared" si="28"/>
        <v>156303441</v>
      </c>
      <c r="BS52" s="330">
        <f t="shared" si="28"/>
        <v>0</v>
      </c>
      <c r="BT52" s="330">
        <f t="shared" si="28"/>
        <v>0</v>
      </c>
      <c r="BU52" s="330">
        <f t="shared" si="28"/>
        <v>0</v>
      </c>
      <c r="BV52" s="45">
        <f t="shared" si="28"/>
        <v>156303441</v>
      </c>
      <c r="BW52" s="13"/>
      <c r="BX52" s="268"/>
    </row>
    <row r="53" spans="1:78" s="294" customFormat="1" x14ac:dyDescent="0.2">
      <c r="A53" s="293" t="s">
        <v>105</v>
      </c>
      <c r="D53" s="292"/>
      <c r="E53" s="338">
        <v>204620552.25</v>
      </c>
      <c r="F53" s="338">
        <v>0</v>
      </c>
      <c r="G53" s="338">
        <v>0</v>
      </c>
      <c r="H53" s="338">
        <v>0</v>
      </c>
      <c r="I53" s="82">
        <f>SUM(E53:H53)</f>
        <v>204620552.25</v>
      </c>
      <c r="J53" s="339">
        <v>3587571</v>
      </c>
      <c r="K53" s="338">
        <v>0</v>
      </c>
      <c r="L53" s="338">
        <v>0</v>
      </c>
      <c r="M53" s="338">
        <v>0</v>
      </c>
      <c r="N53" s="82">
        <f t="shared" ref="N53:N67" si="29">SUM(J53:M53)</f>
        <v>3587571</v>
      </c>
      <c r="O53" s="338">
        <v>4257039</v>
      </c>
      <c r="P53" s="338">
        <v>0</v>
      </c>
      <c r="Q53" s="338">
        <v>0</v>
      </c>
      <c r="R53" s="338">
        <v>0</v>
      </c>
      <c r="S53" s="82">
        <f t="shared" ref="S53:S67" si="30">SUM(O53:R53)</f>
        <v>4257039</v>
      </c>
      <c r="T53" s="338">
        <v>20232306</v>
      </c>
      <c r="U53" s="338">
        <v>0</v>
      </c>
      <c r="V53" s="338">
        <v>0</v>
      </c>
      <c r="W53" s="338">
        <v>0</v>
      </c>
      <c r="X53" s="82">
        <f t="shared" ref="X53:X67" si="31">SUM(T53:W53)</f>
        <v>20232306</v>
      </c>
      <c r="Y53" s="246">
        <v>27299692.5</v>
      </c>
      <c r="Z53" s="338">
        <v>0</v>
      </c>
      <c r="AA53" s="338">
        <v>0</v>
      </c>
      <c r="AB53" s="338">
        <v>0</v>
      </c>
      <c r="AC53" s="82">
        <f t="shared" ref="AC53:AC67" si="32">SUM(Y53:AB53)</f>
        <v>27299692.5</v>
      </c>
      <c r="AD53" s="338">
        <v>27623391</v>
      </c>
      <c r="AE53" s="338">
        <v>0</v>
      </c>
      <c r="AF53" s="338">
        <v>0</v>
      </c>
      <c r="AG53" s="338">
        <v>0</v>
      </c>
      <c r="AH53" s="82">
        <f t="shared" ref="AH53:AH67" si="33">SUM(AD53:AG53)</f>
        <v>27623391</v>
      </c>
      <c r="AI53" s="338">
        <v>16497399</v>
      </c>
      <c r="AJ53" s="338">
        <v>0</v>
      </c>
      <c r="AK53" s="338">
        <v>0</v>
      </c>
      <c r="AL53" s="338">
        <v>0</v>
      </c>
      <c r="AM53" s="82">
        <f t="shared" ref="AM53:AM67" si="34">SUM(AI53:AL53)</f>
        <v>16497399</v>
      </c>
      <c r="AN53" s="338">
        <v>4417100</v>
      </c>
      <c r="AO53" s="338">
        <v>0</v>
      </c>
      <c r="AP53" s="338">
        <v>0</v>
      </c>
      <c r="AQ53" s="338">
        <v>0</v>
      </c>
      <c r="AR53" s="82">
        <f t="shared" ref="AR53:AR67" si="35">SUM(AN53:AQ53)</f>
        <v>4417100</v>
      </c>
      <c r="AS53" s="338">
        <v>2309095</v>
      </c>
      <c r="AT53" s="338">
        <v>0</v>
      </c>
      <c r="AU53" s="338">
        <v>0</v>
      </c>
      <c r="AV53" s="338">
        <v>0</v>
      </c>
      <c r="AW53" s="82">
        <f t="shared" ref="AW53:AW67" si="36">SUM(AS53:AV53)</f>
        <v>2309095</v>
      </c>
      <c r="AX53" s="338">
        <v>21144106</v>
      </c>
      <c r="AY53" s="338">
        <v>0</v>
      </c>
      <c r="AZ53" s="338">
        <v>0</v>
      </c>
      <c r="BA53" s="338">
        <v>0</v>
      </c>
      <c r="BB53" s="82">
        <f t="shared" ref="BB53:BB67" si="37">SUM(AX53:BA53)</f>
        <v>21144106</v>
      </c>
      <c r="BC53" s="338">
        <v>28808072</v>
      </c>
      <c r="BD53" s="338">
        <v>0</v>
      </c>
      <c r="BE53" s="338">
        <v>0</v>
      </c>
      <c r="BF53" s="338">
        <v>0</v>
      </c>
      <c r="BG53" s="82">
        <f t="shared" ref="BG53:BG67" si="38">SUM(BC53:BF53)</f>
        <v>28808072</v>
      </c>
      <c r="BH53" s="338">
        <v>0</v>
      </c>
      <c r="BI53" s="338">
        <v>0</v>
      </c>
      <c r="BJ53" s="338">
        <v>0</v>
      </c>
      <c r="BK53" s="338">
        <v>0</v>
      </c>
      <c r="BL53" s="82">
        <f t="shared" ref="BL53:BL67" si="39">SUM(BH53:BK53)</f>
        <v>0</v>
      </c>
      <c r="BM53" s="338">
        <v>0</v>
      </c>
      <c r="BN53" s="338">
        <v>0</v>
      </c>
      <c r="BO53" s="338">
        <v>0</v>
      </c>
      <c r="BP53" s="338">
        <v>0</v>
      </c>
      <c r="BQ53" s="82">
        <f t="shared" ref="BQ53:BQ67" si="40">SUM(BM53:BP53)</f>
        <v>0</v>
      </c>
      <c r="BR53" s="338">
        <f t="shared" ref="BR53:BU59" si="41">+J53+O53+T53+Y53+AD53+AI53+AN53+AS53+AX53+BC53+BH53+BM53</f>
        <v>156175771.5</v>
      </c>
      <c r="BS53" s="338">
        <f t="shared" si="41"/>
        <v>0</v>
      </c>
      <c r="BT53" s="338">
        <f t="shared" si="41"/>
        <v>0</v>
      </c>
      <c r="BU53" s="338">
        <f>+M53+R53+W53+AB53+AG53+AL53+AQ53+AV53+BA53+BF53+BK53+BP53</f>
        <v>0</v>
      </c>
      <c r="BV53" s="82">
        <f t="shared" ref="BV53:BV67" si="42">SUM(BR53:BU53)</f>
        <v>156175771.5</v>
      </c>
      <c r="BW53" s="50"/>
      <c r="BX53" s="340"/>
    </row>
    <row r="54" spans="1:78" s="294" customFormat="1" x14ac:dyDescent="0.2">
      <c r="A54" s="293" t="s">
        <v>235</v>
      </c>
      <c r="D54" s="292"/>
      <c r="E54" s="338">
        <v>148797.45000000001</v>
      </c>
      <c r="F54" s="338">
        <v>0</v>
      </c>
      <c r="G54" s="338">
        <v>0</v>
      </c>
      <c r="H54" s="338">
        <v>0</v>
      </c>
      <c r="I54" s="82">
        <f>SUM(E54:H54)</f>
        <v>148797.45000000001</v>
      </c>
      <c r="J54" s="339">
        <v>316</v>
      </c>
      <c r="K54" s="338">
        <v>0</v>
      </c>
      <c r="L54" s="338">
        <v>0</v>
      </c>
      <c r="M54" s="338">
        <v>0</v>
      </c>
      <c r="N54" s="82">
        <f t="shared" si="29"/>
        <v>316</v>
      </c>
      <c r="O54" s="338">
        <v>17220</v>
      </c>
      <c r="P54" s="338">
        <v>0</v>
      </c>
      <c r="Q54" s="338">
        <v>0</v>
      </c>
      <c r="R54" s="338">
        <v>0</v>
      </c>
      <c r="S54" s="82">
        <f t="shared" si="30"/>
        <v>17220</v>
      </c>
      <c r="T54" s="338">
        <v>251</v>
      </c>
      <c r="U54" s="338">
        <v>0</v>
      </c>
      <c r="V54" s="338">
        <v>0</v>
      </c>
      <c r="W54" s="338">
        <v>0</v>
      </c>
      <c r="X54" s="82">
        <f t="shared" si="31"/>
        <v>251</v>
      </c>
      <c r="Y54" s="246">
        <v>737.5</v>
      </c>
      <c r="Z54" s="338">
        <v>0</v>
      </c>
      <c r="AA54" s="338">
        <v>0</v>
      </c>
      <c r="AB54" s="338">
        <v>0</v>
      </c>
      <c r="AC54" s="82">
        <f t="shared" si="32"/>
        <v>737.5</v>
      </c>
      <c r="AD54" s="338">
        <v>669</v>
      </c>
      <c r="AE54" s="338">
        <v>0</v>
      </c>
      <c r="AF54" s="338">
        <v>0</v>
      </c>
      <c r="AG54" s="338">
        <v>0</v>
      </c>
      <c r="AH54" s="82">
        <f t="shared" si="33"/>
        <v>669</v>
      </c>
      <c r="AI54" s="338">
        <v>120</v>
      </c>
      <c r="AJ54" s="338">
        <v>0</v>
      </c>
      <c r="AK54" s="338">
        <v>0</v>
      </c>
      <c r="AL54" s="338">
        <v>0</v>
      </c>
      <c r="AM54" s="82">
        <f t="shared" si="34"/>
        <v>120</v>
      </c>
      <c r="AN54" s="338">
        <v>101263</v>
      </c>
      <c r="AO54" s="338">
        <v>0</v>
      </c>
      <c r="AP54" s="338">
        <v>0</v>
      </c>
      <c r="AQ54" s="338">
        <v>0</v>
      </c>
      <c r="AR54" s="82">
        <f t="shared" si="35"/>
        <v>101263</v>
      </c>
      <c r="AS54" s="338">
        <v>5780</v>
      </c>
      <c r="AT54" s="338">
        <v>0</v>
      </c>
      <c r="AU54" s="338">
        <v>0</v>
      </c>
      <c r="AV54" s="338">
        <v>0</v>
      </c>
      <c r="AW54" s="82">
        <f t="shared" si="36"/>
        <v>5780</v>
      </c>
      <c r="AX54" s="338">
        <v>902</v>
      </c>
      <c r="AY54" s="338">
        <v>0</v>
      </c>
      <c r="AZ54" s="338">
        <v>0</v>
      </c>
      <c r="BA54" s="338">
        <v>0</v>
      </c>
      <c r="BB54" s="82">
        <f t="shared" si="37"/>
        <v>902</v>
      </c>
      <c r="BC54" s="338">
        <v>411</v>
      </c>
      <c r="BD54" s="338">
        <v>0</v>
      </c>
      <c r="BE54" s="338">
        <v>0</v>
      </c>
      <c r="BF54" s="338">
        <v>0</v>
      </c>
      <c r="BG54" s="82">
        <f t="shared" si="38"/>
        <v>411</v>
      </c>
      <c r="BH54" s="338">
        <v>0</v>
      </c>
      <c r="BI54" s="338">
        <v>0</v>
      </c>
      <c r="BJ54" s="338">
        <v>0</v>
      </c>
      <c r="BK54" s="338">
        <v>0</v>
      </c>
      <c r="BL54" s="82">
        <f t="shared" si="39"/>
        <v>0</v>
      </c>
      <c r="BM54" s="338">
        <v>0</v>
      </c>
      <c r="BN54" s="338">
        <v>0</v>
      </c>
      <c r="BO54" s="338">
        <v>0</v>
      </c>
      <c r="BP54" s="338">
        <v>0</v>
      </c>
      <c r="BQ54" s="82">
        <f t="shared" si="40"/>
        <v>0</v>
      </c>
      <c r="BR54" s="338">
        <f t="shared" si="41"/>
        <v>127669.5</v>
      </c>
      <c r="BS54" s="338">
        <f t="shared" si="41"/>
        <v>0</v>
      </c>
      <c r="BT54" s="338">
        <f t="shared" si="41"/>
        <v>0</v>
      </c>
      <c r="BU54" s="338">
        <f>+M54+R54+W54+AB54+AG54+AL54+AQ54+AV54+BA54+BF54+BK54+BP54</f>
        <v>0</v>
      </c>
      <c r="BV54" s="82">
        <f t="shared" si="42"/>
        <v>127669.5</v>
      </c>
      <c r="BW54" s="50"/>
      <c r="BX54" s="340"/>
    </row>
    <row r="55" spans="1:78" x14ac:dyDescent="0.2">
      <c r="A55" s="262" t="s">
        <v>236</v>
      </c>
      <c r="B55" s="288"/>
      <c r="D55" s="282"/>
      <c r="E55" s="330">
        <v>0</v>
      </c>
      <c r="F55" s="330">
        <v>505553753</v>
      </c>
      <c r="G55" s="330">
        <v>0</v>
      </c>
      <c r="H55" s="330">
        <v>0</v>
      </c>
      <c r="I55" s="45">
        <f t="shared" si="23"/>
        <v>505553753</v>
      </c>
      <c r="J55" s="329">
        <v>0</v>
      </c>
      <c r="K55" s="330">
        <v>42129484</v>
      </c>
      <c r="L55" s="330">
        <v>0</v>
      </c>
      <c r="M55" s="330">
        <v>0</v>
      </c>
      <c r="N55" s="45">
        <f t="shared" si="29"/>
        <v>42129484</v>
      </c>
      <c r="O55" s="330">
        <v>0</v>
      </c>
      <c r="P55" s="330">
        <v>42129482</v>
      </c>
      <c r="Q55" s="330">
        <v>0</v>
      </c>
      <c r="R55" s="330">
        <v>0</v>
      </c>
      <c r="S55" s="45">
        <f t="shared" si="30"/>
        <v>42129482</v>
      </c>
      <c r="T55" s="330">
        <v>0</v>
      </c>
      <c r="U55" s="330">
        <v>42129482</v>
      </c>
      <c r="V55" s="330">
        <v>0</v>
      </c>
      <c r="W55" s="330">
        <v>0</v>
      </c>
      <c r="X55" s="45">
        <f t="shared" si="31"/>
        <v>42129482</v>
      </c>
      <c r="Y55" s="330">
        <v>0</v>
      </c>
      <c r="Z55" s="330">
        <v>42129482</v>
      </c>
      <c r="AA55" s="330">
        <v>0</v>
      </c>
      <c r="AB55" s="330">
        <v>0</v>
      </c>
      <c r="AC55" s="45">
        <f t="shared" si="32"/>
        <v>42129482</v>
      </c>
      <c r="AD55" s="330">
        <v>0</v>
      </c>
      <c r="AE55" s="330">
        <v>42129480</v>
      </c>
      <c r="AF55" s="330">
        <v>0</v>
      </c>
      <c r="AG55" s="330">
        <v>0</v>
      </c>
      <c r="AH55" s="45">
        <f t="shared" si="33"/>
        <v>42129480</v>
      </c>
      <c r="AI55" s="330">
        <v>0</v>
      </c>
      <c r="AJ55" s="330">
        <v>42129480</v>
      </c>
      <c r="AK55" s="330">
        <v>0</v>
      </c>
      <c r="AL55" s="330">
        <v>0</v>
      </c>
      <c r="AM55" s="45">
        <f t="shared" si="34"/>
        <v>42129480</v>
      </c>
      <c r="AN55" s="330">
        <v>0</v>
      </c>
      <c r="AO55" s="330">
        <v>42129479</v>
      </c>
      <c r="AP55" s="330">
        <v>0</v>
      </c>
      <c r="AQ55" s="330">
        <v>0</v>
      </c>
      <c r="AR55" s="45">
        <f t="shared" si="35"/>
        <v>42129479</v>
      </c>
      <c r="AS55" s="330">
        <v>0</v>
      </c>
      <c r="AT55" s="330">
        <v>42129479</v>
      </c>
      <c r="AU55" s="330">
        <v>0</v>
      </c>
      <c r="AV55" s="330">
        <v>0</v>
      </c>
      <c r="AW55" s="45">
        <f t="shared" si="36"/>
        <v>42129479</v>
      </c>
      <c r="AX55" s="330">
        <v>0</v>
      </c>
      <c r="AY55" s="330">
        <v>42129478</v>
      </c>
      <c r="AZ55" s="330">
        <v>0</v>
      </c>
      <c r="BA55" s="330">
        <v>0</v>
      </c>
      <c r="BB55" s="45">
        <f t="shared" si="37"/>
        <v>42129478</v>
      </c>
      <c r="BC55" s="330">
        <v>0</v>
      </c>
      <c r="BD55" s="330">
        <v>42129477</v>
      </c>
      <c r="BE55" s="330">
        <v>0</v>
      </c>
      <c r="BF55" s="330">
        <v>0</v>
      </c>
      <c r="BG55" s="45">
        <f t="shared" si="38"/>
        <v>42129477</v>
      </c>
      <c r="BH55" s="330">
        <v>0</v>
      </c>
      <c r="BI55" s="330">
        <v>0</v>
      </c>
      <c r="BJ55" s="330">
        <v>0</v>
      </c>
      <c r="BK55" s="330">
        <v>0</v>
      </c>
      <c r="BL55" s="45">
        <f t="shared" si="39"/>
        <v>0</v>
      </c>
      <c r="BM55" s="330">
        <v>0</v>
      </c>
      <c r="BN55" s="330">
        <v>0</v>
      </c>
      <c r="BO55" s="330">
        <v>0</v>
      </c>
      <c r="BP55" s="330">
        <v>0</v>
      </c>
      <c r="BQ55" s="45">
        <f>SUM(BM55:BP55)</f>
        <v>0</v>
      </c>
      <c r="BR55" s="330">
        <f t="shared" si="41"/>
        <v>0</v>
      </c>
      <c r="BS55" s="330">
        <f t="shared" si="41"/>
        <v>421294803</v>
      </c>
      <c r="BT55" s="330">
        <f t="shared" si="41"/>
        <v>0</v>
      </c>
      <c r="BU55" s="330">
        <f>+M55+R55+W55+AB55+AG55+AL55+AQ55+AV55+BA55+BF55+BK55+BP55</f>
        <v>0</v>
      </c>
      <c r="BV55" s="45">
        <f t="shared" si="42"/>
        <v>421294803</v>
      </c>
      <c r="BW55" s="13"/>
      <c r="BX55" s="268"/>
      <c r="BY55" s="1"/>
    </row>
    <row r="56" spans="1:78" x14ac:dyDescent="0.2">
      <c r="A56" s="262" t="s">
        <v>237</v>
      </c>
      <c r="B56" s="288"/>
      <c r="D56" s="286"/>
      <c r="E56" s="330">
        <v>0</v>
      </c>
      <c r="F56" s="330">
        <v>13166793</v>
      </c>
      <c r="G56" s="330">
        <v>0</v>
      </c>
      <c r="H56" s="330">
        <v>0</v>
      </c>
      <c r="I56" s="45">
        <f t="shared" si="23"/>
        <v>13166793</v>
      </c>
      <c r="J56" s="329">
        <v>0</v>
      </c>
      <c r="K56" s="330">
        <v>0</v>
      </c>
      <c r="L56" s="330">
        <v>0</v>
      </c>
      <c r="M56" s="330">
        <v>0</v>
      </c>
      <c r="N56" s="45">
        <f t="shared" si="29"/>
        <v>0</v>
      </c>
      <c r="O56" s="330">
        <v>0</v>
      </c>
      <c r="P56" s="330">
        <v>0</v>
      </c>
      <c r="Q56" s="330">
        <v>0</v>
      </c>
      <c r="R56" s="330">
        <v>0</v>
      </c>
      <c r="S56" s="45">
        <f t="shared" si="30"/>
        <v>0</v>
      </c>
      <c r="T56" s="330">
        <v>0</v>
      </c>
      <c r="U56" s="330">
        <v>0</v>
      </c>
      <c r="V56" s="330">
        <v>0</v>
      </c>
      <c r="W56" s="330">
        <v>0</v>
      </c>
      <c r="X56" s="45">
        <f t="shared" si="31"/>
        <v>0</v>
      </c>
      <c r="Y56" s="330">
        <v>0</v>
      </c>
      <c r="Z56" s="330">
        <v>0</v>
      </c>
      <c r="AA56" s="330">
        <v>0</v>
      </c>
      <c r="AB56" s="330">
        <v>0</v>
      </c>
      <c r="AC56" s="45">
        <f t="shared" si="32"/>
        <v>0</v>
      </c>
      <c r="AD56" s="330">
        <v>0</v>
      </c>
      <c r="AE56" s="330">
        <v>4388928</v>
      </c>
      <c r="AF56" s="330">
        <v>0</v>
      </c>
      <c r="AG56" s="330">
        <v>0</v>
      </c>
      <c r="AH56" s="45">
        <f t="shared" si="33"/>
        <v>4388928</v>
      </c>
      <c r="AI56" s="330">
        <v>0</v>
      </c>
      <c r="AJ56" s="330">
        <v>0</v>
      </c>
      <c r="AK56" s="330">
        <v>0</v>
      </c>
      <c r="AL56" s="330">
        <v>0</v>
      </c>
      <c r="AM56" s="45">
        <f t="shared" si="34"/>
        <v>0</v>
      </c>
      <c r="AN56" s="330">
        <v>0</v>
      </c>
      <c r="AO56" s="330">
        <v>0</v>
      </c>
      <c r="AP56" s="330">
        <v>0</v>
      </c>
      <c r="AQ56" s="330">
        <v>0</v>
      </c>
      <c r="AR56" s="45">
        <f t="shared" si="35"/>
        <v>0</v>
      </c>
      <c r="AS56" s="330">
        <v>0</v>
      </c>
      <c r="AT56" s="330">
        <v>0</v>
      </c>
      <c r="AU56" s="330">
        <v>0</v>
      </c>
      <c r="AV56" s="330">
        <v>0</v>
      </c>
      <c r="AW56" s="45">
        <f t="shared" si="36"/>
        <v>0</v>
      </c>
      <c r="AX56" s="330">
        <v>0</v>
      </c>
      <c r="AY56" s="330">
        <v>4388931</v>
      </c>
      <c r="AZ56" s="330">
        <v>0</v>
      </c>
      <c r="BA56" s="330">
        <v>0</v>
      </c>
      <c r="BB56" s="45">
        <f t="shared" si="37"/>
        <v>4388931</v>
      </c>
      <c r="BC56" s="330">
        <v>0</v>
      </c>
      <c r="BD56" s="330">
        <v>0</v>
      </c>
      <c r="BE56" s="330">
        <v>0</v>
      </c>
      <c r="BF56" s="330">
        <v>0</v>
      </c>
      <c r="BG56" s="45">
        <f t="shared" si="38"/>
        <v>0</v>
      </c>
      <c r="BH56" s="330">
        <v>0</v>
      </c>
      <c r="BI56" s="330">
        <v>0</v>
      </c>
      <c r="BJ56" s="330">
        <v>0</v>
      </c>
      <c r="BK56" s="330">
        <v>0</v>
      </c>
      <c r="BL56" s="45">
        <f t="shared" si="39"/>
        <v>0</v>
      </c>
      <c r="BM56" s="330">
        <v>0</v>
      </c>
      <c r="BN56" s="330">
        <v>0</v>
      </c>
      <c r="BO56" s="330">
        <v>0</v>
      </c>
      <c r="BP56" s="330">
        <v>0</v>
      </c>
      <c r="BQ56" s="45">
        <f t="shared" si="40"/>
        <v>0</v>
      </c>
      <c r="BR56" s="330">
        <f t="shared" si="41"/>
        <v>0</v>
      </c>
      <c r="BS56" s="330">
        <f t="shared" si="41"/>
        <v>8777859</v>
      </c>
      <c r="BT56" s="330">
        <f t="shared" si="41"/>
        <v>0</v>
      </c>
      <c r="BU56" s="330">
        <f>+M56+R56+W56+AB56+AG56+AL56+AQ56+AV56+BA56+BF56+BK56+BP56</f>
        <v>0</v>
      </c>
      <c r="BV56" s="45">
        <f t="shared" si="42"/>
        <v>8777859</v>
      </c>
      <c r="BW56" s="13"/>
      <c r="BX56" s="268"/>
    </row>
    <row r="57" spans="1:78" ht="12" customHeight="1" x14ac:dyDescent="0.2">
      <c r="A57" s="262" t="s">
        <v>238</v>
      </c>
      <c r="B57" s="288"/>
      <c r="D57" s="282" t="s">
        <v>62</v>
      </c>
      <c r="E57" s="330">
        <v>0</v>
      </c>
      <c r="F57" s="330">
        <v>0</v>
      </c>
      <c r="G57" s="330">
        <v>0</v>
      </c>
      <c r="H57" s="330">
        <v>468468</v>
      </c>
      <c r="I57" s="45">
        <f t="shared" ref="I57:I67" si="43">SUM(E57:H57)</f>
        <v>468468</v>
      </c>
      <c r="J57" s="329">
        <v>0</v>
      </c>
      <c r="K57" s="330">
        <v>0</v>
      </c>
      <c r="L57" s="330">
        <v>0</v>
      </c>
      <c r="M57" s="330">
        <f>-[23]original!$G$40</f>
        <v>131872</v>
      </c>
      <c r="N57" s="45">
        <f t="shared" si="29"/>
        <v>131872</v>
      </c>
      <c r="O57" s="330">
        <v>0</v>
      </c>
      <c r="P57" s="330">
        <v>0</v>
      </c>
      <c r="Q57" s="330">
        <v>0</v>
      </c>
      <c r="R57" s="330">
        <f>-[24]original!$H$40</f>
        <v>83878</v>
      </c>
      <c r="S57" s="45">
        <f>SUM(O57:R57)</f>
        <v>83878</v>
      </c>
      <c r="T57" s="330">
        <v>0</v>
      </c>
      <c r="U57" s="330">
        <v>0</v>
      </c>
      <c r="V57" s="330">
        <v>0</v>
      </c>
      <c r="W57" s="330">
        <f>-[25]original!$I$40</f>
        <v>23306</v>
      </c>
      <c r="X57" s="45">
        <f t="shared" si="31"/>
        <v>23306</v>
      </c>
      <c r="Y57" s="330">
        <v>0</v>
      </c>
      <c r="Z57" s="330">
        <v>0</v>
      </c>
      <c r="AA57" s="330">
        <v>0</v>
      </c>
      <c r="AB57" s="330">
        <f>-[26]original!$X$40</f>
        <v>119906</v>
      </c>
      <c r="AC57" s="45">
        <f t="shared" si="32"/>
        <v>119906</v>
      </c>
      <c r="AD57" s="330">
        <v>0</v>
      </c>
      <c r="AE57" s="330">
        <v>0</v>
      </c>
      <c r="AF57" s="330">
        <v>0</v>
      </c>
      <c r="AG57" s="330">
        <f>-[27]original!$K$40</f>
        <v>230</v>
      </c>
      <c r="AH57" s="45">
        <f t="shared" ref="AH57:AH64" si="44">SUM(AD57:AG57)</f>
        <v>230</v>
      </c>
      <c r="AI57" s="330">
        <v>0</v>
      </c>
      <c r="AJ57" s="330">
        <v>0</v>
      </c>
      <c r="AK57" s="330">
        <v>0</v>
      </c>
      <c r="AL57" s="330">
        <v>21</v>
      </c>
      <c r="AM57" s="45">
        <f>SUM(AI57:AL57)</f>
        <v>21</v>
      </c>
      <c r="AN57" s="330">
        <v>0</v>
      </c>
      <c r="AO57" s="330">
        <v>0</v>
      </c>
      <c r="AP57" s="330">
        <v>0</v>
      </c>
      <c r="AQ57" s="330">
        <v>30</v>
      </c>
      <c r="AR57" s="45">
        <f t="shared" si="35"/>
        <v>30</v>
      </c>
      <c r="AS57" s="330">
        <v>0</v>
      </c>
      <c r="AT57" s="330">
        <v>0</v>
      </c>
      <c r="AU57" s="330">
        <v>0</v>
      </c>
      <c r="AV57" s="330">
        <f>-[28]original!$N$40</f>
        <v>1363</v>
      </c>
      <c r="AW57" s="45">
        <f t="shared" si="36"/>
        <v>1363</v>
      </c>
      <c r="AX57" s="330">
        <v>0</v>
      </c>
      <c r="AY57" s="330">
        <v>0</v>
      </c>
      <c r="AZ57" s="330">
        <v>0</v>
      </c>
      <c r="BA57" s="330">
        <f>-[29]original!$AC$40</f>
        <v>107525</v>
      </c>
      <c r="BB57" s="45">
        <f>SUM(AX57:BA57)</f>
        <v>107525</v>
      </c>
      <c r="BC57" s="330">
        <v>0</v>
      </c>
      <c r="BD57" s="330">
        <v>0</v>
      </c>
      <c r="BE57" s="330">
        <v>0</v>
      </c>
      <c r="BF57" s="330">
        <f>-[30]original!$P$40</f>
        <v>298</v>
      </c>
      <c r="BG57" s="45">
        <f t="shared" si="38"/>
        <v>298</v>
      </c>
      <c r="BH57" s="330">
        <v>0</v>
      </c>
      <c r="BI57" s="330">
        <v>0</v>
      </c>
      <c r="BJ57" s="330">
        <v>0</v>
      </c>
      <c r="BK57" s="330">
        <v>0</v>
      </c>
      <c r="BL57" s="45">
        <f t="shared" si="39"/>
        <v>0</v>
      </c>
      <c r="BM57" s="330">
        <v>0</v>
      </c>
      <c r="BN57" s="330">
        <v>0</v>
      </c>
      <c r="BO57" s="330">
        <v>0</v>
      </c>
      <c r="BP57" s="330">
        <v>0</v>
      </c>
      <c r="BQ57" s="45">
        <f t="shared" si="40"/>
        <v>0</v>
      </c>
      <c r="BR57" s="330">
        <f t="shared" si="41"/>
        <v>0</v>
      </c>
      <c r="BS57" s="330">
        <f t="shared" si="41"/>
        <v>0</v>
      </c>
      <c r="BT57" s="330">
        <f t="shared" si="41"/>
        <v>0</v>
      </c>
      <c r="BU57" s="330">
        <f>+M57+R57+W57+AB57+AG57+AL57+AQ57+AV57+BA57+BF57+BK57+BP57</f>
        <v>468429</v>
      </c>
      <c r="BV57" s="45">
        <f t="shared" si="42"/>
        <v>468429</v>
      </c>
      <c r="BW57" s="13"/>
      <c r="BX57" s="268"/>
    </row>
    <row r="58" spans="1:78" hidden="1" x14ac:dyDescent="0.2">
      <c r="A58" s="262" t="s">
        <v>278</v>
      </c>
      <c r="B58" s="288"/>
      <c r="D58" s="282" t="s">
        <v>90</v>
      </c>
      <c r="E58" s="330">
        <v>0</v>
      </c>
      <c r="F58" s="330">
        <v>0</v>
      </c>
      <c r="G58" s="330">
        <v>0</v>
      </c>
      <c r="H58" s="330">
        <v>0</v>
      </c>
      <c r="I58" s="45">
        <f t="shared" si="43"/>
        <v>0</v>
      </c>
      <c r="J58" s="329">
        <v>0</v>
      </c>
      <c r="K58" s="330">
        <v>0</v>
      </c>
      <c r="L58" s="330">
        <v>0</v>
      </c>
      <c r="M58" s="330">
        <v>13500000</v>
      </c>
      <c r="N58" s="45">
        <f t="shared" si="29"/>
        <v>13500000</v>
      </c>
      <c r="O58" s="330">
        <v>0</v>
      </c>
      <c r="P58" s="330">
        <v>0</v>
      </c>
      <c r="Q58" s="330">
        <v>0</v>
      </c>
      <c r="R58" s="330">
        <v>0</v>
      </c>
      <c r="S58" s="45">
        <f t="shared" si="30"/>
        <v>0</v>
      </c>
      <c r="T58" s="330">
        <v>0</v>
      </c>
      <c r="U58" s="330">
        <v>0</v>
      </c>
      <c r="V58" s="330">
        <v>0</v>
      </c>
      <c r="W58" s="330">
        <v>0</v>
      </c>
      <c r="X58" s="45">
        <f t="shared" si="31"/>
        <v>0</v>
      </c>
      <c r="Y58" s="330">
        <v>0</v>
      </c>
      <c r="Z58" s="330">
        <v>0</v>
      </c>
      <c r="AA58" s="330">
        <v>0</v>
      </c>
      <c r="AB58" s="330">
        <v>0</v>
      </c>
      <c r="AC58" s="45">
        <f t="shared" si="32"/>
        <v>0</v>
      </c>
      <c r="AD58" s="330">
        <v>0</v>
      </c>
      <c r="AE58" s="330">
        <v>0</v>
      </c>
      <c r="AF58" s="330">
        <v>0</v>
      </c>
      <c r="AG58" s="330">
        <v>0</v>
      </c>
      <c r="AH58" s="45">
        <f t="shared" si="44"/>
        <v>0</v>
      </c>
      <c r="AI58" s="330">
        <v>0</v>
      </c>
      <c r="AJ58" s="330">
        <v>0</v>
      </c>
      <c r="AK58" s="330">
        <v>0</v>
      </c>
      <c r="AL58" s="330">
        <v>-13500000</v>
      </c>
      <c r="AM58" s="45">
        <f t="shared" si="34"/>
        <v>-13500000</v>
      </c>
      <c r="AN58" s="330">
        <v>0</v>
      </c>
      <c r="AO58" s="330">
        <v>0</v>
      </c>
      <c r="AP58" s="330">
        <v>0</v>
      </c>
      <c r="AQ58" s="330">
        <v>0</v>
      </c>
      <c r="AR58" s="45">
        <f t="shared" si="35"/>
        <v>0</v>
      </c>
      <c r="AS58" s="330">
        <v>0</v>
      </c>
      <c r="AT58" s="330">
        <v>0</v>
      </c>
      <c r="AU58" s="330">
        <v>0</v>
      </c>
      <c r="AV58" s="330">
        <v>0</v>
      </c>
      <c r="AW58" s="45">
        <f t="shared" si="36"/>
        <v>0</v>
      </c>
      <c r="AX58" s="330">
        <v>0</v>
      </c>
      <c r="AY58" s="330">
        <v>0</v>
      </c>
      <c r="AZ58" s="330">
        <v>0</v>
      </c>
      <c r="BA58" s="330">
        <v>0</v>
      </c>
      <c r="BB58" s="45">
        <f t="shared" si="37"/>
        <v>0</v>
      </c>
      <c r="BC58" s="330">
        <v>0</v>
      </c>
      <c r="BD58" s="330">
        <v>0</v>
      </c>
      <c r="BE58" s="330">
        <v>0</v>
      </c>
      <c r="BF58" s="330">
        <v>0</v>
      </c>
      <c r="BG58" s="45">
        <f t="shared" si="38"/>
        <v>0</v>
      </c>
      <c r="BH58" s="330">
        <v>0</v>
      </c>
      <c r="BI58" s="330">
        <v>0</v>
      </c>
      <c r="BJ58" s="330">
        <v>0</v>
      </c>
      <c r="BK58" s="330">
        <v>0</v>
      </c>
      <c r="BL58" s="45">
        <f t="shared" si="39"/>
        <v>0</v>
      </c>
      <c r="BM58" s="330">
        <v>0</v>
      </c>
      <c r="BN58" s="330">
        <v>0</v>
      </c>
      <c r="BO58" s="330">
        <v>0</v>
      </c>
      <c r="BP58" s="330">
        <v>0</v>
      </c>
      <c r="BQ58" s="45">
        <f t="shared" si="40"/>
        <v>0</v>
      </c>
      <c r="BR58" s="330">
        <f t="shared" si="41"/>
        <v>0</v>
      </c>
      <c r="BS58" s="330">
        <f t="shared" si="41"/>
        <v>0</v>
      </c>
      <c r="BT58" s="330">
        <f t="shared" si="41"/>
        <v>0</v>
      </c>
      <c r="BU58" s="330">
        <f t="shared" si="41"/>
        <v>0</v>
      </c>
      <c r="BV58" s="45">
        <f t="shared" ref="BV58:BV63" si="45">SUM(BR58:BU58)</f>
        <v>0</v>
      </c>
      <c r="BW58" s="13"/>
      <c r="BX58" s="268"/>
    </row>
    <row r="59" spans="1:78" x14ac:dyDescent="0.2">
      <c r="A59" s="262" t="s">
        <v>279</v>
      </c>
      <c r="B59" s="288"/>
      <c r="D59" s="282" t="s">
        <v>90</v>
      </c>
      <c r="E59" s="330">
        <v>0</v>
      </c>
      <c r="F59" s="330">
        <v>0</v>
      </c>
      <c r="G59" s="330">
        <v>0</v>
      </c>
      <c r="H59" s="330">
        <v>0</v>
      </c>
      <c r="I59" s="45">
        <f t="shared" si="43"/>
        <v>0</v>
      </c>
      <c r="J59" s="329">
        <v>0</v>
      </c>
      <c r="K59" s="330">
        <v>0</v>
      </c>
      <c r="L59" s="330">
        <v>0</v>
      </c>
      <c r="M59" s="330">
        <v>0</v>
      </c>
      <c r="N59" s="45">
        <f t="shared" si="29"/>
        <v>0</v>
      </c>
      <c r="O59" s="330">
        <v>0</v>
      </c>
      <c r="P59" s="330">
        <v>0</v>
      </c>
      <c r="Q59" s="330">
        <v>0</v>
      </c>
      <c r="R59" s="330">
        <v>0</v>
      </c>
      <c r="S59" s="45">
        <f>SUM(O59:R59)</f>
        <v>0</v>
      </c>
      <c r="T59" s="330">
        <v>0</v>
      </c>
      <c r="U59" s="330">
        <v>0</v>
      </c>
      <c r="V59" s="330">
        <v>0</v>
      </c>
      <c r="W59" s="330">
        <v>0</v>
      </c>
      <c r="X59" s="45">
        <f t="shared" si="31"/>
        <v>0</v>
      </c>
      <c r="Y59" s="330">
        <v>0</v>
      </c>
      <c r="Z59" s="330">
        <v>0</v>
      </c>
      <c r="AA59" s="330">
        <v>0</v>
      </c>
      <c r="AB59" s="330">
        <v>0</v>
      </c>
      <c r="AC59" s="45">
        <f>SUM(Y59:AB59)</f>
        <v>0</v>
      </c>
      <c r="AD59" s="330">
        <f t="shared" ref="AD59:AI59" si="46">SUM(AD60:AD63)</f>
        <v>0</v>
      </c>
      <c r="AE59" s="330">
        <f t="shared" si="46"/>
        <v>0</v>
      </c>
      <c r="AF59" s="330">
        <f t="shared" si="46"/>
        <v>0</v>
      </c>
      <c r="AG59" s="330">
        <f t="shared" si="46"/>
        <v>3800000</v>
      </c>
      <c r="AH59" s="45">
        <f t="shared" si="46"/>
        <v>3800000</v>
      </c>
      <c r="AI59" s="330">
        <f t="shared" si="46"/>
        <v>0</v>
      </c>
      <c r="AJ59" s="330">
        <f>SUM(AJ60:AJ62)</f>
        <v>0</v>
      </c>
      <c r="AK59" s="330">
        <f>SUM(AK60:AK62)</f>
        <v>0</v>
      </c>
      <c r="AL59" s="330">
        <f>SUM(AL60:AL62)</f>
        <v>3800000</v>
      </c>
      <c r="AM59" s="45">
        <f>SUM(AM60:AM62)</f>
        <v>3800000</v>
      </c>
      <c r="AN59" s="330">
        <f>SUM(AN60:AN63)</f>
        <v>0</v>
      </c>
      <c r="AO59" s="330">
        <f>SUM(AO60:AO63)</f>
        <v>0</v>
      </c>
      <c r="AP59" s="330">
        <f>SUM(AP60:AP63)</f>
        <v>0</v>
      </c>
      <c r="AQ59" s="330">
        <f>SUM(AQ60:AQ63)</f>
        <v>2100000</v>
      </c>
      <c r="AR59" s="45">
        <f t="shared" si="35"/>
        <v>2100000</v>
      </c>
      <c r="AS59" s="330">
        <v>0</v>
      </c>
      <c r="AT59" s="330">
        <v>0</v>
      </c>
      <c r="AU59" s="330">
        <v>0</v>
      </c>
      <c r="AV59" s="330">
        <v>0</v>
      </c>
      <c r="AW59" s="45">
        <f t="shared" si="36"/>
        <v>0</v>
      </c>
      <c r="AX59" s="330">
        <v>0</v>
      </c>
      <c r="AY59" s="330">
        <v>0</v>
      </c>
      <c r="AZ59" s="330">
        <v>0</v>
      </c>
      <c r="BA59" s="330">
        <v>0</v>
      </c>
      <c r="BB59" s="45">
        <f t="shared" si="37"/>
        <v>0</v>
      </c>
      <c r="BC59" s="330">
        <f>SUM(BC60:BC63)</f>
        <v>0</v>
      </c>
      <c r="BD59" s="330">
        <f>SUM(BD60:BD63)</f>
        <v>0</v>
      </c>
      <c r="BE59" s="330">
        <f>SUM(BE60:BE63)</f>
        <v>0</v>
      </c>
      <c r="BF59" s="330">
        <f>SUM(BF60:BF63)</f>
        <v>-9700000</v>
      </c>
      <c r="BG59" s="45">
        <f t="shared" si="38"/>
        <v>-9700000</v>
      </c>
      <c r="BH59" s="330">
        <v>0</v>
      </c>
      <c r="BI59" s="330">
        <v>0</v>
      </c>
      <c r="BJ59" s="330">
        <v>0</v>
      </c>
      <c r="BK59" s="330">
        <v>0</v>
      </c>
      <c r="BL59" s="45">
        <f t="shared" si="39"/>
        <v>0</v>
      </c>
      <c r="BM59" s="330">
        <v>0</v>
      </c>
      <c r="BN59" s="330">
        <v>0</v>
      </c>
      <c r="BO59" s="330">
        <v>0</v>
      </c>
      <c r="BP59" s="330">
        <v>0</v>
      </c>
      <c r="BQ59" s="45">
        <f t="shared" si="40"/>
        <v>0</v>
      </c>
      <c r="BR59" s="330">
        <f>+J59+O59+T59+Y59+AD59+AI59+AN59+AS59+AX59+BC59+BH59+BM59</f>
        <v>0</v>
      </c>
      <c r="BS59" s="330">
        <f t="shared" si="41"/>
        <v>0</v>
      </c>
      <c r="BT59" s="330">
        <f t="shared" si="41"/>
        <v>0</v>
      </c>
      <c r="BU59" s="330">
        <f t="shared" si="41"/>
        <v>0</v>
      </c>
      <c r="BV59" s="45">
        <f t="shared" si="45"/>
        <v>0</v>
      </c>
      <c r="BW59" s="13"/>
      <c r="BX59" s="268"/>
    </row>
    <row r="60" spans="1:78" x14ac:dyDescent="0.2">
      <c r="A60" s="293" t="s">
        <v>280</v>
      </c>
      <c r="B60" s="288"/>
      <c r="D60" s="282"/>
      <c r="E60" s="330">
        <v>0</v>
      </c>
      <c r="F60" s="330">
        <v>0</v>
      </c>
      <c r="G60" s="330">
        <v>0</v>
      </c>
      <c r="H60" s="330">
        <v>0</v>
      </c>
      <c r="I60" s="45">
        <f>SUM(E60:H60)</f>
        <v>0</v>
      </c>
      <c r="J60" s="329">
        <v>0</v>
      </c>
      <c r="K60" s="330">
        <v>0</v>
      </c>
      <c r="L60" s="330">
        <v>0</v>
      </c>
      <c r="M60" s="330">
        <v>0</v>
      </c>
      <c r="N60" s="45">
        <f t="shared" si="29"/>
        <v>0</v>
      </c>
      <c r="O60" s="330">
        <v>0</v>
      </c>
      <c r="P60" s="330">
        <v>0</v>
      </c>
      <c r="Q60" s="330">
        <v>0</v>
      </c>
      <c r="R60" s="330">
        <v>0</v>
      </c>
      <c r="S60" s="45">
        <f>SUM(O60:R60)</f>
        <v>0</v>
      </c>
      <c r="T60" s="330">
        <v>0</v>
      </c>
      <c r="U60" s="330">
        <v>0</v>
      </c>
      <c r="V60" s="330">
        <v>0</v>
      </c>
      <c r="W60" s="330">
        <v>0</v>
      </c>
      <c r="X60" s="45">
        <f t="shared" si="31"/>
        <v>0</v>
      </c>
      <c r="Y60" s="330">
        <v>0</v>
      </c>
      <c r="Z60" s="330">
        <v>0</v>
      </c>
      <c r="AA60" s="330">
        <v>0</v>
      </c>
      <c r="AB60" s="330">
        <v>0</v>
      </c>
      <c r="AC60" s="45">
        <f>SUM(Y60:AB60)</f>
        <v>0</v>
      </c>
      <c r="AD60" s="338">
        <v>0</v>
      </c>
      <c r="AE60" s="338">
        <v>0</v>
      </c>
      <c r="AF60" s="338">
        <v>0</v>
      </c>
      <c r="AG60" s="338">
        <v>2000000</v>
      </c>
      <c r="AH60" s="82">
        <f t="shared" si="44"/>
        <v>2000000</v>
      </c>
      <c r="AI60" s="330">
        <v>0</v>
      </c>
      <c r="AJ60" s="330">
        <v>0</v>
      </c>
      <c r="AK60" s="330">
        <v>0</v>
      </c>
      <c r="AL60" s="338">
        <v>3500000</v>
      </c>
      <c r="AM60" s="82">
        <f>SUM(AI60:AL60)</f>
        <v>3500000</v>
      </c>
      <c r="AN60" s="330">
        <v>0</v>
      </c>
      <c r="AO60" s="330">
        <v>0</v>
      </c>
      <c r="AP60" s="330">
        <v>0</v>
      </c>
      <c r="AQ60" s="330">
        <v>0</v>
      </c>
      <c r="AR60" s="45">
        <f t="shared" si="35"/>
        <v>0</v>
      </c>
      <c r="AS60" s="330">
        <v>0</v>
      </c>
      <c r="AT60" s="330">
        <v>0</v>
      </c>
      <c r="AU60" s="330">
        <v>0</v>
      </c>
      <c r="AV60" s="330">
        <v>0</v>
      </c>
      <c r="AW60" s="45">
        <f t="shared" si="36"/>
        <v>0</v>
      </c>
      <c r="AX60" s="330">
        <v>0</v>
      </c>
      <c r="AY60" s="330">
        <v>0</v>
      </c>
      <c r="AZ60" s="330">
        <v>0</v>
      </c>
      <c r="BA60" s="330">
        <v>0</v>
      </c>
      <c r="BB60" s="45">
        <f t="shared" si="37"/>
        <v>0</v>
      </c>
      <c r="BC60" s="330">
        <v>0</v>
      </c>
      <c r="BD60" s="330">
        <v>0</v>
      </c>
      <c r="BE60" s="330">
        <v>0</v>
      </c>
      <c r="BF60" s="330">
        <v>-5500000</v>
      </c>
      <c r="BG60" s="45">
        <f t="shared" si="38"/>
        <v>-5500000</v>
      </c>
      <c r="BH60" s="330">
        <v>0</v>
      </c>
      <c r="BI60" s="330">
        <v>0</v>
      </c>
      <c r="BJ60" s="330">
        <v>0</v>
      </c>
      <c r="BK60" s="330">
        <v>0</v>
      </c>
      <c r="BL60" s="45">
        <f t="shared" si="39"/>
        <v>0</v>
      </c>
      <c r="BM60" s="330">
        <v>0</v>
      </c>
      <c r="BN60" s="330">
        <v>0</v>
      </c>
      <c r="BO60" s="330">
        <v>0</v>
      </c>
      <c r="BP60" s="330">
        <v>0</v>
      </c>
      <c r="BQ60" s="45">
        <f t="shared" si="40"/>
        <v>0</v>
      </c>
      <c r="BR60" s="338">
        <f t="shared" ref="BR60:BU67" si="47">+J60+O60+T60+Y60+AD60+AI60+AN60+AS60+AX60+BC60+BH60+BM60</f>
        <v>0</v>
      </c>
      <c r="BS60" s="338">
        <f t="shared" si="47"/>
        <v>0</v>
      </c>
      <c r="BT60" s="338">
        <f t="shared" si="47"/>
        <v>0</v>
      </c>
      <c r="BU60" s="338">
        <f>+M60+R60+W60+AB60+AG60+AL60+AQ60+AV60+BA60+BF60+BK60+BP60</f>
        <v>0</v>
      </c>
      <c r="BV60" s="82">
        <f t="shared" si="45"/>
        <v>0</v>
      </c>
      <c r="BW60" s="13"/>
      <c r="BX60" s="268"/>
    </row>
    <row r="61" spans="1:78" x14ac:dyDescent="0.2">
      <c r="A61" s="293" t="s">
        <v>281</v>
      </c>
      <c r="B61" s="288"/>
      <c r="D61" s="282"/>
      <c r="E61" s="330">
        <v>0</v>
      </c>
      <c r="F61" s="330">
        <v>0</v>
      </c>
      <c r="G61" s="330">
        <v>0</v>
      </c>
      <c r="H61" s="330">
        <v>0</v>
      </c>
      <c r="I61" s="45">
        <f>SUM(E61:H61)</f>
        <v>0</v>
      </c>
      <c r="J61" s="329">
        <v>0</v>
      </c>
      <c r="K61" s="330">
        <v>0</v>
      </c>
      <c r="L61" s="330">
        <v>0</v>
      </c>
      <c r="M61" s="330">
        <v>0</v>
      </c>
      <c r="N61" s="45">
        <f t="shared" si="29"/>
        <v>0</v>
      </c>
      <c r="O61" s="330">
        <v>0</v>
      </c>
      <c r="P61" s="330">
        <v>0</v>
      </c>
      <c r="Q61" s="330">
        <v>0</v>
      </c>
      <c r="R61" s="330">
        <v>0</v>
      </c>
      <c r="S61" s="45">
        <f>SUM(O61:R61)</f>
        <v>0</v>
      </c>
      <c r="T61" s="330">
        <v>0</v>
      </c>
      <c r="U61" s="330">
        <v>0</v>
      </c>
      <c r="V61" s="330">
        <v>0</v>
      </c>
      <c r="W61" s="330">
        <v>0</v>
      </c>
      <c r="X61" s="45">
        <f t="shared" si="31"/>
        <v>0</v>
      </c>
      <c r="Y61" s="330">
        <v>0</v>
      </c>
      <c r="Z61" s="330">
        <v>0</v>
      </c>
      <c r="AA61" s="330">
        <v>0</v>
      </c>
      <c r="AB61" s="330">
        <v>0</v>
      </c>
      <c r="AC61" s="45">
        <f>SUM(Y61:AB61)</f>
        <v>0</v>
      </c>
      <c r="AD61" s="338">
        <v>0</v>
      </c>
      <c r="AE61" s="338">
        <v>0</v>
      </c>
      <c r="AF61" s="338">
        <v>0</v>
      </c>
      <c r="AG61" s="338">
        <v>0</v>
      </c>
      <c r="AH61" s="82">
        <f t="shared" si="44"/>
        <v>0</v>
      </c>
      <c r="AI61" s="330">
        <v>0</v>
      </c>
      <c r="AJ61" s="330">
        <v>0</v>
      </c>
      <c r="AK61" s="330">
        <v>0</v>
      </c>
      <c r="AL61" s="338">
        <v>300000</v>
      </c>
      <c r="AM61" s="82">
        <f>SUM(AI61:AL61)</f>
        <v>300000</v>
      </c>
      <c r="AN61" s="330">
        <v>0</v>
      </c>
      <c r="AO61" s="330">
        <v>0</v>
      </c>
      <c r="AP61" s="330">
        <v>0</v>
      </c>
      <c r="AQ61" s="330">
        <v>0</v>
      </c>
      <c r="AR61" s="45">
        <f t="shared" si="35"/>
        <v>0</v>
      </c>
      <c r="AS61" s="330">
        <v>0</v>
      </c>
      <c r="AT61" s="330">
        <v>0</v>
      </c>
      <c r="AU61" s="330">
        <v>0</v>
      </c>
      <c r="AV61" s="330">
        <v>0</v>
      </c>
      <c r="AW61" s="45">
        <f t="shared" si="36"/>
        <v>0</v>
      </c>
      <c r="AX61" s="330">
        <v>0</v>
      </c>
      <c r="AY61" s="330">
        <v>0</v>
      </c>
      <c r="AZ61" s="330">
        <v>0</v>
      </c>
      <c r="BA61" s="330">
        <v>0</v>
      </c>
      <c r="BB61" s="45">
        <f t="shared" si="37"/>
        <v>0</v>
      </c>
      <c r="BC61" s="330">
        <v>0</v>
      </c>
      <c r="BD61" s="330">
        <v>0</v>
      </c>
      <c r="BE61" s="330">
        <v>0</v>
      </c>
      <c r="BF61" s="330">
        <v>-300000</v>
      </c>
      <c r="BG61" s="45">
        <f t="shared" si="38"/>
        <v>-300000</v>
      </c>
      <c r="BH61" s="330">
        <v>0</v>
      </c>
      <c r="BI61" s="330">
        <v>0</v>
      </c>
      <c r="BJ61" s="330">
        <v>0</v>
      </c>
      <c r="BK61" s="330">
        <v>0</v>
      </c>
      <c r="BL61" s="45">
        <f t="shared" si="39"/>
        <v>0</v>
      </c>
      <c r="BM61" s="330">
        <v>0</v>
      </c>
      <c r="BN61" s="330">
        <v>0</v>
      </c>
      <c r="BO61" s="330">
        <v>0</v>
      </c>
      <c r="BP61" s="330">
        <v>0</v>
      </c>
      <c r="BQ61" s="45">
        <f t="shared" si="40"/>
        <v>0</v>
      </c>
      <c r="BR61" s="338">
        <f t="shared" si="47"/>
        <v>0</v>
      </c>
      <c r="BS61" s="338">
        <f t="shared" si="47"/>
        <v>0</v>
      </c>
      <c r="BT61" s="338">
        <f t="shared" si="47"/>
        <v>0</v>
      </c>
      <c r="BU61" s="338">
        <f t="shared" si="47"/>
        <v>0</v>
      </c>
      <c r="BV61" s="82">
        <f t="shared" si="45"/>
        <v>0</v>
      </c>
      <c r="BW61" s="13"/>
      <c r="BX61" s="268"/>
    </row>
    <row r="62" spans="1:78" x14ac:dyDescent="0.2">
      <c r="A62" s="293" t="s">
        <v>282</v>
      </c>
      <c r="B62" s="288"/>
      <c r="D62" s="282"/>
      <c r="E62" s="330">
        <v>0</v>
      </c>
      <c r="F62" s="330">
        <v>0</v>
      </c>
      <c r="G62" s="330">
        <v>0</v>
      </c>
      <c r="H62" s="330">
        <v>0</v>
      </c>
      <c r="I62" s="45">
        <f>SUM(E62:H62)</f>
        <v>0</v>
      </c>
      <c r="J62" s="329">
        <v>0</v>
      </c>
      <c r="K62" s="330">
        <v>0</v>
      </c>
      <c r="L62" s="330">
        <v>0</v>
      </c>
      <c r="M62" s="330">
        <v>0</v>
      </c>
      <c r="N62" s="45">
        <f t="shared" si="29"/>
        <v>0</v>
      </c>
      <c r="O62" s="330">
        <v>0</v>
      </c>
      <c r="P62" s="330">
        <v>0</v>
      </c>
      <c r="Q62" s="330">
        <v>0</v>
      </c>
      <c r="R62" s="330">
        <v>0</v>
      </c>
      <c r="S62" s="45">
        <v>0</v>
      </c>
      <c r="T62" s="330">
        <v>0</v>
      </c>
      <c r="U62" s="330">
        <v>0</v>
      </c>
      <c r="V62" s="330">
        <v>0</v>
      </c>
      <c r="W62" s="330">
        <v>0</v>
      </c>
      <c r="X62" s="45">
        <v>0</v>
      </c>
      <c r="Y62" s="330">
        <v>0</v>
      </c>
      <c r="Z62" s="330">
        <v>0</v>
      </c>
      <c r="AA62" s="330">
        <v>0</v>
      </c>
      <c r="AB62" s="330">
        <v>0</v>
      </c>
      <c r="AC62" s="45">
        <v>0</v>
      </c>
      <c r="AD62" s="338">
        <v>0</v>
      </c>
      <c r="AE62" s="338">
        <v>0</v>
      </c>
      <c r="AF62" s="338">
        <v>0</v>
      </c>
      <c r="AG62" s="338">
        <v>1800000</v>
      </c>
      <c r="AH62" s="82">
        <f t="shared" si="44"/>
        <v>1800000</v>
      </c>
      <c r="AI62" s="330">
        <v>0</v>
      </c>
      <c r="AJ62" s="330">
        <v>0</v>
      </c>
      <c r="AK62" s="330">
        <v>0</v>
      </c>
      <c r="AL62" s="330">
        <v>0</v>
      </c>
      <c r="AM62" s="45">
        <f>SUM(AI62:AL62)</f>
        <v>0</v>
      </c>
      <c r="AN62" s="330">
        <v>0</v>
      </c>
      <c r="AO62" s="330">
        <v>0</v>
      </c>
      <c r="AP62" s="330">
        <v>0</v>
      </c>
      <c r="AQ62" s="330">
        <v>0</v>
      </c>
      <c r="AR62" s="45">
        <f t="shared" si="35"/>
        <v>0</v>
      </c>
      <c r="AS62" s="330">
        <v>0</v>
      </c>
      <c r="AT62" s="330">
        <v>0</v>
      </c>
      <c r="AU62" s="330">
        <v>0</v>
      </c>
      <c r="AV62" s="330">
        <v>0</v>
      </c>
      <c r="AW62" s="45">
        <f t="shared" si="36"/>
        <v>0</v>
      </c>
      <c r="AX62" s="330">
        <v>0</v>
      </c>
      <c r="AY62" s="330">
        <v>0</v>
      </c>
      <c r="AZ62" s="330">
        <v>0</v>
      </c>
      <c r="BA62" s="330">
        <v>0</v>
      </c>
      <c r="BB62" s="45">
        <f t="shared" si="37"/>
        <v>0</v>
      </c>
      <c r="BC62" s="330">
        <v>0</v>
      </c>
      <c r="BD62" s="330">
        <v>0</v>
      </c>
      <c r="BE62" s="330">
        <v>0</v>
      </c>
      <c r="BF62" s="330">
        <v>-1800000</v>
      </c>
      <c r="BG62" s="45">
        <f t="shared" si="38"/>
        <v>-1800000</v>
      </c>
      <c r="BH62" s="330">
        <v>0</v>
      </c>
      <c r="BI62" s="330">
        <v>0</v>
      </c>
      <c r="BJ62" s="330">
        <v>0</v>
      </c>
      <c r="BK62" s="330">
        <v>0</v>
      </c>
      <c r="BL62" s="45">
        <f t="shared" si="39"/>
        <v>0</v>
      </c>
      <c r="BM62" s="330">
        <v>0</v>
      </c>
      <c r="BN62" s="330">
        <v>0</v>
      </c>
      <c r="BO62" s="330">
        <v>0</v>
      </c>
      <c r="BP62" s="330">
        <v>0</v>
      </c>
      <c r="BQ62" s="45">
        <f t="shared" si="40"/>
        <v>0</v>
      </c>
      <c r="BR62" s="338">
        <f t="shared" si="47"/>
        <v>0</v>
      </c>
      <c r="BS62" s="338">
        <f t="shared" si="47"/>
        <v>0</v>
      </c>
      <c r="BT62" s="338">
        <f t="shared" si="47"/>
        <v>0</v>
      </c>
      <c r="BU62" s="338">
        <f t="shared" si="47"/>
        <v>0</v>
      </c>
      <c r="BV62" s="82">
        <f t="shared" si="45"/>
        <v>0</v>
      </c>
      <c r="BW62" s="13"/>
      <c r="BX62" s="268"/>
    </row>
    <row r="63" spans="1:78" x14ac:dyDescent="0.2">
      <c r="A63" s="293" t="s">
        <v>283</v>
      </c>
      <c r="B63" s="288"/>
      <c r="D63" s="282"/>
      <c r="E63" s="330">
        <v>0</v>
      </c>
      <c r="F63" s="330">
        <v>0</v>
      </c>
      <c r="G63" s="330">
        <v>0</v>
      </c>
      <c r="H63" s="330">
        <v>0</v>
      </c>
      <c r="I63" s="45">
        <f>SUM(E63:H63)</f>
        <v>0</v>
      </c>
      <c r="J63" s="329">
        <v>0</v>
      </c>
      <c r="K63" s="330">
        <v>0</v>
      </c>
      <c r="L63" s="330">
        <v>0</v>
      </c>
      <c r="M63" s="330">
        <v>0</v>
      </c>
      <c r="N63" s="45">
        <f t="shared" si="29"/>
        <v>0</v>
      </c>
      <c r="O63" s="330">
        <v>0</v>
      </c>
      <c r="P63" s="330">
        <v>0</v>
      </c>
      <c r="Q63" s="330">
        <v>0</v>
      </c>
      <c r="R63" s="330">
        <v>0</v>
      </c>
      <c r="S63" s="45">
        <f>SUM(O63:R63)</f>
        <v>0</v>
      </c>
      <c r="T63" s="330">
        <v>0</v>
      </c>
      <c r="U63" s="330">
        <v>0</v>
      </c>
      <c r="V63" s="330">
        <v>0</v>
      </c>
      <c r="W63" s="330">
        <v>0</v>
      </c>
      <c r="X63" s="45">
        <f t="shared" si="31"/>
        <v>0</v>
      </c>
      <c r="Y63" s="330">
        <v>0</v>
      </c>
      <c r="Z63" s="330">
        <v>0</v>
      </c>
      <c r="AA63" s="330">
        <v>0</v>
      </c>
      <c r="AB63" s="330">
        <v>0</v>
      </c>
      <c r="AC63" s="45">
        <f>SUM(Y63:AB63)</f>
        <v>0</v>
      </c>
      <c r="AD63" s="338">
        <v>0</v>
      </c>
      <c r="AE63" s="338">
        <v>0</v>
      </c>
      <c r="AF63" s="338">
        <v>0</v>
      </c>
      <c r="AG63" s="338">
        <v>0</v>
      </c>
      <c r="AH63" s="82">
        <f t="shared" si="44"/>
        <v>0</v>
      </c>
      <c r="AI63" s="330">
        <v>0</v>
      </c>
      <c r="AJ63" s="330">
        <v>0</v>
      </c>
      <c r="AK63" s="330">
        <v>0</v>
      </c>
      <c r="AL63" s="330">
        <v>0</v>
      </c>
      <c r="AM63" s="45">
        <f t="shared" si="34"/>
        <v>0</v>
      </c>
      <c r="AN63" s="330">
        <v>0</v>
      </c>
      <c r="AO63" s="330">
        <v>0</v>
      </c>
      <c r="AP63" s="330">
        <v>0</v>
      </c>
      <c r="AQ63" s="330">
        <v>2100000</v>
      </c>
      <c r="AR63" s="45">
        <f t="shared" si="35"/>
        <v>2100000</v>
      </c>
      <c r="AS63" s="330">
        <v>0</v>
      </c>
      <c r="AT63" s="330">
        <v>0</v>
      </c>
      <c r="AU63" s="330">
        <v>0</v>
      </c>
      <c r="AV63" s="330">
        <v>0</v>
      </c>
      <c r="AW63" s="45">
        <f t="shared" si="36"/>
        <v>0</v>
      </c>
      <c r="AX63" s="330">
        <v>0</v>
      </c>
      <c r="AY63" s="330">
        <v>0</v>
      </c>
      <c r="AZ63" s="330">
        <v>0</v>
      </c>
      <c r="BA63" s="330">
        <v>0</v>
      </c>
      <c r="BB63" s="45">
        <f t="shared" si="37"/>
        <v>0</v>
      </c>
      <c r="BC63" s="330">
        <v>0</v>
      </c>
      <c r="BD63" s="330">
        <v>0</v>
      </c>
      <c r="BE63" s="330">
        <v>0</v>
      </c>
      <c r="BF63" s="330">
        <v>-2100000</v>
      </c>
      <c r="BG63" s="45">
        <f t="shared" si="38"/>
        <v>-2100000</v>
      </c>
      <c r="BH63" s="330">
        <v>0</v>
      </c>
      <c r="BI63" s="330">
        <v>0</v>
      </c>
      <c r="BJ63" s="330">
        <v>0</v>
      </c>
      <c r="BK63" s="330">
        <v>0</v>
      </c>
      <c r="BL63" s="45">
        <f t="shared" si="39"/>
        <v>0</v>
      </c>
      <c r="BM63" s="330">
        <v>0</v>
      </c>
      <c r="BN63" s="330">
        <v>0</v>
      </c>
      <c r="BO63" s="330">
        <v>0</v>
      </c>
      <c r="BP63" s="330">
        <v>0</v>
      </c>
      <c r="BQ63" s="45">
        <f t="shared" si="40"/>
        <v>0</v>
      </c>
      <c r="BR63" s="338">
        <f t="shared" si="47"/>
        <v>0</v>
      </c>
      <c r="BS63" s="338">
        <f t="shared" si="47"/>
        <v>0</v>
      </c>
      <c r="BT63" s="338">
        <f t="shared" si="47"/>
        <v>0</v>
      </c>
      <c r="BU63" s="338">
        <f t="shared" si="47"/>
        <v>0</v>
      </c>
      <c r="BV63" s="82">
        <f t="shared" si="45"/>
        <v>0</v>
      </c>
      <c r="BW63" s="13"/>
      <c r="BX63" s="268"/>
    </row>
    <row r="64" spans="1:78" x14ac:dyDescent="0.2">
      <c r="A64" s="262" t="s">
        <v>246</v>
      </c>
      <c r="B64" s="288"/>
      <c r="C64" s="288"/>
      <c r="D64" s="286"/>
      <c r="E64" s="330">
        <v>0</v>
      </c>
      <c r="F64" s="330">
        <v>18283844</v>
      </c>
      <c r="G64" s="330">
        <v>0</v>
      </c>
      <c r="H64" s="330">
        <v>0</v>
      </c>
      <c r="I64" s="45">
        <f t="shared" si="43"/>
        <v>18283844</v>
      </c>
      <c r="J64" s="329">
        <v>0</v>
      </c>
      <c r="K64" s="330">
        <v>1549593</v>
      </c>
      <c r="L64" s="330">
        <v>0</v>
      </c>
      <c r="M64" s="330">
        <v>0</v>
      </c>
      <c r="N64" s="45">
        <f t="shared" si="29"/>
        <v>1549593</v>
      </c>
      <c r="O64" s="330">
        <v>0</v>
      </c>
      <c r="P64" s="330">
        <v>1486615</v>
      </c>
      <c r="Q64" s="330">
        <v>0</v>
      </c>
      <c r="R64" s="330">
        <v>0</v>
      </c>
      <c r="S64" s="45">
        <f t="shared" si="30"/>
        <v>1486615</v>
      </c>
      <c r="T64" s="330">
        <v>0</v>
      </c>
      <c r="U64" s="330">
        <v>1412283</v>
      </c>
      <c r="V64" s="330">
        <v>0</v>
      </c>
      <c r="W64" s="330">
        <v>0</v>
      </c>
      <c r="X64" s="45">
        <f t="shared" si="31"/>
        <v>1412283</v>
      </c>
      <c r="Y64" s="330">
        <v>0</v>
      </c>
      <c r="Z64" s="330">
        <v>1388691</v>
      </c>
      <c r="AA64" s="330">
        <v>0</v>
      </c>
      <c r="AB64" s="330">
        <v>0</v>
      </c>
      <c r="AC64" s="45">
        <f t="shared" si="32"/>
        <v>1388691</v>
      </c>
      <c r="AD64" s="338">
        <v>0</v>
      </c>
      <c r="AE64" s="338">
        <v>1443945</v>
      </c>
      <c r="AF64" s="330">
        <v>0</v>
      </c>
      <c r="AG64" s="330">
        <v>0</v>
      </c>
      <c r="AH64" s="45">
        <f t="shared" si="44"/>
        <v>1443945</v>
      </c>
      <c r="AI64" s="330">
        <v>0</v>
      </c>
      <c r="AJ64" s="330">
        <v>1524417</v>
      </c>
      <c r="AK64" s="330">
        <v>0</v>
      </c>
      <c r="AL64" s="330">
        <v>0</v>
      </c>
      <c r="AM64" s="45">
        <f t="shared" si="34"/>
        <v>1524417</v>
      </c>
      <c r="AN64" s="330">
        <v>0</v>
      </c>
      <c r="AO64" s="330">
        <v>1497621</v>
      </c>
      <c r="AP64" s="330">
        <v>0</v>
      </c>
      <c r="AQ64" s="330">
        <v>0</v>
      </c>
      <c r="AR64" s="45">
        <f t="shared" si="35"/>
        <v>1497621</v>
      </c>
      <c r="AS64" s="330">
        <v>0</v>
      </c>
      <c r="AT64" s="330">
        <v>1535042</v>
      </c>
      <c r="AU64" s="330">
        <v>0</v>
      </c>
      <c r="AV64" s="330">
        <v>0</v>
      </c>
      <c r="AW64" s="45">
        <f t="shared" si="36"/>
        <v>1535042</v>
      </c>
      <c r="AX64" s="330">
        <v>0</v>
      </c>
      <c r="AY64" s="330">
        <v>1484863</v>
      </c>
      <c r="AZ64" s="330">
        <v>0</v>
      </c>
      <c r="BA64" s="330">
        <v>0</v>
      </c>
      <c r="BB64" s="45">
        <f t="shared" si="37"/>
        <v>1484863</v>
      </c>
      <c r="BC64" s="330">
        <v>0</v>
      </c>
      <c r="BD64" s="330">
        <v>1682694</v>
      </c>
      <c r="BE64" s="330">
        <v>0</v>
      </c>
      <c r="BF64" s="330">
        <v>0</v>
      </c>
      <c r="BG64" s="45">
        <f t="shared" si="38"/>
        <v>1682694</v>
      </c>
      <c r="BH64" s="330">
        <v>0</v>
      </c>
      <c r="BI64" s="330">
        <v>0</v>
      </c>
      <c r="BJ64" s="330">
        <v>0</v>
      </c>
      <c r="BK64" s="330">
        <v>0</v>
      </c>
      <c r="BL64" s="45">
        <f t="shared" si="39"/>
        <v>0</v>
      </c>
      <c r="BM64" s="330">
        <v>0</v>
      </c>
      <c r="BN64" s="330">
        <v>0</v>
      </c>
      <c r="BO64" s="330">
        <v>0</v>
      </c>
      <c r="BP64" s="330">
        <v>0</v>
      </c>
      <c r="BQ64" s="45">
        <f t="shared" si="40"/>
        <v>0</v>
      </c>
      <c r="BR64" s="330">
        <f t="shared" si="47"/>
        <v>0</v>
      </c>
      <c r="BS64" s="330">
        <f t="shared" si="47"/>
        <v>15005764</v>
      </c>
      <c r="BT64" s="330">
        <f t="shared" si="47"/>
        <v>0</v>
      </c>
      <c r="BU64" s="330">
        <f>+M64+R64+W64+AB64+AG64+AL64+AQ64+AV64+BA64+BF64+BK64+BP64</f>
        <v>0</v>
      </c>
      <c r="BV64" s="45">
        <f t="shared" si="42"/>
        <v>15005764</v>
      </c>
      <c r="BW64" s="13"/>
      <c r="BX64" s="268"/>
    </row>
    <row r="65" spans="1:76" x14ac:dyDescent="0.2">
      <c r="A65" s="262" t="s">
        <v>247</v>
      </c>
      <c r="B65" s="288"/>
      <c r="D65" s="286"/>
      <c r="E65" s="330">
        <v>2076720</v>
      </c>
      <c r="F65" s="330">
        <v>23446</v>
      </c>
      <c r="G65" s="330">
        <v>0</v>
      </c>
      <c r="H65" s="330">
        <v>0</v>
      </c>
      <c r="I65" s="45">
        <f t="shared" si="43"/>
        <v>2100166</v>
      </c>
      <c r="J65" s="329">
        <v>169724</v>
      </c>
      <c r="K65" s="330">
        <v>936</v>
      </c>
      <c r="L65" s="330">
        <v>0</v>
      </c>
      <c r="M65" s="330">
        <v>0</v>
      </c>
      <c r="N65" s="45">
        <f t="shared" si="29"/>
        <v>170660</v>
      </c>
      <c r="O65" s="330">
        <v>170631</v>
      </c>
      <c r="P65" s="330">
        <v>1218</v>
      </c>
      <c r="Q65" s="330">
        <v>0</v>
      </c>
      <c r="R65" s="330">
        <v>0</v>
      </c>
      <c r="S65" s="45">
        <f t="shared" si="30"/>
        <v>171849</v>
      </c>
      <c r="T65" s="330">
        <v>168573</v>
      </c>
      <c r="U65" s="330">
        <v>369</v>
      </c>
      <c r="V65" s="330">
        <v>0</v>
      </c>
      <c r="W65" s="330">
        <v>0</v>
      </c>
      <c r="X65" s="45">
        <f t="shared" si="31"/>
        <v>168942</v>
      </c>
      <c r="Y65" s="330">
        <v>168429</v>
      </c>
      <c r="Z65" s="330">
        <v>4165</v>
      </c>
      <c r="AA65" s="330">
        <v>0</v>
      </c>
      <c r="AB65" s="330">
        <v>0</v>
      </c>
      <c r="AC65" s="45">
        <f t="shared" si="32"/>
        <v>172594</v>
      </c>
      <c r="AD65" s="338">
        <v>167158</v>
      </c>
      <c r="AE65" s="338">
        <v>2578</v>
      </c>
      <c r="AF65" s="330">
        <v>0</v>
      </c>
      <c r="AG65" s="330">
        <v>0</v>
      </c>
      <c r="AH65" s="45">
        <f t="shared" si="33"/>
        <v>169736</v>
      </c>
      <c r="AI65" s="330">
        <v>167552</v>
      </c>
      <c r="AJ65" s="330">
        <v>4228</v>
      </c>
      <c r="AK65" s="330">
        <v>0</v>
      </c>
      <c r="AL65" s="330">
        <v>0</v>
      </c>
      <c r="AM65" s="45">
        <f t="shared" si="34"/>
        <v>171780</v>
      </c>
      <c r="AN65" s="330">
        <v>166146</v>
      </c>
      <c r="AO65" s="330">
        <v>2534</v>
      </c>
      <c r="AP65" s="330">
        <v>0</v>
      </c>
      <c r="AQ65" s="330">
        <v>0</v>
      </c>
      <c r="AR65" s="45">
        <f t="shared" si="35"/>
        <v>168680</v>
      </c>
      <c r="AS65" s="330">
        <v>166179</v>
      </c>
      <c r="AT65" s="330">
        <v>807</v>
      </c>
      <c r="AU65" s="330">
        <v>0</v>
      </c>
      <c r="AV65" s="330">
        <v>0</v>
      </c>
      <c r="AW65" s="45">
        <f t="shared" si="36"/>
        <v>166986</v>
      </c>
      <c r="AX65" s="330">
        <v>164386</v>
      </c>
      <c r="AY65" s="330">
        <v>2475</v>
      </c>
      <c r="AZ65" s="330">
        <v>0</v>
      </c>
      <c r="BA65" s="330">
        <v>0</v>
      </c>
      <c r="BB65" s="45">
        <f t="shared" si="37"/>
        <v>166861</v>
      </c>
      <c r="BC65" s="330">
        <v>163747</v>
      </c>
      <c r="BD65" s="330">
        <v>1602</v>
      </c>
      <c r="BE65" s="330">
        <v>0</v>
      </c>
      <c r="BF65" s="330">
        <v>0</v>
      </c>
      <c r="BG65" s="45">
        <f t="shared" si="38"/>
        <v>165349</v>
      </c>
      <c r="BH65" s="330">
        <v>0</v>
      </c>
      <c r="BI65" s="330">
        <v>0</v>
      </c>
      <c r="BJ65" s="330">
        <v>0</v>
      </c>
      <c r="BK65" s="330">
        <v>0</v>
      </c>
      <c r="BL65" s="45">
        <f t="shared" si="39"/>
        <v>0</v>
      </c>
      <c r="BM65" s="330">
        <v>0</v>
      </c>
      <c r="BN65" s="330">
        <v>0</v>
      </c>
      <c r="BO65" s="330">
        <v>0</v>
      </c>
      <c r="BP65" s="330">
        <v>0</v>
      </c>
      <c r="BQ65" s="45">
        <f>SUM(BM65:BP65)</f>
        <v>0</v>
      </c>
      <c r="BR65" s="330">
        <f t="shared" si="47"/>
        <v>1672525</v>
      </c>
      <c r="BS65" s="330">
        <f t="shared" si="47"/>
        <v>20912</v>
      </c>
      <c r="BT65" s="330">
        <f t="shared" si="47"/>
        <v>0</v>
      </c>
      <c r="BU65" s="330">
        <f>+M65+R65+W65+AB65+AG65+AL65+AQ65+AV65+BA65+BF65+BK65+BP65</f>
        <v>0</v>
      </c>
      <c r="BV65" s="45">
        <f t="shared" si="42"/>
        <v>1693437</v>
      </c>
      <c r="BW65" s="13"/>
      <c r="BX65" s="268"/>
    </row>
    <row r="66" spans="1:76" x14ac:dyDescent="0.2">
      <c r="A66" s="271" t="s">
        <v>248</v>
      </c>
      <c r="B66" s="298"/>
      <c r="D66" s="286"/>
      <c r="E66" s="330">
        <v>979987</v>
      </c>
      <c r="F66" s="330">
        <v>71738</v>
      </c>
      <c r="G66" s="330">
        <v>0</v>
      </c>
      <c r="H66" s="330">
        <v>0</v>
      </c>
      <c r="I66" s="45">
        <f t="shared" si="43"/>
        <v>1051725</v>
      </c>
      <c r="J66" s="329">
        <v>77886</v>
      </c>
      <c r="K66" s="330">
        <v>1909</v>
      </c>
      <c r="L66" s="330">
        <v>0</v>
      </c>
      <c r="M66" s="330">
        <v>0</v>
      </c>
      <c r="N66" s="45">
        <f t="shared" si="29"/>
        <v>79795</v>
      </c>
      <c r="O66" s="330">
        <v>83988</v>
      </c>
      <c r="P66" s="330">
        <v>281</v>
      </c>
      <c r="Q66" s="330">
        <v>0</v>
      </c>
      <c r="R66" s="330">
        <v>0</v>
      </c>
      <c r="S66" s="45">
        <f t="shared" si="30"/>
        <v>84269</v>
      </c>
      <c r="T66" s="330">
        <v>81016</v>
      </c>
      <c r="U66" s="330">
        <v>8494</v>
      </c>
      <c r="V66" s="330">
        <v>0</v>
      </c>
      <c r="W66" s="330">
        <v>0</v>
      </c>
      <c r="X66" s="45">
        <f t="shared" si="31"/>
        <v>89510</v>
      </c>
      <c r="Y66" s="330">
        <v>75207</v>
      </c>
      <c r="Z66" s="330">
        <v>11172</v>
      </c>
      <c r="AA66" s="330">
        <v>0</v>
      </c>
      <c r="AB66" s="330">
        <v>0</v>
      </c>
      <c r="AC66" s="45">
        <f t="shared" si="32"/>
        <v>86379</v>
      </c>
      <c r="AD66" s="338">
        <v>83773</v>
      </c>
      <c r="AE66" s="338">
        <v>6792</v>
      </c>
      <c r="AF66" s="330">
        <v>0</v>
      </c>
      <c r="AG66" s="330">
        <v>0</v>
      </c>
      <c r="AH66" s="45">
        <f t="shared" si="33"/>
        <v>90565</v>
      </c>
      <c r="AI66" s="330">
        <v>84167</v>
      </c>
      <c r="AJ66" s="330">
        <v>13658</v>
      </c>
      <c r="AK66" s="330">
        <v>0</v>
      </c>
      <c r="AL66" s="330">
        <v>0</v>
      </c>
      <c r="AM66" s="45">
        <f t="shared" si="34"/>
        <v>97825</v>
      </c>
      <c r="AN66" s="330">
        <v>79328</v>
      </c>
      <c r="AO66" s="330">
        <v>3471</v>
      </c>
      <c r="AP66" s="330">
        <v>0</v>
      </c>
      <c r="AQ66" s="330">
        <v>0</v>
      </c>
      <c r="AR66" s="45">
        <f t="shared" si="35"/>
        <v>82799</v>
      </c>
      <c r="AS66" s="330">
        <v>81677</v>
      </c>
      <c r="AT66" s="330">
        <v>5974</v>
      </c>
      <c r="AU66" s="330">
        <v>0</v>
      </c>
      <c r="AV66" s="330">
        <v>0</v>
      </c>
      <c r="AW66" s="45">
        <f t="shared" si="36"/>
        <v>87651</v>
      </c>
      <c r="AX66" s="330">
        <v>79584</v>
      </c>
      <c r="AY66" s="330">
        <v>7820</v>
      </c>
      <c r="AZ66" s="330">
        <v>0</v>
      </c>
      <c r="BA66" s="330">
        <v>0</v>
      </c>
      <c r="BB66" s="45">
        <f t="shared" si="37"/>
        <v>87404</v>
      </c>
      <c r="BC66" s="330">
        <v>79453</v>
      </c>
      <c r="BD66" s="330">
        <v>-2393</v>
      </c>
      <c r="BE66" s="330">
        <v>0</v>
      </c>
      <c r="BF66" s="330">
        <v>0</v>
      </c>
      <c r="BG66" s="45">
        <f t="shared" si="38"/>
        <v>77060</v>
      </c>
      <c r="BH66" s="330">
        <v>0</v>
      </c>
      <c r="BI66" s="330">
        <v>0</v>
      </c>
      <c r="BJ66" s="330">
        <v>0</v>
      </c>
      <c r="BK66" s="330">
        <v>0</v>
      </c>
      <c r="BL66" s="45">
        <f t="shared" si="39"/>
        <v>0</v>
      </c>
      <c r="BM66" s="330">
        <v>0</v>
      </c>
      <c r="BN66" s="330">
        <v>0</v>
      </c>
      <c r="BO66" s="330">
        <v>0</v>
      </c>
      <c r="BP66" s="330">
        <v>0</v>
      </c>
      <c r="BQ66" s="45">
        <f>SUM(BM66:BP66)</f>
        <v>0</v>
      </c>
      <c r="BR66" s="330">
        <f t="shared" si="47"/>
        <v>806079</v>
      </c>
      <c r="BS66" s="330">
        <f t="shared" si="47"/>
        <v>57178</v>
      </c>
      <c r="BT66" s="330">
        <f t="shared" si="47"/>
        <v>0</v>
      </c>
      <c r="BU66" s="330">
        <f>+M66+R66+W66+AB66+AG66+AL66+AQ66+AV66+BA66+BF66+BK66+BP66</f>
        <v>0</v>
      </c>
      <c r="BV66" s="45">
        <f>SUM(BR66:BU66)</f>
        <v>863257</v>
      </c>
      <c r="BW66" s="13"/>
      <c r="BX66" s="268"/>
    </row>
    <row r="67" spans="1:76" x14ac:dyDescent="0.2">
      <c r="A67" s="299" t="s">
        <v>249</v>
      </c>
      <c r="B67" s="300"/>
      <c r="C67" s="280"/>
      <c r="D67" s="281"/>
      <c r="E67" s="330">
        <v>0</v>
      </c>
      <c r="F67" s="330">
        <v>2614</v>
      </c>
      <c r="G67" s="330">
        <v>0</v>
      </c>
      <c r="H67" s="330">
        <v>0</v>
      </c>
      <c r="I67" s="45">
        <f t="shared" si="43"/>
        <v>2614</v>
      </c>
      <c r="J67" s="329">
        <v>0</v>
      </c>
      <c r="K67" s="330">
        <v>0</v>
      </c>
      <c r="L67" s="330">
        <v>0</v>
      </c>
      <c r="M67" s="330">
        <v>0</v>
      </c>
      <c r="N67" s="45">
        <f t="shared" si="29"/>
        <v>0</v>
      </c>
      <c r="O67" s="330">
        <v>0</v>
      </c>
      <c r="P67" s="330">
        <v>0</v>
      </c>
      <c r="Q67" s="330">
        <v>0</v>
      </c>
      <c r="R67" s="330">
        <v>0</v>
      </c>
      <c r="S67" s="45">
        <f t="shared" si="30"/>
        <v>0</v>
      </c>
      <c r="T67" s="330">
        <v>0</v>
      </c>
      <c r="U67" s="330">
        <v>0</v>
      </c>
      <c r="V67" s="330">
        <v>0</v>
      </c>
      <c r="W67" s="330">
        <v>0</v>
      </c>
      <c r="X67" s="45">
        <f t="shared" si="31"/>
        <v>0</v>
      </c>
      <c r="Y67" s="330">
        <v>0</v>
      </c>
      <c r="Z67" s="330">
        <v>0</v>
      </c>
      <c r="AA67" s="330">
        <v>0</v>
      </c>
      <c r="AB67" s="330">
        <v>0</v>
      </c>
      <c r="AC67" s="45">
        <f t="shared" si="32"/>
        <v>0</v>
      </c>
      <c r="AD67" s="330">
        <v>0</v>
      </c>
      <c r="AE67" s="330">
        <v>0</v>
      </c>
      <c r="AF67" s="330">
        <v>0</v>
      </c>
      <c r="AG67" s="330">
        <v>0</v>
      </c>
      <c r="AH67" s="45">
        <f t="shared" si="33"/>
        <v>0</v>
      </c>
      <c r="AI67" s="330">
        <v>0</v>
      </c>
      <c r="AJ67" s="330">
        <v>0</v>
      </c>
      <c r="AK67" s="330">
        <v>0</v>
      </c>
      <c r="AL67" s="330">
        <v>0</v>
      </c>
      <c r="AM67" s="45">
        <f t="shared" si="34"/>
        <v>0</v>
      </c>
      <c r="AN67" s="330">
        <v>0</v>
      </c>
      <c r="AO67" s="330">
        <v>0</v>
      </c>
      <c r="AP67" s="330">
        <v>0</v>
      </c>
      <c r="AQ67" s="330">
        <v>0</v>
      </c>
      <c r="AR67" s="45">
        <f t="shared" si="35"/>
        <v>0</v>
      </c>
      <c r="AS67" s="330">
        <v>0</v>
      </c>
      <c r="AT67" s="330">
        <v>0</v>
      </c>
      <c r="AU67" s="330">
        <v>0</v>
      </c>
      <c r="AV67" s="330">
        <v>0</v>
      </c>
      <c r="AW67" s="45">
        <f t="shared" si="36"/>
        <v>0</v>
      </c>
      <c r="AX67" s="330">
        <v>0</v>
      </c>
      <c r="AY67" s="330">
        <v>0</v>
      </c>
      <c r="AZ67" s="330">
        <v>0</v>
      </c>
      <c r="BA67" s="330">
        <v>0</v>
      </c>
      <c r="BB67" s="45">
        <f t="shared" si="37"/>
        <v>0</v>
      </c>
      <c r="BC67" s="330">
        <v>0</v>
      </c>
      <c r="BD67" s="330">
        <v>0</v>
      </c>
      <c r="BE67" s="330">
        <v>0</v>
      </c>
      <c r="BF67" s="330">
        <v>0</v>
      </c>
      <c r="BG67" s="45">
        <f t="shared" si="38"/>
        <v>0</v>
      </c>
      <c r="BH67" s="330">
        <v>0</v>
      </c>
      <c r="BI67" s="330">
        <v>0</v>
      </c>
      <c r="BJ67" s="330">
        <v>0</v>
      </c>
      <c r="BK67" s="330">
        <v>0</v>
      </c>
      <c r="BL67" s="45">
        <f t="shared" si="39"/>
        <v>0</v>
      </c>
      <c r="BM67" s="330">
        <v>0</v>
      </c>
      <c r="BN67" s="330">
        <v>0</v>
      </c>
      <c r="BO67" s="330">
        <v>0</v>
      </c>
      <c r="BP67" s="330">
        <v>0</v>
      </c>
      <c r="BQ67" s="45">
        <f t="shared" si="40"/>
        <v>0</v>
      </c>
      <c r="BR67" s="330">
        <f t="shared" si="47"/>
        <v>0</v>
      </c>
      <c r="BS67" s="330">
        <f t="shared" si="47"/>
        <v>0</v>
      </c>
      <c r="BT67" s="330">
        <f t="shared" si="47"/>
        <v>0</v>
      </c>
      <c r="BU67" s="330">
        <f>+M67+R67+W67+AB67+AG67+AL67+AQ67+AV67+BA67+BF67+BK67+BP67</f>
        <v>0</v>
      </c>
      <c r="BV67" s="45">
        <f t="shared" si="42"/>
        <v>0</v>
      </c>
      <c r="BW67" s="13"/>
      <c r="BX67" s="268"/>
    </row>
    <row r="68" spans="1:76" x14ac:dyDescent="0.2">
      <c r="A68" s="259" t="s">
        <v>250</v>
      </c>
      <c r="B68" s="263"/>
      <c r="D68" s="286"/>
      <c r="E68" s="42">
        <f t="shared" ref="E68:AD68" si="48">SUM(E50:E67)-E52</f>
        <v>208432282.69999999</v>
      </c>
      <c r="F68" s="41">
        <f t="shared" si="48"/>
        <v>537102188</v>
      </c>
      <c r="G68" s="41">
        <f t="shared" si="48"/>
        <v>0</v>
      </c>
      <c r="H68" s="41">
        <f t="shared" si="48"/>
        <v>468468</v>
      </c>
      <c r="I68" s="21">
        <f>SUM(I50:I67)-I52</f>
        <v>746002938.70000005</v>
      </c>
      <c r="J68" s="42">
        <f t="shared" si="48"/>
        <v>3879932</v>
      </c>
      <c r="K68" s="41">
        <f t="shared" si="48"/>
        <v>43681922</v>
      </c>
      <c r="L68" s="41">
        <f t="shared" si="48"/>
        <v>0</v>
      </c>
      <c r="M68" s="41">
        <f t="shared" si="48"/>
        <v>13631872</v>
      </c>
      <c r="N68" s="21">
        <f t="shared" si="48"/>
        <v>61193726</v>
      </c>
      <c r="O68" s="41">
        <f t="shared" si="48"/>
        <v>4573313</v>
      </c>
      <c r="P68" s="41">
        <f t="shared" si="48"/>
        <v>43617596</v>
      </c>
      <c r="Q68" s="41">
        <f t="shared" si="48"/>
        <v>0</v>
      </c>
      <c r="R68" s="41">
        <f t="shared" si="48"/>
        <v>83878</v>
      </c>
      <c r="S68" s="21">
        <f t="shared" si="48"/>
        <v>48274787</v>
      </c>
      <c r="T68" s="42">
        <f t="shared" si="48"/>
        <v>20526581</v>
      </c>
      <c r="U68" s="41">
        <f t="shared" si="48"/>
        <v>43550628</v>
      </c>
      <c r="V68" s="41">
        <f t="shared" si="48"/>
        <v>0</v>
      </c>
      <c r="W68" s="41">
        <f t="shared" si="48"/>
        <v>23306</v>
      </c>
      <c r="X68" s="21">
        <f t="shared" si="48"/>
        <v>64100515</v>
      </c>
      <c r="Y68" s="42">
        <f t="shared" si="48"/>
        <v>27648509</v>
      </c>
      <c r="Z68" s="41">
        <f t="shared" si="48"/>
        <v>43533510</v>
      </c>
      <c r="AA68" s="41">
        <f t="shared" si="48"/>
        <v>0</v>
      </c>
      <c r="AB68" s="41">
        <f t="shared" si="48"/>
        <v>119906</v>
      </c>
      <c r="AC68" s="21">
        <f t="shared" si="48"/>
        <v>71301925</v>
      </c>
      <c r="AD68" s="42">
        <f t="shared" si="48"/>
        <v>27979426</v>
      </c>
      <c r="AE68" s="41">
        <f t="shared" ref="AE68:AM68" si="49">SUM(AE50:AE67)-AE52-AE59</f>
        <v>47971723</v>
      </c>
      <c r="AF68" s="41">
        <f t="shared" si="49"/>
        <v>0</v>
      </c>
      <c r="AG68" s="41">
        <f t="shared" si="49"/>
        <v>3800230</v>
      </c>
      <c r="AH68" s="21">
        <f t="shared" si="49"/>
        <v>79751379</v>
      </c>
      <c r="AI68" s="42">
        <f t="shared" si="49"/>
        <v>16793673</v>
      </c>
      <c r="AJ68" s="41">
        <f t="shared" si="49"/>
        <v>43671783</v>
      </c>
      <c r="AK68" s="41">
        <f t="shared" si="49"/>
        <v>0</v>
      </c>
      <c r="AL68" s="41">
        <f t="shared" si="49"/>
        <v>-9699979</v>
      </c>
      <c r="AM68" s="21">
        <f t="shared" si="49"/>
        <v>50765477</v>
      </c>
      <c r="AN68" s="42">
        <f>SUM(AN50:AN67)-AN52-AN59</f>
        <v>4808296</v>
      </c>
      <c r="AO68" s="41">
        <f>SUM(AO50:AO67)-AO52-AO59</f>
        <v>43633105</v>
      </c>
      <c r="AP68" s="41">
        <f>SUM(AP50:AP67)-AP52-AP55</f>
        <v>0</v>
      </c>
      <c r="AQ68" s="41">
        <f>SUM(AQ50:AQ67)-AQ52-AQ59</f>
        <v>2100030</v>
      </c>
      <c r="AR68" s="21">
        <f>SUM(AR50:AR67)-AR52-AR59</f>
        <v>50541431</v>
      </c>
      <c r="AS68" s="42">
        <f t="shared" ref="AS68:BQ68" si="50">SUM(AS50:AS67)-AS52</f>
        <v>2607166</v>
      </c>
      <c r="AT68" s="41">
        <f t="shared" si="50"/>
        <v>43671302</v>
      </c>
      <c r="AU68" s="41">
        <f t="shared" si="50"/>
        <v>0</v>
      </c>
      <c r="AV68" s="41">
        <f t="shared" si="50"/>
        <v>1363</v>
      </c>
      <c r="AW68" s="21">
        <f>SUM(AW50:AW67)-AW52</f>
        <v>46279831</v>
      </c>
      <c r="AX68" s="42">
        <f t="shared" si="50"/>
        <v>21433413</v>
      </c>
      <c r="AY68" s="41">
        <f t="shared" si="50"/>
        <v>48013567</v>
      </c>
      <c r="AZ68" s="41">
        <f t="shared" si="50"/>
        <v>0</v>
      </c>
      <c r="BA68" s="41">
        <f t="shared" si="50"/>
        <v>107525</v>
      </c>
      <c r="BB68" s="21">
        <f t="shared" si="50"/>
        <v>69554505</v>
      </c>
      <c r="BC68" s="42">
        <f t="shared" si="50"/>
        <v>29056094</v>
      </c>
      <c r="BD68" s="41">
        <f t="shared" si="50"/>
        <v>43811380</v>
      </c>
      <c r="BE68" s="41">
        <f t="shared" si="50"/>
        <v>0</v>
      </c>
      <c r="BF68" s="41">
        <f>SUM(BF50:BF67)-BF52-BF59</f>
        <v>-9699702</v>
      </c>
      <c r="BG68" s="21">
        <f>SUM(BG50:BG67)-BG52-BG59</f>
        <v>63167772</v>
      </c>
      <c r="BH68" s="42">
        <f t="shared" si="50"/>
        <v>0</v>
      </c>
      <c r="BI68" s="41">
        <f t="shared" si="50"/>
        <v>0</v>
      </c>
      <c r="BJ68" s="41">
        <f t="shared" si="50"/>
        <v>0</v>
      </c>
      <c r="BK68" s="41">
        <f t="shared" si="50"/>
        <v>0</v>
      </c>
      <c r="BL68" s="21">
        <f t="shared" si="50"/>
        <v>0</v>
      </c>
      <c r="BM68" s="42">
        <f t="shared" si="50"/>
        <v>0</v>
      </c>
      <c r="BN68" s="41">
        <f t="shared" si="50"/>
        <v>0</v>
      </c>
      <c r="BO68" s="41">
        <f t="shared" si="50"/>
        <v>0</v>
      </c>
      <c r="BP68" s="41">
        <f t="shared" si="50"/>
        <v>0</v>
      </c>
      <c r="BQ68" s="21">
        <f t="shared" si="50"/>
        <v>0</v>
      </c>
      <c r="BR68" s="42">
        <f>SUM(BR50:BR67)-BR52-BR59</f>
        <v>159306403</v>
      </c>
      <c r="BS68" s="41">
        <f>SUM(BS50:BS67)-BS52-BS59</f>
        <v>445156516</v>
      </c>
      <c r="BT68" s="41">
        <f>SUM(BT50:BT67)-BT52-BT59</f>
        <v>0</v>
      </c>
      <c r="BU68" s="41">
        <f>SUM(BU50:BU67)-BU52-BU59</f>
        <v>468429</v>
      </c>
      <c r="BV68" s="18">
        <f>SUM(BV50:BV67)-BV52-BV59</f>
        <v>604931348</v>
      </c>
      <c r="BW68" s="14"/>
      <c r="BX68" s="268"/>
    </row>
    <row r="69" spans="1:76" hidden="1" x14ac:dyDescent="0.2">
      <c r="A69" s="284" t="s">
        <v>284</v>
      </c>
      <c r="B69" s="263"/>
      <c r="D69" s="286"/>
      <c r="E69" s="49">
        <v>0</v>
      </c>
      <c r="F69" s="49">
        <v>0</v>
      </c>
      <c r="G69" s="49">
        <v>0</v>
      </c>
      <c r="H69" s="49">
        <v>0</v>
      </c>
      <c r="I69" s="45"/>
      <c r="J69" s="47">
        <v>0</v>
      </c>
      <c r="K69" s="49">
        <v>0</v>
      </c>
      <c r="L69" s="49">
        <v>0</v>
      </c>
      <c r="M69" s="49">
        <v>0</v>
      </c>
      <c r="N69" s="45">
        <v>0</v>
      </c>
      <c r="O69" s="49">
        <v>0</v>
      </c>
      <c r="P69" s="49">
        <v>0</v>
      </c>
      <c r="Q69" s="49">
        <v>0</v>
      </c>
      <c r="R69" s="49">
        <v>0</v>
      </c>
      <c r="S69" s="45">
        <v>0</v>
      </c>
      <c r="T69" s="49">
        <v>0</v>
      </c>
      <c r="U69" s="49">
        <v>0</v>
      </c>
      <c r="V69" s="49">
        <v>0</v>
      </c>
      <c r="W69" s="49">
        <v>0</v>
      </c>
      <c r="X69" s="45">
        <v>0</v>
      </c>
      <c r="Y69" s="49">
        <v>0</v>
      </c>
      <c r="Z69" s="49">
        <v>0</v>
      </c>
      <c r="AA69" s="49">
        <v>0</v>
      </c>
      <c r="AB69" s="49">
        <v>0</v>
      </c>
      <c r="AC69" s="45">
        <v>0</v>
      </c>
      <c r="AD69" s="49">
        <v>0</v>
      </c>
      <c r="AE69" s="49">
        <v>0</v>
      </c>
      <c r="AF69" s="49">
        <v>0</v>
      </c>
      <c r="AG69" s="49">
        <v>0</v>
      </c>
      <c r="AH69" s="45">
        <v>0</v>
      </c>
      <c r="AI69" s="49">
        <v>0</v>
      </c>
      <c r="AJ69" s="49">
        <v>0</v>
      </c>
      <c r="AK69" s="49">
        <v>0</v>
      </c>
      <c r="AL69" s="49">
        <v>0</v>
      </c>
      <c r="AM69" s="45">
        <v>0</v>
      </c>
      <c r="AN69" s="49">
        <v>0</v>
      </c>
      <c r="AO69" s="49">
        <v>0</v>
      </c>
      <c r="AP69" s="49">
        <v>0</v>
      </c>
      <c r="AQ69" s="49">
        <v>0</v>
      </c>
      <c r="AR69" s="45">
        <v>0</v>
      </c>
      <c r="AS69" s="49">
        <v>0</v>
      </c>
      <c r="AT69" s="49">
        <v>0</v>
      </c>
      <c r="AU69" s="49">
        <v>0</v>
      </c>
      <c r="AV69" s="49">
        <v>0</v>
      </c>
      <c r="AW69" s="45">
        <v>0</v>
      </c>
      <c r="AX69" s="49">
        <v>0</v>
      </c>
      <c r="AY69" s="49">
        <v>0</v>
      </c>
      <c r="AZ69" s="49">
        <v>0</v>
      </c>
      <c r="BA69" s="49">
        <v>0</v>
      </c>
      <c r="BB69" s="45">
        <v>0</v>
      </c>
      <c r="BC69" s="49">
        <v>0</v>
      </c>
      <c r="BD69" s="49">
        <v>0</v>
      </c>
      <c r="BE69" s="49">
        <v>0</v>
      </c>
      <c r="BF69" s="49">
        <v>0</v>
      </c>
      <c r="BG69" s="45">
        <v>0</v>
      </c>
      <c r="BH69" s="49">
        <v>0</v>
      </c>
      <c r="BI69" s="49">
        <v>0</v>
      </c>
      <c r="BJ69" s="49">
        <v>0</v>
      </c>
      <c r="BK69" s="49">
        <v>0</v>
      </c>
      <c r="BL69" s="45">
        <v>0</v>
      </c>
      <c r="BM69" s="49">
        <v>0</v>
      </c>
      <c r="BN69" s="49">
        <v>0</v>
      </c>
      <c r="BO69" s="49">
        <v>0</v>
      </c>
      <c r="BP69" s="49">
        <v>0</v>
      </c>
      <c r="BQ69" s="45">
        <v>0</v>
      </c>
      <c r="BR69" s="49">
        <v>0</v>
      </c>
      <c r="BS69" s="49">
        <v>0</v>
      </c>
      <c r="BT69" s="49">
        <v>0</v>
      </c>
      <c r="BU69" s="49">
        <v>0</v>
      </c>
      <c r="BV69" s="46">
        <v>0</v>
      </c>
      <c r="BW69" s="1"/>
      <c r="BX69" s="268"/>
    </row>
    <row r="70" spans="1:76" hidden="1" x14ac:dyDescent="0.2">
      <c r="A70" s="284" t="s">
        <v>285</v>
      </c>
      <c r="B70" s="263"/>
      <c r="D70" s="286"/>
      <c r="E70" s="49">
        <v>0</v>
      </c>
      <c r="F70" s="49">
        <v>0</v>
      </c>
      <c r="G70" s="49">
        <v>0</v>
      </c>
      <c r="H70" s="49">
        <v>0</v>
      </c>
      <c r="I70" s="45"/>
      <c r="J70" s="47">
        <v>0</v>
      </c>
      <c r="K70" s="49">
        <v>0</v>
      </c>
      <c r="L70" s="49">
        <v>0</v>
      </c>
      <c r="M70" s="49">
        <v>0</v>
      </c>
      <c r="N70" s="45">
        <v>0</v>
      </c>
      <c r="O70" s="49">
        <v>0</v>
      </c>
      <c r="P70" s="49">
        <v>0</v>
      </c>
      <c r="Q70" s="49">
        <v>0</v>
      </c>
      <c r="R70" s="49">
        <v>0</v>
      </c>
      <c r="S70" s="45">
        <v>0</v>
      </c>
      <c r="T70" s="49">
        <v>0</v>
      </c>
      <c r="U70" s="49">
        <v>0</v>
      </c>
      <c r="V70" s="49">
        <v>0</v>
      </c>
      <c r="W70" s="49">
        <v>0</v>
      </c>
      <c r="X70" s="45">
        <v>0</v>
      </c>
      <c r="Y70" s="49">
        <v>0</v>
      </c>
      <c r="Z70" s="49">
        <v>0</v>
      </c>
      <c r="AA70" s="49">
        <v>0</v>
      </c>
      <c r="AB70" s="49">
        <v>0</v>
      </c>
      <c r="AC70" s="45">
        <v>0</v>
      </c>
      <c r="AD70" s="49">
        <v>0</v>
      </c>
      <c r="AE70" s="49">
        <v>0</v>
      </c>
      <c r="AF70" s="49">
        <v>0</v>
      </c>
      <c r="AG70" s="49">
        <v>0</v>
      </c>
      <c r="AH70" s="45">
        <v>0</v>
      </c>
      <c r="AI70" s="49">
        <v>0</v>
      </c>
      <c r="AJ70" s="49">
        <v>0</v>
      </c>
      <c r="AK70" s="49">
        <v>0</v>
      </c>
      <c r="AL70" s="49">
        <v>0</v>
      </c>
      <c r="AM70" s="45">
        <v>0</v>
      </c>
      <c r="AN70" s="49">
        <v>0</v>
      </c>
      <c r="AO70" s="49">
        <v>0</v>
      </c>
      <c r="AP70" s="49">
        <v>0</v>
      </c>
      <c r="AQ70" s="49">
        <v>0</v>
      </c>
      <c r="AR70" s="45">
        <v>0</v>
      </c>
      <c r="AS70" s="49">
        <v>0</v>
      </c>
      <c r="AT70" s="49">
        <v>0</v>
      </c>
      <c r="AU70" s="49">
        <v>0</v>
      </c>
      <c r="AV70" s="49">
        <v>0</v>
      </c>
      <c r="AW70" s="45">
        <v>0</v>
      </c>
      <c r="AX70" s="49"/>
      <c r="AY70" s="49"/>
      <c r="AZ70" s="49"/>
      <c r="BA70" s="49"/>
      <c r="BB70" s="45"/>
      <c r="BC70" s="49"/>
      <c r="BD70" s="49"/>
      <c r="BE70" s="49"/>
      <c r="BF70" s="49"/>
      <c r="BG70" s="45"/>
      <c r="BH70" s="49"/>
      <c r="BI70" s="49"/>
      <c r="BJ70" s="49"/>
      <c r="BK70" s="49"/>
      <c r="BL70" s="45"/>
      <c r="BM70" s="49"/>
      <c r="BN70" s="49"/>
      <c r="BO70" s="49"/>
      <c r="BP70" s="49"/>
      <c r="BQ70" s="45"/>
      <c r="BR70" s="49">
        <v>0</v>
      </c>
      <c r="BS70" s="49">
        <v>0</v>
      </c>
      <c r="BT70" s="49">
        <v>0</v>
      </c>
      <c r="BU70" s="49">
        <v>0</v>
      </c>
      <c r="BV70" s="46">
        <v>0</v>
      </c>
      <c r="BW70" s="1"/>
      <c r="BX70" s="268"/>
    </row>
    <row r="71" spans="1:76" hidden="1" x14ac:dyDescent="0.2">
      <c r="A71" s="284" t="s">
        <v>286</v>
      </c>
      <c r="B71" s="263"/>
      <c r="D71" s="286"/>
      <c r="E71" s="49">
        <v>0</v>
      </c>
      <c r="F71" s="49">
        <v>0</v>
      </c>
      <c r="G71" s="49">
        <v>0</v>
      </c>
      <c r="H71" s="49">
        <v>0</v>
      </c>
      <c r="I71" s="45"/>
      <c r="J71" s="47">
        <v>0</v>
      </c>
      <c r="K71" s="49">
        <v>0</v>
      </c>
      <c r="L71" s="49">
        <v>0</v>
      </c>
      <c r="M71" s="49">
        <v>0</v>
      </c>
      <c r="N71" s="45">
        <f>SUM(J71:M71)</f>
        <v>0</v>
      </c>
      <c r="O71" s="49">
        <v>0</v>
      </c>
      <c r="P71" s="49">
        <v>0</v>
      </c>
      <c r="Q71" s="49">
        <v>0</v>
      </c>
      <c r="R71" s="49">
        <v>0</v>
      </c>
      <c r="S71" s="45">
        <v>0</v>
      </c>
      <c r="T71" s="49">
        <v>0</v>
      </c>
      <c r="U71" s="49">
        <v>0</v>
      </c>
      <c r="V71" s="49">
        <v>0</v>
      </c>
      <c r="W71" s="49">
        <v>0</v>
      </c>
      <c r="X71" s="45">
        <v>0</v>
      </c>
      <c r="Y71" s="49">
        <v>0</v>
      </c>
      <c r="Z71" s="49">
        <v>0</v>
      </c>
      <c r="AA71" s="49">
        <v>0</v>
      </c>
      <c r="AB71" s="49">
        <v>0</v>
      </c>
      <c r="AC71" s="45">
        <v>0</v>
      </c>
      <c r="AD71" s="49">
        <v>0</v>
      </c>
      <c r="AE71" s="49">
        <v>0</v>
      </c>
      <c r="AF71" s="49">
        <v>0</v>
      </c>
      <c r="AG71" s="49">
        <v>0</v>
      </c>
      <c r="AH71" s="45">
        <v>0</v>
      </c>
      <c r="AI71" s="49">
        <v>0</v>
      </c>
      <c r="AJ71" s="49">
        <v>0</v>
      </c>
      <c r="AK71" s="49">
        <v>0</v>
      </c>
      <c r="AL71" s="49">
        <v>0</v>
      </c>
      <c r="AM71" s="45">
        <v>0</v>
      </c>
      <c r="AN71" s="49">
        <v>0</v>
      </c>
      <c r="AO71" s="49">
        <v>0</v>
      </c>
      <c r="AP71" s="49">
        <v>0</v>
      </c>
      <c r="AQ71" s="49">
        <v>0</v>
      </c>
      <c r="AR71" s="45">
        <v>0</v>
      </c>
      <c r="AS71" s="49">
        <v>0</v>
      </c>
      <c r="AT71" s="49">
        <v>0</v>
      </c>
      <c r="AU71" s="49">
        <v>0</v>
      </c>
      <c r="AV71" s="49">
        <v>0</v>
      </c>
      <c r="AW71" s="45">
        <v>0</v>
      </c>
      <c r="AX71" s="49"/>
      <c r="AY71" s="49"/>
      <c r="AZ71" s="49"/>
      <c r="BA71" s="49"/>
      <c r="BB71" s="45"/>
      <c r="BC71" s="49"/>
      <c r="BD71" s="49"/>
      <c r="BE71" s="49"/>
      <c r="BF71" s="49"/>
      <c r="BG71" s="45"/>
      <c r="BH71" s="49"/>
      <c r="BI71" s="49"/>
      <c r="BJ71" s="49"/>
      <c r="BK71" s="49"/>
      <c r="BL71" s="45"/>
      <c r="BM71" s="49"/>
      <c r="BN71" s="49"/>
      <c r="BO71" s="49"/>
      <c r="BP71" s="49"/>
      <c r="BQ71" s="45"/>
      <c r="BR71" s="49">
        <f>+J71+O71+T71+Y71+AD71+AI71+AN71+AS71+AX71+BC71+BH71+BM71</f>
        <v>0</v>
      </c>
      <c r="BS71" s="49">
        <f>+K71+P71+U71+Z71+AE71+AJ71+AO71+AT71+AY71+BD71+BI71+BN71</f>
        <v>0</v>
      </c>
      <c r="BT71" s="49">
        <f>+L71+Q71+V71+AA71+AF71+AK71+AP71+AU71+AZ71+BE71+BJ71+BO71</f>
        <v>0</v>
      </c>
      <c r="BU71" s="49">
        <f>+M71+R71+W71+AB71+AG71+AL71+AQ71+AV71+BA71+BF71+BK71+BP71</f>
        <v>0</v>
      </c>
      <c r="BV71" s="46">
        <f>SUM(BR71:BU71)</f>
        <v>0</v>
      </c>
      <c r="BW71" s="1"/>
      <c r="BX71" s="268"/>
    </row>
    <row r="72" spans="1:76" hidden="1" x14ac:dyDescent="0.2">
      <c r="A72" s="284" t="s">
        <v>287</v>
      </c>
      <c r="B72" s="263"/>
      <c r="D72" s="286"/>
      <c r="E72" s="49">
        <v>0</v>
      </c>
      <c r="F72" s="49">
        <v>0</v>
      </c>
      <c r="G72" s="49">
        <v>0</v>
      </c>
      <c r="H72" s="49">
        <v>0</v>
      </c>
      <c r="I72" s="45"/>
      <c r="J72" s="47">
        <v>0</v>
      </c>
      <c r="K72" s="49">
        <v>0</v>
      </c>
      <c r="L72" s="49">
        <v>0</v>
      </c>
      <c r="M72" s="49">
        <v>0</v>
      </c>
      <c r="N72" s="45">
        <v>0</v>
      </c>
      <c r="O72" s="49">
        <v>0</v>
      </c>
      <c r="P72" s="49">
        <v>0</v>
      </c>
      <c r="Q72" s="49">
        <v>0</v>
      </c>
      <c r="R72" s="49">
        <v>0</v>
      </c>
      <c r="S72" s="45">
        <v>0</v>
      </c>
      <c r="T72" s="49">
        <v>0</v>
      </c>
      <c r="U72" s="49">
        <v>0</v>
      </c>
      <c r="V72" s="49">
        <v>0</v>
      </c>
      <c r="W72" s="49">
        <v>0</v>
      </c>
      <c r="X72" s="45">
        <v>0</v>
      </c>
      <c r="Y72" s="49">
        <v>0</v>
      </c>
      <c r="Z72" s="49">
        <v>0</v>
      </c>
      <c r="AA72" s="49">
        <v>0</v>
      </c>
      <c r="AB72" s="49">
        <v>0</v>
      </c>
      <c r="AC72" s="45">
        <v>0</v>
      </c>
      <c r="AD72" s="49">
        <v>0</v>
      </c>
      <c r="AE72" s="49">
        <v>0</v>
      </c>
      <c r="AF72" s="49">
        <v>0</v>
      </c>
      <c r="AG72" s="49">
        <v>0</v>
      </c>
      <c r="AH72" s="45">
        <v>0</v>
      </c>
      <c r="AI72" s="49">
        <v>0</v>
      </c>
      <c r="AJ72" s="49">
        <v>0</v>
      </c>
      <c r="AK72" s="49">
        <v>0</v>
      </c>
      <c r="AL72" s="49">
        <v>0</v>
      </c>
      <c r="AM72" s="45">
        <v>0</v>
      </c>
      <c r="AN72" s="49">
        <v>0</v>
      </c>
      <c r="AO72" s="49">
        <v>0</v>
      </c>
      <c r="AP72" s="49">
        <v>0</v>
      </c>
      <c r="AQ72" s="49">
        <v>0</v>
      </c>
      <c r="AR72" s="45">
        <v>0</v>
      </c>
      <c r="AS72" s="49">
        <v>0</v>
      </c>
      <c r="AT72" s="49">
        <v>0</v>
      </c>
      <c r="AU72" s="49">
        <v>0</v>
      </c>
      <c r="AV72" s="49">
        <v>0</v>
      </c>
      <c r="AW72" s="45">
        <v>0</v>
      </c>
      <c r="AX72" s="49"/>
      <c r="AY72" s="49"/>
      <c r="AZ72" s="49"/>
      <c r="BA72" s="49"/>
      <c r="BB72" s="45"/>
      <c r="BC72" s="49"/>
      <c r="BD72" s="49"/>
      <c r="BE72" s="49"/>
      <c r="BF72" s="49"/>
      <c r="BG72" s="45"/>
      <c r="BH72" s="49"/>
      <c r="BI72" s="49"/>
      <c r="BJ72" s="49"/>
      <c r="BK72" s="49"/>
      <c r="BL72" s="45"/>
      <c r="BM72" s="49"/>
      <c r="BN72" s="49"/>
      <c r="BO72" s="49"/>
      <c r="BP72" s="49"/>
      <c r="BQ72" s="45"/>
      <c r="BR72" s="49">
        <v>0</v>
      </c>
      <c r="BS72" s="49">
        <v>0</v>
      </c>
      <c r="BT72" s="49">
        <v>0</v>
      </c>
      <c r="BU72" s="49">
        <v>0</v>
      </c>
      <c r="BV72" s="46">
        <v>0</v>
      </c>
      <c r="BW72" s="1"/>
      <c r="BX72" s="268"/>
    </row>
    <row r="73" spans="1:76" ht="13.5" customHeight="1" x14ac:dyDescent="0.2">
      <c r="A73" s="316" t="s">
        <v>182</v>
      </c>
      <c r="B73" s="318"/>
      <c r="C73" s="318"/>
      <c r="D73" s="341"/>
      <c r="E73" s="342">
        <f t="shared" ref="E73:BP73" si="51">+E47+E68+E69+E70+E71+E72</f>
        <v>452231135.69999999</v>
      </c>
      <c r="F73" s="343">
        <f t="shared" si="51"/>
        <v>1161710554</v>
      </c>
      <c r="G73" s="343">
        <f t="shared" si="51"/>
        <v>12204523</v>
      </c>
      <c r="H73" s="343">
        <f t="shared" si="51"/>
        <v>64986974</v>
      </c>
      <c r="I73" s="344">
        <f>+I47+I68</f>
        <v>1691133186.7</v>
      </c>
      <c r="J73" s="342">
        <f t="shared" si="51"/>
        <v>21299829</v>
      </c>
      <c r="K73" s="343">
        <f t="shared" si="51"/>
        <v>102058569</v>
      </c>
      <c r="L73" s="343">
        <f t="shared" si="51"/>
        <v>362073</v>
      </c>
      <c r="M73" s="343">
        <f t="shared" si="51"/>
        <v>13633997</v>
      </c>
      <c r="N73" s="344">
        <f t="shared" si="51"/>
        <v>137354468</v>
      </c>
      <c r="O73" s="343">
        <f t="shared" si="51"/>
        <v>23389993</v>
      </c>
      <c r="P73" s="343">
        <f t="shared" si="51"/>
        <v>90353168</v>
      </c>
      <c r="Q73" s="343">
        <f t="shared" si="51"/>
        <v>582691</v>
      </c>
      <c r="R73" s="343">
        <f t="shared" si="51"/>
        <v>135434</v>
      </c>
      <c r="S73" s="344">
        <f t="shared" si="51"/>
        <v>114461286</v>
      </c>
      <c r="T73" s="342">
        <f t="shared" si="51"/>
        <v>39453704</v>
      </c>
      <c r="U73" s="343">
        <f t="shared" si="51"/>
        <v>83604736</v>
      </c>
      <c r="V73" s="343">
        <f t="shared" si="51"/>
        <v>553754</v>
      </c>
      <c r="W73" s="343">
        <f t="shared" si="51"/>
        <v>23276</v>
      </c>
      <c r="X73" s="344">
        <f t="shared" si="51"/>
        <v>123635470</v>
      </c>
      <c r="Y73" s="342">
        <f t="shared" si="51"/>
        <v>47785459</v>
      </c>
      <c r="Z73" s="343">
        <f t="shared" si="51"/>
        <v>124231215</v>
      </c>
      <c r="AA73" s="343">
        <f t="shared" si="51"/>
        <v>714762</v>
      </c>
      <c r="AB73" s="343">
        <f t="shared" si="51"/>
        <v>122353</v>
      </c>
      <c r="AC73" s="344">
        <f t="shared" si="51"/>
        <v>172853789</v>
      </c>
      <c r="AD73" s="342">
        <f t="shared" si="51"/>
        <v>47186195</v>
      </c>
      <c r="AE73" s="343">
        <f t="shared" si="51"/>
        <v>98938819</v>
      </c>
      <c r="AF73" s="343">
        <f t="shared" si="51"/>
        <v>844913</v>
      </c>
      <c r="AG73" s="343">
        <f t="shared" si="51"/>
        <v>3802346</v>
      </c>
      <c r="AH73" s="344">
        <f t="shared" si="51"/>
        <v>150772273</v>
      </c>
      <c r="AI73" s="342">
        <f t="shared" si="51"/>
        <v>36134750</v>
      </c>
      <c r="AJ73" s="343">
        <f t="shared" si="51"/>
        <v>77572968</v>
      </c>
      <c r="AK73" s="343">
        <f t="shared" si="51"/>
        <v>853464</v>
      </c>
      <c r="AL73" s="343">
        <f t="shared" si="51"/>
        <v>3802194</v>
      </c>
      <c r="AM73" s="344">
        <f t="shared" si="51"/>
        <v>118363376</v>
      </c>
      <c r="AN73" s="342">
        <f>+AN47+AN68+AN69+AN70+AN71+AN72</f>
        <v>25297181</v>
      </c>
      <c r="AO73" s="343">
        <f t="shared" si="51"/>
        <v>98060723</v>
      </c>
      <c r="AP73" s="343">
        <f t="shared" si="51"/>
        <v>670997</v>
      </c>
      <c r="AQ73" s="343">
        <f>+AQ47+AQ68+AQ69+AQ70+AQ71+AQ72</f>
        <v>2101544</v>
      </c>
      <c r="AR73" s="344">
        <f>+AR47+AR68+AR69+AR70+AR71+AR72</f>
        <v>126130445</v>
      </c>
      <c r="AS73" s="342">
        <f t="shared" si="51"/>
        <v>22391188</v>
      </c>
      <c r="AT73" s="343">
        <f t="shared" si="51"/>
        <v>87521398</v>
      </c>
      <c r="AU73" s="343">
        <f t="shared" si="51"/>
        <v>737799</v>
      </c>
      <c r="AV73" s="343">
        <f t="shared" si="51"/>
        <v>11508</v>
      </c>
      <c r="AW73" s="344">
        <f t="shared" si="51"/>
        <v>110661893</v>
      </c>
      <c r="AX73" s="342">
        <f t="shared" si="51"/>
        <v>41128944</v>
      </c>
      <c r="AY73" s="343">
        <f t="shared" si="51"/>
        <v>102434676</v>
      </c>
      <c r="AZ73" s="343">
        <f t="shared" si="51"/>
        <v>1572655</v>
      </c>
      <c r="BA73" s="343">
        <f t="shared" si="51"/>
        <v>17382458</v>
      </c>
      <c r="BB73" s="344">
        <f t="shared" si="51"/>
        <v>162518733</v>
      </c>
      <c r="BC73" s="342">
        <f t="shared" si="51"/>
        <v>48538016</v>
      </c>
      <c r="BD73" s="343">
        <f t="shared" si="51"/>
        <v>89460505</v>
      </c>
      <c r="BE73" s="343">
        <f t="shared" si="51"/>
        <v>896488</v>
      </c>
      <c r="BF73" s="343">
        <f t="shared" si="51"/>
        <v>7924</v>
      </c>
      <c r="BG73" s="344">
        <f t="shared" si="51"/>
        <v>138902933</v>
      </c>
      <c r="BH73" s="342">
        <f t="shared" si="51"/>
        <v>0</v>
      </c>
      <c r="BI73" s="343">
        <f t="shared" si="51"/>
        <v>0</v>
      </c>
      <c r="BJ73" s="343">
        <f t="shared" si="51"/>
        <v>0</v>
      </c>
      <c r="BK73" s="343">
        <f t="shared" si="51"/>
        <v>0</v>
      </c>
      <c r="BL73" s="344">
        <f t="shared" si="51"/>
        <v>0</v>
      </c>
      <c r="BM73" s="342">
        <f t="shared" si="51"/>
        <v>0</v>
      </c>
      <c r="BN73" s="343">
        <f t="shared" si="51"/>
        <v>0</v>
      </c>
      <c r="BO73" s="343">
        <f t="shared" si="51"/>
        <v>0</v>
      </c>
      <c r="BP73" s="343">
        <f t="shared" si="51"/>
        <v>0</v>
      </c>
      <c r="BQ73" s="344">
        <f t="shared" ref="BQ73:BV73" si="52">+BQ47+BQ68+BQ69+BQ70+BQ71+BQ72</f>
        <v>0</v>
      </c>
      <c r="BR73" s="342">
        <f t="shared" si="52"/>
        <v>352605259</v>
      </c>
      <c r="BS73" s="343">
        <f t="shared" si="52"/>
        <v>954236777</v>
      </c>
      <c r="BT73" s="343">
        <f t="shared" si="52"/>
        <v>7789596</v>
      </c>
      <c r="BU73" s="343">
        <f t="shared" si="52"/>
        <v>41023034</v>
      </c>
      <c r="BV73" s="345">
        <f t="shared" si="52"/>
        <v>1355654666</v>
      </c>
      <c r="BW73" s="1"/>
      <c r="BX73" s="268"/>
    </row>
    <row r="74" spans="1:76" ht="13.5" hidden="1" customHeight="1" x14ac:dyDescent="0.2">
      <c r="A74" s="284"/>
      <c r="D74" s="282" t="s">
        <v>130</v>
      </c>
      <c r="E74" s="329">
        <v>0</v>
      </c>
      <c r="F74" s="330">
        <v>0</v>
      </c>
      <c r="G74" s="330">
        <v>0</v>
      </c>
      <c r="H74" s="346">
        <v>0</v>
      </c>
      <c r="I74" s="44">
        <v>0</v>
      </c>
      <c r="J74" s="329">
        <v>0</v>
      </c>
      <c r="K74" s="330">
        <v>0</v>
      </c>
      <c r="L74" s="330">
        <v>0</v>
      </c>
      <c r="M74" s="346">
        <v>0</v>
      </c>
      <c r="N74" s="45">
        <v>0</v>
      </c>
      <c r="O74" s="330">
        <v>0</v>
      </c>
      <c r="P74" s="330">
        <v>0</v>
      </c>
      <c r="Q74" s="330">
        <v>0</v>
      </c>
      <c r="R74" s="346">
        <v>0</v>
      </c>
      <c r="S74" s="44">
        <v>0</v>
      </c>
      <c r="T74" s="329">
        <v>0</v>
      </c>
      <c r="U74" s="330">
        <v>0</v>
      </c>
      <c r="V74" s="330">
        <v>0</v>
      </c>
      <c r="W74" s="346">
        <v>0</v>
      </c>
      <c r="X74" s="44">
        <v>0</v>
      </c>
      <c r="Y74" s="329">
        <v>0</v>
      </c>
      <c r="Z74" s="330">
        <v>0</v>
      </c>
      <c r="AA74" s="330">
        <v>0</v>
      </c>
      <c r="AB74" s="330">
        <v>0</v>
      </c>
      <c r="AC74" s="173">
        <f>SUM(Y74:AB74)</f>
        <v>0</v>
      </c>
      <c r="AD74" s="329">
        <v>0</v>
      </c>
      <c r="AE74" s="330">
        <v>0</v>
      </c>
      <c r="AF74" s="330">
        <v>0</v>
      </c>
      <c r="AG74" s="346">
        <v>0</v>
      </c>
      <c r="AH74" s="44">
        <f>SUM(AD74:AG74)</f>
        <v>0</v>
      </c>
      <c r="AI74" s="329">
        <v>0</v>
      </c>
      <c r="AJ74" s="330">
        <v>0</v>
      </c>
      <c r="AK74" s="330">
        <v>0</v>
      </c>
      <c r="AL74" s="346">
        <v>0</v>
      </c>
      <c r="AM74" s="44">
        <f>SUM(AI74:AL74)</f>
        <v>0</v>
      </c>
      <c r="AN74" s="329">
        <v>0</v>
      </c>
      <c r="AO74" s="330">
        <v>0</v>
      </c>
      <c r="AP74" s="330">
        <v>0</v>
      </c>
      <c r="AQ74" s="346">
        <v>0</v>
      </c>
      <c r="AR74" s="44">
        <f>SUM(AN74:AQ74)</f>
        <v>0</v>
      </c>
      <c r="AS74" s="329">
        <v>0</v>
      </c>
      <c r="AT74" s="330">
        <v>0</v>
      </c>
      <c r="AU74" s="330">
        <v>0</v>
      </c>
      <c r="AV74" s="346">
        <v>0</v>
      </c>
      <c r="AW74" s="44">
        <f>SUM(AS74:AV74)</f>
        <v>0</v>
      </c>
      <c r="AX74" s="329">
        <v>0</v>
      </c>
      <c r="AY74" s="330">
        <v>0</v>
      </c>
      <c r="AZ74" s="330">
        <v>0</v>
      </c>
      <c r="BA74" s="346">
        <v>0</v>
      </c>
      <c r="BB74" s="44">
        <f>SUM(AX74:BA74)</f>
        <v>0</v>
      </c>
      <c r="BC74" s="329">
        <v>0</v>
      </c>
      <c r="BD74" s="330">
        <v>0</v>
      </c>
      <c r="BE74" s="330">
        <v>0</v>
      </c>
      <c r="BF74" s="346">
        <v>0</v>
      </c>
      <c r="BG74" s="44">
        <f>SUM(BC74:BF74)</f>
        <v>0</v>
      </c>
      <c r="BH74" s="329">
        <v>0</v>
      </c>
      <c r="BI74" s="330">
        <v>0</v>
      </c>
      <c r="BJ74" s="330">
        <v>0</v>
      </c>
      <c r="BK74" s="346">
        <v>0</v>
      </c>
      <c r="BL74" s="44">
        <f>SUM(BH74:BK74)</f>
        <v>0</v>
      </c>
      <c r="BM74" s="329">
        <v>0</v>
      </c>
      <c r="BN74" s="330">
        <v>0</v>
      </c>
      <c r="BO74" s="330">
        <v>0</v>
      </c>
      <c r="BP74" s="346">
        <v>0</v>
      </c>
      <c r="BQ74" s="44">
        <f>SUM(BM74:BP74)</f>
        <v>0</v>
      </c>
      <c r="BR74" s="329">
        <v>0</v>
      </c>
      <c r="BS74" s="330">
        <v>0</v>
      </c>
      <c r="BT74" s="330">
        <v>0</v>
      </c>
      <c r="BU74" s="346">
        <v>0</v>
      </c>
      <c r="BV74" s="46">
        <f>SUM(BR74:BU74)</f>
        <v>0</v>
      </c>
      <c r="BW74" s="1"/>
      <c r="BX74" s="268"/>
    </row>
    <row r="75" spans="1:76" ht="13.5" hidden="1" customHeight="1" x14ac:dyDescent="0.2">
      <c r="A75" s="284" t="s">
        <v>251</v>
      </c>
      <c r="D75" s="286"/>
      <c r="E75" s="330">
        <v>0</v>
      </c>
      <c r="F75" s="330">
        <v>0</v>
      </c>
      <c r="G75" s="330">
        <v>0</v>
      </c>
      <c r="H75" s="330">
        <v>0</v>
      </c>
      <c r="I75" s="45">
        <v>0</v>
      </c>
      <c r="J75" s="329">
        <v>0</v>
      </c>
      <c r="K75" s="330">
        <v>0</v>
      </c>
      <c r="L75" s="330">
        <v>0</v>
      </c>
      <c r="M75" s="330">
        <v>0</v>
      </c>
      <c r="N75" s="45">
        <v>0</v>
      </c>
      <c r="O75" s="330">
        <v>0</v>
      </c>
      <c r="P75" s="330">
        <v>0</v>
      </c>
      <c r="Q75" s="330">
        <v>0</v>
      </c>
      <c r="R75" s="330">
        <v>0</v>
      </c>
      <c r="S75" s="45">
        <v>0</v>
      </c>
      <c r="T75" s="330">
        <v>0</v>
      </c>
      <c r="U75" s="330">
        <v>0</v>
      </c>
      <c r="V75" s="330">
        <v>0</v>
      </c>
      <c r="W75" s="330">
        <v>0</v>
      </c>
      <c r="X75" s="45">
        <v>0</v>
      </c>
      <c r="Y75" s="330">
        <v>0</v>
      </c>
      <c r="Z75" s="330">
        <v>0</v>
      </c>
      <c r="AA75" s="330">
        <v>0</v>
      </c>
      <c r="AB75" s="330">
        <v>0</v>
      </c>
      <c r="AC75" s="45">
        <f>SUM(Y75:AB75)</f>
        <v>0</v>
      </c>
      <c r="AD75" s="330">
        <v>0</v>
      </c>
      <c r="AE75" s="330">
        <v>0</v>
      </c>
      <c r="AF75" s="330">
        <v>0</v>
      </c>
      <c r="AG75" s="330">
        <v>0</v>
      </c>
      <c r="AH75" s="45">
        <f>SUM(AD75:AG75)</f>
        <v>0</v>
      </c>
      <c r="AI75" s="330">
        <v>0</v>
      </c>
      <c r="AJ75" s="330">
        <v>0</v>
      </c>
      <c r="AK75" s="330">
        <v>0</v>
      </c>
      <c r="AL75" s="330">
        <v>0</v>
      </c>
      <c r="AM75" s="45">
        <f>SUM(AI75:AL75)</f>
        <v>0</v>
      </c>
      <c r="AN75" s="330">
        <v>0</v>
      </c>
      <c r="AO75" s="330">
        <v>0</v>
      </c>
      <c r="AP75" s="330">
        <v>0</v>
      </c>
      <c r="AQ75" s="330">
        <v>0</v>
      </c>
      <c r="AR75" s="45">
        <f>SUM(AN75:AQ75)</f>
        <v>0</v>
      </c>
      <c r="AS75" s="330">
        <v>0</v>
      </c>
      <c r="AT75" s="330">
        <v>0</v>
      </c>
      <c r="AU75" s="330">
        <v>0</v>
      </c>
      <c r="AV75" s="330">
        <v>0</v>
      </c>
      <c r="AW75" s="45">
        <f>SUM(AS75:AV75)</f>
        <v>0</v>
      </c>
      <c r="AX75" s="330">
        <v>0</v>
      </c>
      <c r="AY75" s="330">
        <v>0</v>
      </c>
      <c r="AZ75" s="330">
        <v>0</v>
      </c>
      <c r="BA75" s="330">
        <v>0</v>
      </c>
      <c r="BB75" s="45">
        <f>SUM(AX75:BA75)</f>
        <v>0</v>
      </c>
      <c r="BC75" s="330">
        <v>0</v>
      </c>
      <c r="BD75" s="330">
        <v>0</v>
      </c>
      <c r="BE75" s="330">
        <v>0</v>
      </c>
      <c r="BF75" s="330">
        <v>0</v>
      </c>
      <c r="BG75" s="45">
        <f>SUM(BC75:BF75)</f>
        <v>0</v>
      </c>
      <c r="BH75" s="330">
        <v>0</v>
      </c>
      <c r="BI75" s="330">
        <v>0</v>
      </c>
      <c r="BJ75" s="330">
        <v>0</v>
      </c>
      <c r="BK75" s="330">
        <v>0</v>
      </c>
      <c r="BL75" s="45">
        <f>SUM(BH75:BK75)</f>
        <v>0</v>
      </c>
      <c r="BM75" s="330">
        <v>0</v>
      </c>
      <c r="BN75" s="330">
        <v>0</v>
      </c>
      <c r="BO75" s="330">
        <v>0</v>
      </c>
      <c r="BP75" s="330">
        <v>0</v>
      </c>
      <c r="BQ75" s="45">
        <f>SUM(BM75:BP75)</f>
        <v>0</v>
      </c>
      <c r="BR75" s="330">
        <v>0</v>
      </c>
      <c r="BS75" s="330">
        <v>0</v>
      </c>
      <c r="BT75" s="330">
        <v>0</v>
      </c>
      <c r="BU75" s="330">
        <v>0</v>
      </c>
      <c r="BV75" s="46">
        <f>SUM(BR75:BU75)</f>
        <v>0</v>
      </c>
      <c r="BW75" s="1"/>
      <c r="BX75" s="268"/>
    </row>
    <row r="76" spans="1:76" ht="13.5" hidden="1" customHeight="1" x14ac:dyDescent="0.2">
      <c r="A76" s="284"/>
      <c r="D76" s="286"/>
      <c r="E76" s="330">
        <v>0</v>
      </c>
      <c r="F76" s="330">
        <v>0</v>
      </c>
      <c r="G76" s="330">
        <v>0</v>
      </c>
      <c r="H76" s="330">
        <v>0</v>
      </c>
      <c r="I76" s="45">
        <v>0</v>
      </c>
      <c r="J76" s="329">
        <v>0</v>
      </c>
      <c r="K76" s="330">
        <v>0</v>
      </c>
      <c r="L76" s="330">
        <v>0</v>
      </c>
      <c r="M76" s="330">
        <v>0</v>
      </c>
      <c r="N76" s="45">
        <v>0</v>
      </c>
      <c r="O76" s="330">
        <v>0</v>
      </c>
      <c r="P76" s="330">
        <v>0</v>
      </c>
      <c r="Q76" s="330">
        <v>0</v>
      </c>
      <c r="R76" s="330">
        <v>0</v>
      </c>
      <c r="S76" s="45">
        <v>0</v>
      </c>
      <c r="T76" s="330">
        <v>0</v>
      </c>
      <c r="U76" s="330">
        <v>0</v>
      </c>
      <c r="V76" s="330">
        <v>0</v>
      </c>
      <c r="W76" s="330">
        <v>0</v>
      </c>
      <c r="X76" s="45">
        <v>0</v>
      </c>
      <c r="Y76" s="330">
        <v>0</v>
      </c>
      <c r="Z76" s="330">
        <v>0</v>
      </c>
      <c r="AA76" s="330">
        <v>0</v>
      </c>
      <c r="AB76" s="330">
        <v>0</v>
      </c>
      <c r="AC76" s="202">
        <f>SUM(Y76:AB76)</f>
        <v>0</v>
      </c>
      <c r="AD76" s="330">
        <v>0</v>
      </c>
      <c r="AE76" s="330">
        <v>0</v>
      </c>
      <c r="AF76" s="330">
        <v>0</v>
      </c>
      <c r="AG76" s="330">
        <v>0</v>
      </c>
      <c r="AH76" s="45">
        <f>SUM(AD76:AG76)</f>
        <v>0</v>
      </c>
      <c r="AI76" s="330">
        <v>0</v>
      </c>
      <c r="AJ76" s="330">
        <v>0</v>
      </c>
      <c r="AK76" s="330">
        <v>0</v>
      </c>
      <c r="AL76" s="330">
        <v>0</v>
      </c>
      <c r="AM76" s="45">
        <f>SUM(AI76:AL76)</f>
        <v>0</v>
      </c>
      <c r="AN76" s="330">
        <v>0</v>
      </c>
      <c r="AO76" s="330">
        <v>0</v>
      </c>
      <c r="AP76" s="330">
        <v>0</v>
      </c>
      <c r="AQ76" s="330">
        <v>0</v>
      </c>
      <c r="AR76" s="45">
        <f>SUM(AN76:AQ76)</f>
        <v>0</v>
      </c>
      <c r="AS76" s="330">
        <v>0</v>
      </c>
      <c r="AT76" s="330">
        <v>0</v>
      </c>
      <c r="AU76" s="330">
        <v>0</v>
      </c>
      <c r="AV76" s="330">
        <v>0</v>
      </c>
      <c r="AW76" s="45">
        <f>SUM(AS76:AV76)</f>
        <v>0</v>
      </c>
      <c r="AX76" s="330">
        <v>0</v>
      </c>
      <c r="AY76" s="330">
        <v>0</v>
      </c>
      <c r="AZ76" s="330">
        <v>0</v>
      </c>
      <c r="BA76" s="330">
        <v>0</v>
      </c>
      <c r="BB76" s="45">
        <f>SUM(AX76:BA76)</f>
        <v>0</v>
      </c>
      <c r="BC76" s="330">
        <v>0</v>
      </c>
      <c r="BD76" s="330">
        <v>0</v>
      </c>
      <c r="BE76" s="330">
        <v>0</v>
      </c>
      <c r="BF76" s="330">
        <v>0</v>
      </c>
      <c r="BG76" s="45">
        <f>SUM(BC76:BF76)</f>
        <v>0</v>
      </c>
      <c r="BH76" s="330">
        <v>0</v>
      </c>
      <c r="BI76" s="330">
        <v>0</v>
      </c>
      <c r="BJ76" s="330">
        <v>0</v>
      </c>
      <c r="BK76" s="330">
        <v>0</v>
      </c>
      <c r="BL76" s="45">
        <f>SUM(BH76:BK76)</f>
        <v>0</v>
      </c>
      <c r="BM76" s="330">
        <v>0</v>
      </c>
      <c r="BN76" s="330">
        <v>0</v>
      </c>
      <c r="BO76" s="330">
        <v>0</v>
      </c>
      <c r="BP76" s="330">
        <v>0</v>
      </c>
      <c r="BQ76" s="45">
        <f>SUM(BM76:BP76)</f>
        <v>0</v>
      </c>
      <c r="BR76" s="330">
        <v>0</v>
      </c>
      <c r="BS76" s="330">
        <v>0</v>
      </c>
      <c r="BT76" s="330">
        <v>0</v>
      </c>
      <c r="BU76" s="330">
        <v>0</v>
      </c>
      <c r="BV76" s="46">
        <f>SUM(BR76:BU76)</f>
        <v>0</v>
      </c>
      <c r="BW76" s="1"/>
      <c r="BX76" s="268"/>
    </row>
    <row r="77" spans="1:76" x14ac:dyDescent="0.2">
      <c r="A77" s="316" t="s">
        <v>252</v>
      </c>
      <c r="B77" s="317"/>
      <c r="C77" s="318"/>
      <c r="D77" s="319"/>
      <c r="E77" s="303">
        <f>+E73+E74+E75</f>
        <v>452231135.69999999</v>
      </c>
      <c r="F77" s="303">
        <f>+F73+F74+F75</f>
        <v>1161710554</v>
      </c>
      <c r="G77" s="303">
        <f>+G73+G74+G75</f>
        <v>12204523</v>
      </c>
      <c r="H77" s="303">
        <f>+H73+H74+H75</f>
        <v>64986974</v>
      </c>
      <c r="I77" s="301">
        <f>+I73+I74+I75</f>
        <v>1691133186.7</v>
      </c>
      <c r="J77" s="302">
        <f t="shared" ref="J77:BU77" si="53">+J73+J74+J75</f>
        <v>21299829</v>
      </c>
      <c r="K77" s="303">
        <f t="shared" si="53"/>
        <v>102058569</v>
      </c>
      <c r="L77" s="303">
        <f t="shared" si="53"/>
        <v>362073</v>
      </c>
      <c r="M77" s="303">
        <f t="shared" si="53"/>
        <v>13633997</v>
      </c>
      <c r="N77" s="301">
        <f t="shared" si="53"/>
        <v>137354468</v>
      </c>
      <c r="O77" s="303">
        <f t="shared" si="53"/>
        <v>23389993</v>
      </c>
      <c r="P77" s="303">
        <f t="shared" si="53"/>
        <v>90353168</v>
      </c>
      <c r="Q77" s="303">
        <f t="shared" si="53"/>
        <v>582691</v>
      </c>
      <c r="R77" s="303">
        <f t="shared" si="53"/>
        <v>135434</v>
      </c>
      <c r="S77" s="301">
        <f t="shared" si="53"/>
        <v>114461286</v>
      </c>
      <c r="T77" s="303">
        <f t="shared" si="53"/>
        <v>39453704</v>
      </c>
      <c r="U77" s="303">
        <f t="shared" si="53"/>
        <v>83604736</v>
      </c>
      <c r="V77" s="303">
        <f t="shared" si="53"/>
        <v>553754</v>
      </c>
      <c r="W77" s="303">
        <f t="shared" si="53"/>
        <v>23276</v>
      </c>
      <c r="X77" s="301">
        <f t="shared" si="53"/>
        <v>123635470</v>
      </c>
      <c r="Y77" s="303">
        <f t="shared" si="53"/>
        <v>47785459</v>
      </c>
      <c r="Z77" s="303">
        <f t="shared" si="53"/>
        <v>124231215</v>
      </c>
      <c r="AA77" s="303">
        <f t="shared" si="53"/>
        <v>714762</v>
      </c>
      <c r="AB77" s="303">
        <f t="shared" si="53"/>
        <v>122353</v>
      </c>
      <c r="AC77" s="301">
        <f t="shared" si="53"/>
        <v>172853789</v>
      </c>
      <c r="AD77" s="303">
        <f t="shared" si="53"/>
        <v>47186195</v>
      </c>
      <c r="AE77" s="303">
        <f t="shared" si="53"/>
        <v>98938819</v>
      </c>
      <c r="AF77" s="303">
        <f t="shared" si="53"/>
        <v>844913</v>
      </c>
      <c r="AG77" s="303">
        <f t="shared" si="53"/>
        <v>3802346</v>
      </c>
      <c r="AH77" s="301">
        <f t="shared" si="53"/>
        <v>150772273</v>
      </c>
      <c r="AI77" s="303">
        <f t="shared" si="53"/>
        <v>36134750</v>
      </c>
      <c r="AJ77" s="303">
        <f t="shared" si="53"/>
        <v>77572968</v>
      </c>
      <c r="AK77" s="303">
        <f t="shared" si="53"/>
        <v>853464</v>
      </c>
      <c r="AL77" s="303">
        <f t="shared" si="53"/>
        <v>3802194</v>
      </c>
      <c r="AM77" s="301">
        <f t="shared" si="53"/>
        <v>118363376</v>
      </c>
      <c r="AN77" s="303">
        <f t="shared" si="53"/>
        <v>25297181</v>
      </c>
      <c r="AO77" s="303">
        <f t="shared" si="53"/>
        <v>98060723</v>
      </c>
      <c r="AP77" s="303">
        <f t="shared" si="53"/>
        <v>670997</v>
      </c>
      <c r="AQ77" s="303">
        <f t="shared" si="53"/>
        <v>2101544</v>
      </c>
      <c r="AR77" s="301">
        <f t="shared" si="53"/>
        <v>126130445</v>
      </c>
      <c r="AS77" s="303">
        <f t="shared" si="53"/>
        <v>22391188</v>
      </c>
      <c r="AT77" s="303">
        <f t="shared" si="53"/>
        <v>87521398</v>
      </c>
      <c r="AU77" s="303">
        <f t="shared" si="53"/>
        <v>737799</v>
      </c>
      <c r="AV77" s="303">
        <f t="shared" si="53"/>
        <v>11508</v>
      </c>
      <c r="AW77" s="301">
        <f t="shared" si="53"/>
        <v>110661893</v>
      </c>
      <c r="AX77" s="303">
        <f t="shared" si="53"/>
        <v>41128944</v>
      </c>
      <c r="AY77" s="303">
        <f t="shared" si="53"/>
        <v>102434676</v>
      </c>
      <c r="AZ77" s="303">
        <f t="shared" si="53"/>
        <v>1572655</v>
      </c>
      <c r="BA77" s="303">
        <f t="shared" si="53"/>
        <v>17382458</v>
      </c>
      <c r="BB77" s="301">
        <f t="shared" si="53"/>
        <v>162518733</v>
      </c>
      <c r="BC77" s="303">
        <f t="shared" si="53"/>
        <v>48538016</v>
      </c>
      <c r="BD77" s="303">
        <f t="shared" si="53"/>
        <v>89460505</v>
      </c>
      <c r="BE77" s="303">
        <f t="shared" si="53"/>
        <v>896488</v>
      </c>
      <c r="BF77" s="303">
        <f t="shared" si="53"/>
        <v>7924</v>
      </c>
      <c r="BG77" s="301">
        <f t="shared" si="53"/>
        <v>138902933</v>
      </c>
      <c r="BH77" s="303">
        <f t="shared" si="53"/>
        <v>0</v>
      </c>
      <c r="BI77" s="303">
        <f t="shared" si="53"/>
        <v>0</v>
      </c>
      <c r="BJ77" s="303">
        <f t="shared" si="53"/>
        <v>0</v>
      </c>
      <c r="BK77" s="303">
        <f t="shared" si="53"/>
        <v>0</v>
      </c>
      <c r="BL77" s="301">
        <f t="shared" si="53"/>
        <v>0</v>
      </c>
      <c r="BM77" s="303">
        <f t="shared" si="53"/>
        <v>0</v>
      </c>
      <c r="BN77" s="303">
        <f t="shared" si="53"/>
        <v>0</v>
      </c>
      <c r="BO77" s="303">
        <f t="shared" si="53"/>
        <v>0</v>
      </c>
      <c r="BP77" s="303">
        <f t="shared" si="53"/>
        <v>0</v>
      </c>
      <c r="BQ77" s="301">
        <f t="shared" si="53"/>
        <v>0</v>
      </c>
      <c r="BR77" s="303">
        <f t="shared" si="53"/>
        <v>352605259</v>
      </c>
      <c r="BS77" s="303">
        <f t="shared" si="53"/>
        <v>954236777</v>
      </c>
      <c r="BT77" s="303">
        <f t="shared" si="53"/>
        <v>7789596</v>
      </c>
      <c r="BU77" s="303">
        <f t="shared" si="53"/>
        <v>41023034</v>
      </c>
      <c r="BV77" s="305">
        <f t="shared" ref="BV77:DB77" si="54">+BV73+BV74+BV75</f>
        <v>1355654666</v>
      </c>
      <c r="BW77" s="320"/>
      <c r="BX77" s="268"/>
    </row>
    <row r="78" spans="1:76" ht="13.9" customHeight="1" x14ac:dyDescent="0.2">
      <c r="A78" s="347" t="s">
        <v>253</v>
      </c>
      <c r="B78" s="348"/>
      <c r="C78" s="348"/>
      <c r="D78" s="263"/>
      <c r="E78" s="349"/>
      <c r="F78" s="350"/>
      <c r="G78" s="350"/>
      <c r="H78" s="350"/>
      <c r="I78" s="350"/>
      <c r="J78" s="350"/>
      <c r="K78" s="350"/>
      <c r="L78" s="350"/>
      <c r="M78" s="350"/>
      <c r="N78" s="350"/>
      <c r="O78" s="350"/>
      <c r="P78" s="350"/>
      <c r="Q78" s="350"/>
      <c r="R78" s="350"/>
      <c r="S78" s="350"/>
      <c r="T78" s="350"/>
      <c r="U78" s="350"/>
      <c r="V78" s="350"/>
      <c r="W78" s="350"/>
      <c r="X78" s="350"/>
      <c r="Y78" s="350"/>
      <c r="Z78" s="350"/>
      <c r="AA78" s="350"/>
      <c r="AB78" s="350"/>
      <c r="AC78" s="350"/>
      <c r="AD78" s="350"/>
      <c r="AE78" s="350"/>
      <c r="AF78" s="350"/>
      <c r="AG78" s="350"/>
      <c r="AH78" s="350"/>
      <c r="AI78" s="350"/>
      <c r="AJ78" s="350"/>
      <c r="AK78" s="350"/>
      <c r="AL78" s="350"/>
      <c r="AM78" s="350"/>
      <c r="AN78" s="350"/>
      <c r="AO78" s="350"/>
      <c r="AP78" s="350"/>
      <c r="AQ78" s="350"/>
      <c r="AR78" s="350"/>
      <c r="AS78" s="350"/>
      <c r="AT78" s="350"/>
      <c r="AU78" s="350"/>
      <c r="AV78" s="350"/>
      <c r="AW78" s="350"/>
      <c r="AX78" s="350"/>
      <c r="AY78" s="350"/>
      <c r="AZ78" s="350"/>
      <c r="BA78" s="350"/>
      <c r="BB78" s="350"/>
      <c r="BC78" s="350"/>
      <c r="BD78" s="350"/>
      <c r="BE78" s="350"/>
      <c r="BF78" s="350"/>
      <c r="BG78" s="350"/>
      <c r="BH78" s="350"/>
      <c r="BI78" s="350"/>
      <c r="BJ78" s="350"/>
      <c r="BK78" s="350"/>
      <c r="BL78" s="350"/>
      <c r="BM78" s="350"/>
      <c r="BN78" s="350"/>
      <c r="BO78" s="350"/>
      <c r="BP78" s="350"/>
      <c r="BQ78" s="350"/>
      <c r="BR78" s="350"/>
      <c r="BS78" s="350"/>
      <c r="BT78" s="350"/>
      <c r="BU78" s="350"/>
      <c r="BV78" s="350"/>
    </row>
    <row r="79" spans="1:76" ht="13.9" customHeight="1" x14ac:dyDescent="0.2">
      <c r="A79" s="294" t="s">
        <v>288</v>
      </c>
      <c r="B79" s="321"/>
      <c r="C79" s="321"/>
      <c r="D79" s="321"/>
      <c r="E79" s="321"/>
      <c r="F79" s="321"/>
      <c r="G79" s="321"/>
      <c r="H79" s="321"/>
      <c r="I79" s="74"/>
      <c r="J79" s="350"/>
      <c r="K79" s="350"/>
      <c r="L79" s="350"/>
      <c r="M79" s="350"/>
      <c r="N79" s="350"/>
      <c r="O79" s="350"/>
      <c r="P79" s="350"/>
      <c r="Q79" s="350"/>
      <c r="R79" s="350"/>
      <c r="S79" s="350"/>
      <c r="T79" s="350"/>
      <c r="U79" s="350"/>
      <c r="V79" s="350"/>
      <c r="W79" s="350"/>
      <c r="X79" s="350"/>
      <c r="Y79" s="350"/>
      <c r="Z79" s="350"/>
      <c r="AA79" s="350"/>
      <c r="AB79" s="350"/>
      <c r="AC79" s="350"/>
      <c r="AD79" s="350"/>
      <c r="AE79" s="350"/>
      <c r="AF79" s="350"/>
      <c r="AG79" s="350"/>
      <c r="AH79" s="350"/>
      <c r="AI79" s="350"/>
      <c r="AK79" s="350"/>
      <c r="AL79" s="350"/>
      <c r="AM79" s="350"/>
      <c r="AN79" s="350"/>
      <c r="AO79" s="350"/>
      <c r="AP79" s="350"/>
      <c r="AQ79" s="350"/>
      <c r="AR79" s="350"/>
      <c r="AS79" s="350"/>
      <c r="AT79" s="350"/>
      <c r="AU79" s="350"/>
      <c r="AV79" s="350"/>
      <c r="AW79" s="350"/>
      <c r="AX79" s="350"/>
      <c r="AY79" s="350"/>
      <c r="AZ79" s="350"/>
      <c r="BA79" s="350"/>
      <c r="BB79" s="350"/>
      <c r="BC79" s="350"/>
      <c r="BD79" s="350"/>
      <c r="BE79" s="350"/>
      <c r="BF79" s="350"/>
      <c r="BG79" s="350"/>
      <c r="BH79" s="350"/>
      <c r="BI79" s="350"/>
      <c r="BJ79" s="350"/>
      <c r="BK79" s="350"/>
      <c r="BL79" s="350"/>
      <c r="BM79" s="350"/>
      <c r="BN79" s="350"/>
      <c r="BO79" s="350"/>
      <c r="BP79" s="350"/>
      <c r="BQ79" s="350"/>
      <c r="BR79" s="350"/>
      <c r="BS79" s="350"/>
      <c r="BT79" s="350"/>
      <c r="BU79" s="350"/>
      <c r="BV79" s="350"/>
    </row>
    <row r="80" spans="1:76" hidden="1" x14ac:dyDescent="0.2">
      <c r="A80" s="294" t="s">
        <v>289</v>
      </c>
      <c r="B80" s="321"/>
      <c r="C80" s="321"/>
      <c r="D80" s="321"/>
      <c r="E80" s="321"/>
      <c r="F80" s="321"/>
      <c r="G80" s="321"/>
      <c r="H80" s="321"/>
      <c r="I80" s="321"/>
      <c r="J80" s="351"/>
      <c r="K80" s="351"/>
      <c r="L80" s="351"/>
      <c r="M80" s="351"/>
      <c r="N80" s="351"/>
      <c r="O80" s="351"/>
      <c r="P80" s="351"/>
      <c r="Q80" s="351"/>
      <c r="R80" s="351"/>
      <c r="S80" s="351"/>
      <c r="T80" s="351"/>
      <c r="U80" s="351"/>
      <c r="V80" s="351"/>
      <c r="W80" s="351"/>
      <c r="X80" s="351"/>
      <c r="Y80" s="351"/>
      <c r="Z80" s="351"/>
      <c r="AA80" s="351"/>
      <c r="AB80" s="351"/>
      <c r="AC80" s="351"/>
      <c r="AD80" s="351"/>
      <c r="AE80" s="351"/>
      <c r="AF80" s="351"/>
      <c r="AG80" s="351"/>
      <c r="AH80" s="351"/>
      <c r="AI80" s="351"/>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1"/>
      <c r="BM80" s="351"/>
      <c r="BN80" s="351"/>
      <c r="BO80" s="351"/>
      <c r="BP80" s="351"/>
      <c r="BQ80" s="351"/>
      <c r="BR80" s="351"/>
      <c r="BS80" s="351"/>
      <c r="BT80" s="351"/>
      <c r="BU80" s="351"/>
      <c r="BV80" s="351"/>
    </row>
    <row r="81" spans="1:74" ht="12" customHeight="1" x14ac:dyDescent="0.2">
      <c r="A81" s="347" t="s">
        <v>290</v>
      </c>
      <c r="B81" s="352"/>
      <c r="C81" s="352"/>
      <c r="D81" s="263"/>
      <c r="E81" s="353"/>
      <c r="F81" s="351"/>
      <c r="G81" s="351"/>
      <c r="H81" s="351"/>
      <c r="I81" s="351"/>
      <c r="J81" s="351"/>
      <c r="K81" s="351"/>
      <c r="L81" s="351"/>
      <c r="M81" s="351"/>
      <c r="N81" s="351"/>
      <c r="O81" s="351"/>
      <c r="P81" s="351"/>
      <c r="Q81" s="351"/>
      <c r="R81" s="351"/>
      <c r="S81" s="351"/>
      <c r="T81" s="351"/>
      <c r="U81" s="351"/>
      <c r="V81" s="351"/>
      <c r="W81" s="351"/>
      <c r="X81" s="351"/>
      <c r="Y81" s="351"/>
      <c r="Z81" s="351"/>
      <c r="AA81" s="351"/>
      <c r="AB81" s="351"/>
      <c r="AC81" s="351"/>
      <c r="AD81" s="351"/>
      <c r="AE81" s="351"/>
      <c r="AF81" s="351"/>
      <c r="AG81" s="351"/>
      <c r="AH81" s="351"/>
      <c r="AI81" s="351"/>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M81" s="351"/>
      <c r="BN81" s="351"/>
      <c r="BO81" s="351"/>
      <c r="BP81" s="351"/>
      <c r="BQ81" s="351"/>
      <c r="BR81" s="351"/>
      <c r="BS81" s="351"/>
      <c r="BT81" s="351"/>
      <c r="BU81" s="351"/>
      <c r="BV81" s="351"/>
    </row>
    <row r="82" spans="1:74" ht="13.9" customHeight="1" x14ac:dyDescent="0.2">
      <c r="A82" s="294" t="s">
        <v>258</v>
      </c>
      <c r="B82" s="294"/>
      <c r="C82" s="294"/>
      <c r="D82" s="294"/>
      <c r="E82" s="294"/>
      <c r="F82" s="294"/>
      <c r="G82" s="294"/>
      <c r="H82" s="294"/>
      <c r="J82" s="350"/>
      <c r="K82" s="350"/>
      <c r="L82" s="350"/>
      <c r="M82" s="350"/>
      <c r="N82" s="350"/>
      <c r="O82" s="350"/>
      <c r="P82" s="350"/>
      <c r="Q82" s="350"/>
      <c r="R82" s="350"/>
      <c r="S82" s="350"/>
      <c r="T82" s="350"/>
      <c r="U82" s="350"/>
      <c r="V82" s="350"/>
      <c r="W82" s="350"/>
      <c r="X82" s="350"/>
      <c r="Y82" s="350"/>
      <c r="Z82" s="350"/>
      <c r="AA82" s="350"/>
      <c r="AB82" s="350"/>
      <c r="AC82" s="350"/>
      <c r="AD82" s="350"/>
      <c r="AE82" s="350"/>
      <c r="AF82" s="350"/>
      <c r="AG82" s="350"/>
      <c r="AH82" s="350"/>
      <c r="AI82" s="350"/>
      <c r="AJ82" s="350"/>
      <c r="AK82" s="350"/>
      <c r="AL82" s="350"/>
      <c r="AM82" s="350"/>
      <c r="AN82" s="350"/>
      <c r="AO82" s="350"/>
      <c r="AP82" s="350"/>
      <c r="AQ82" s="350"/>
      <c r="AR82" s="350"/>
      <c r="AS82" s="350"/>
      <c r="AT82" s="350"/>
      <c r="AU82" s="350"/>
      <c r="AV82" s="350"/>
      <c r="AW82" s="350"/>
      <c r="AX82" s="350"/>
      <c r="AY82" s="350"/>
      <c r="AZ82" s="350"/>
      <c r="BA82" s="350"/>
      <c r="BB82" s="350"/>
      <c r="BC82" s="350"/>
      <c r="BD82" s="350"/>
      <c r="BE82" s="350"/>
      <c r="BF82" s="350"/>
      <c r="BG82" s="350"/>
      <c r="BH82" s="350"/>
      <c r="BI82" s="350"/>
      <c r="BJ82" s="350"/>
      <c r="BK82" s="350"/>
      <c r="BL82" s="350"/>
      <c r="BM82" s="350"/>
      <c r="BN82" s="350"/>
      <c r="BO82" s="350"/>
      <c r="BP82" s="350"/>
      <c r="BQ82" s="350"/>
      <c r="BR82" s="350"/>
      <c r="BS82" s="350"/>
      <c r="BT82" s="350"/>
      <c r="BU82" s="350"/>
      <c r="BV82" s="350"/>
    </row>
    <row r="83" spans="1:74" x14ac:dyDescent="0.2">
      <c r="A83" s="294" t="s">
        <v>291</v>
      </c>
      <c r="B83" s="321"/>
      <c r="C83" s="321"/>
      <c r="D83" s="321"/>
      <c r="E83" s="321"/>
      <c r="F83" s="321"/>
      <c r="G83" s="321"/>
      <c r="H83" s="321"/>
      <c r="I83" s="74"/>
      <c r="J83" s="350"/>
      <c r="K83" s="350"/>
      <c r="L83" s="350"/>
      <c r="M83" s="350"/>
      <c r="N83" s="350"/>
      <c r="O83" s="350"/>
      <c r="P83" s="350"/>
      <c r="Q83" s="350"/>
      <c r="R83" s="350"/>
      <c r="S83" s="350"/>
      <c r="T83" s="350"/>
      <c r="U83" s="350"/>
      <c r="V83" s="350"/>
      <c r="W83" s="350"/>
      <c r="X83" s="350"/>
      <c r="Y83" s="350"/>
      <c r="Z83" s="350"/>
      <c r="AA83" s="350"/>
      <c r="AB83" s="350"/>
      <c r="AC83" s="350"/>
      <c r="AD83" s="350"/>
      <c r="AE83" s="350"/>
      <c r="AF83" s="350"/>
      <c r="AG83" s="350"/>
      <c r="AH83" s="350"/>
      <c r="AI83" s="350"/>
      <c r="AK83" s="350"/>
      <c r="AL83" s="350"/>
      <c r="AM83" s="350"/>
      <c r="AN83" s="350"/>
      <c r="AO83" s="350"/>
      <c r="AP83" s="350"/>
      <c r="AQ83" s="350"/>
      <c r="AR83" s="350"/>
      <c r="AS83" s="350"/>
      <c r="AT83" s="350"/>
      <c r="AU83" s="350"/>
      <c r="AV83" s="350"/>
      <c r="AW83" s="350"/>
      <c r="AX83" s="350"/>
      <c r="AY83" s="350"/>
      <c r="AZ83" s="350"/>
      <c r="BA83" s="350"/>
      <c r="BB83" s="350"/>
      <c r="BC83" s="350"/>
      <c r="BD83" s="350"/>
      <c r="BE83" s="350"/>
      <c r="BF83" s="350"/>
      <c r="BG83" s="350"/>
      <c r="BH83" s="350"/>
      <c r="BI83" s="350"/>
      <c r="BJ83" s="350"/>
      <c r="BK83" s="350"/>
      <c r="BL83" s="350"/>
      <c r="BM83" s="350"/>
      <c r="BN83" s="350"/>
      <c r="BO83" s="350"/>
      <c r="BP83" s="350"/>
      <c r="BQ83" s="350"/>
      <c r="BR83" s="350"/>
      <c r="BS83" s="350"/>
      <c r="BT83" s="350"/>
      <c r="BU83" s="350"/>
      <c r="BV83" s="350"/>
    </row>
    <row r="86" spans="1:74" x14ac:dyDescent="0.2">
      <c r="B86" s="270"/>
      <c r="C86" s="263"/>
      <c r="D86" s="263"/>
      <c r="E86" s="349"/>
      <c r="F86" s="350"/>
      <c r="G86" s="350"/>
      <c r="H86" s="350"/>
      <c r="I86" s="350"/>
      <c r="J86" s="350"/>
      <c r="K86" s="350"/>
      <c r="L86" s="350"/>
      <c r="M86" s="350"/>
      <c r="N86" s="350"/>
      <c r="O86" s="350"/>
      <c r="P86" s="350"/>
      <c r="Q86" s="350"/>
      <c r="R86" s="350"/>
      <c r="S86" s="350"/>
      <c r="T86" s="350"/>
      <c r="U86" s="350"/>
      <c r="V86" s="350"/>
      <c r="W86" s="350"/>
      <c r="X86" s="350"/>
      <c r="Y86" s="350"/>
      <c r="Z86" s="350"/>
      <c r="AA86" s="350"/>
      <c r="AB86" s="350"/>
      <c r="AC86" s="350"/>
      <c r="AD86" s="350"/>
      <c r="AE86" s="350"/>
      <c r="AF86" s="350"/>
      <c r="AG86" s="350"/>
      <c r="AH86" s="350"/>
      <c r="AI86" s="350"/>
      <c r="AJ86" s="350"/>
      <c r="AK86" s="350"/>
      <c r="AL86" s="350"/>
      <c r="AM86" s="350"/>
      <c r="AN86" s="350"/>
      <c r="AO86" s="350"/>
      <c r="AP86" s="350"/>
      <c r="AQ86" s="350"/>
      <c r="AR86" s="350"/>
      <c r="AS86" s="350"/>
      <c r="AT86" s="350"/>
      <c r="AU86" s="350"/>
      <c r="AV86" s="350"/>
      <c r="AW86" s="350"/>
      <c r="AX86" s="350"/>
      <c r="AY86" s="350"/>
      <c r="AZ86" s="350"/>
      <c r="BA86" s="350"/>
      <c r="BB86" s="350"/>
      <c r="BC86" s="350"/>
      <c r="BD86" s="350"/>
      <c r="BE86" s="350"/>
      <c r="BF86" s="350"/>
      <c r="BG86" s="350"/>
      <c r="BH86" s="350"/>
      <c r="BI86" s="350"/>
      <c r="BJ86" s="350"/>
      <c r="BK86" s="350"/>
      <c r="BL86" s="350"/>
      <c r="BM86" s="350"/>
      <c r="BN86" s="350"/>
      <c r="BO86" s="350"/>
      <c r="BP86" s="350"/>
      <c r="BQ86" s="350"/>
      <c r="BR86" s="350"/>
      <c r="BS86" s="350"/>
      <c r="BT86" s="350"/>
      <c r="BU86" s="350"/>
      <c r="BV86" s="350"/>
    </row>
    <row r="87" spans="1:74" x14ac:dyDescent="0.2">
      <c r="B87" s="270"/>
      <c r="C87" s="263"/>
      <c r="D87" s="263"/>
      <c r="E87" s="349"/>
      <c r="F87" s="350"/>
      <c r="G87" s="350"/>
      <c r="H87" s="350"/>
      <c r="I87" s="350"/>
      <c r="J87" s="350"/>
      <c r="K87" s="350"/>
      <c r="L87" s="350"/>
      <c r="M87" s="350"/>
      <c r="N87" s="350"/>
      <c r="O87" s="350"/>
      <c r="P87" s="350"/>
      <c r="Q87" s="350"/>
      <c r="R87" s="350"/>
      <c r="S87" s="350"/>
      <c r="T87" s="350"/>
      <c r="U87" s="350"/>
      <c r="V87" s="350"/>
      <c r="W87" s="350"/>
      <c r="X87" s="350"/>
      <c r="Y87" s="350"/>
      <c r="Z87" s="350"/>
      <c r="AA87" s="350"/>
      <c r="AB87" s="350"/>
      <c r="AC87" s="350"/>
      <c r="AD87" s="350"/>
      <c r="AE87" s="350"/>
      <c r="AF87" s="350"/>
      <c r="AG87" s="350"/>
      <c r="AH87" s="350"/>
      <c r="AI87" s="350"/>
      <c r="AJ87" s="350"/>
      <c r="AK87" s="350"/>
      <c r="AL87" s="350"/>
      <c r="AM87" s="350"/>
      <c r="AN87" s="350"/>
      <c r="AO87" s="350"/>
      <c r="AP87" s="350"/>
      <c r="AQ87" s="350"/>
      <c r="AR87" s="350"/>
      <c r="AS87" s="350"/>
      <c r="AT87" s="350"/>
      <c r="AU87" s="350"/>
      <c r="AV87" s="350"/>
      <c r="AW87" s="350"/>
      <c r="AX87" s="350"/>
      <c r="AY87" s="350"/>
      <c r="AZ87" s="350"/>
      <c r="BA87" s="350"/>
      <c r="BB87" s="350"/>
      <c r="BC87" s="350"/>
      <c r="BD87" s="350"/>
      <c r="BE87" s="350"/>
      <c r="BF87" s="350"/>
      <c r="BG87" s="350"/>
      <c r="BH87" s="350"/>
      <c r="BI87" s="350"/>
      <c r="BJ87" s="350"/>
      <c r="BK87" s="350"/>
      <c r="BL87" s="350"/>
      <c r="BM87" s="350"/>
      <c r="BN87" s="350"/>
      <c r="BO87" s="350"/>
      <c r="BP87" s="350"/>
      <c r="BQ87" s="350"/>
      <c r="BR87" s="350"/>
      <c r="BS87" s="350"/>
      <c r="BT87" s="350"/>
      <c r="BU87" s="350"/>
      <c r="BV87" s="350"/>
    </row>
    <row r="88" spans="1:74" x14ac:dyDescent="0.2">
      <c r="B88" s="270"/>
      <c r="C88" s="263"/>
      <c r="D88" s="263"/>
      <c r="E88" s="349"/>
      <c r="F88" s="350"/>
      <c r="G88" s="350"/>
      <c r="H88" s="350"/>
      <c r="I88" s="350"/>
      <c r="J88" s="350"/>
      <c r="K88" s="350"/>
      <c r="L88" s="350"/>
      <c r="M88" s="350"/>
      <c r="N88" s="350"/>
      <c r="O88" s="350"/>
      <c r="P88" s="350"/>
      <c r="Q88" s="350"/>
      <c r="R88" s="350"/>
      <c r="S88" s="350"/>
      <c r="T88" s="350"/>
      <c r="U88" s="350"/>
      <c r="V88" s="350"/>
      <c r="W88" s="350"/>
      <c r="X88" s="350"/>
      <c r="Y88" s="350"/>
      <c r="Z88" s="350"/>
      <c r="AA88" s="350"/>
      <c r="AB88" s="350"/>
      <c r="AC88" s="350"/>
      <c r="AD88" s="350"/>
      <c r="AE88" s="350"/>
      <c r="AF88" s="350"/>
      <c r="AG88" s="350"/>
      <c r="AH88" s="350"/>
      <c r="AI88" s="350"/>
      <c r="AJ88" s="350"/>
      <c r="AK88" s="350"/>
      <c r="AL88" s="350"/>
      <c r="AM88" s="350"/>
      <c r="AN88" s="350"/>
      <c r="AO88" s="350"/>
      <c r="AP88" s="350"/>
      <c r="AQ88" s="350"/>
      <c r="AR88" s="350"/>
      <c r="AS88" s="350"/>
      <c r="AT88" s="350"/>
      <c r="AU88" s="350"/>
      <c r="AV88" s="350"/>
      <c r="AW88" s="350"/>
      <c r="AX88" s="350"/>
      <c r="AY88" s="350"/>
      <c r="AZ88" s="350"/>
      <c r="BA88" s="350"/>
      <c r="BB88" s="350"/>
      <c r="BC88" s="350"/>
      <c r="BD88" s="350"/>
      <c r="BE88" s="350"/>
      <c r="BF88" s="350"/>
      <c r="BG88" s="350"/>
      <c r="BH88" s="350"/>
      <c r="BI88" s="350"/>
      <c r="BJ88" s="350"/>
      <c r="BK88" s="350"/>
      <c r="BL88" s="350"/>
      <c r="BM88" s="350"/>
      <c r="BN88" s="350"/>
      <c r="BO88" s="350"/>
      <c r="BP88" s="350"/>
      <c r="BQ88" s="350"/>
      <c r="BR88" s="350"/>
      <c r="BS88" s="350"/>
      <c r="BT88" s="350"/>
      <c r="BU88" s="350"/>
      <c r="BV88" s="350"/>
    </row>
    <row r="89" spans="1:74" x14ac:dyDescent="0.2">
      <c r="B89" s="270"/>
      <c r="C89" s="263"/>
      <c r="D89" s="263"/>
      <c r="E89" s="349"/>
      <c r="F89" s="350"/>
      <c r="G89" s="350"/>
      <c r="H89" s="350"/>
      <c r="I89" s="350"/>
      <c r="J89" s="350"/>
      <c r="K89" s="350"/>
      <c r="L89" s="350"/>
      <c r="M89" s="350"/>
      <c r="N89" s="350"/>
      <c r="O89" s="350"/>
      <c r="P89" s="350"/>
      <c r="Q89" s="350"/>
      <c r="R89" s="350"/>
      <c r="S89" s="350"/>
      <c r="T89" s="350"/>
      <c r="U89" s="350"/>
      <c r="V89" s="350"/>
      <c r="W89" s="350"/>
      <c r="X89" s="350"/>
      <c r="Y89" s="350"/>
      <c r="Z89" s="350"/>
      <c r="AA89" s="350"/>
      <c r="AB89" s="350"/>
      <c r="AC89" s="350"/>
      <c r="AD89" s="350"/>
      <c r="AE89" s="350"/>
      <c r="AF89" s="350"/>
      <c r="AG89" s="350"/>
      <c r="AH89" s="350"/>
      <c r="AI89" s="350"/>
      <c r="AJ89" s="350"/>
      <c r="AK89" s="350"/>
      <c r="AL89" s="350"/>
      <c r="AM89" s="350"/>
      <c r="AN89" s="350"/>
      <c r="AO89" s="350"/>
      <c r="AP89" s="350"/>
      <c r="AQ89" s="350"/>
      <c r="AR89" s="350"/>
      <c r="AS89" s="350"/>
      <c r="AT89" s="350"/>
      <c r="AU89" s="350"/>
      <c r="AV89" s="350"/>
      <c r="AW89" s="350"/>
      <c r="AX89" s="350"/>
      <c r="AY89" s="350"/>
      <c r="AZ89" s="350"/>
      <c r="BA89" s="350"/>
      <c r="BB89" s="350"/>
      <c r="BC89" s="350"/>
      <c r="BD89" s="350"/>
      <c r="BE89" s="350"/>
      <c r="BF89" s="350"/>
      <c r="BG89" s="350"/>
      <c r="BH89" s="350"/>
      <c r="BI89" s="350"/>
      <c r="BJ89" s="350"/>
      <c r="BK89" s="350"/>
      <c r="BL89" s="350"/>
      <c r="BM89" s="350"/>
      <c r="BN89" s="350"/>
      <c r="BO89" s="350"/>
      <c r="BP89" s="350"/>
      <c r="BQ89" s="350"/>
      <c r="BR89" s="350"/>
      <c r="BS89" s="350"/>
      <c r="BT89" s="350"/>
      <c r="BU89" s="350"/>
      <c r="BV89" s="350"/>
    </row>
    <row r="90" spans="1:74" x14ac:dyDescent="0.2">
      <c r="B90" s="270"/>
      <c r="C90" s="263"/>
      <c r="D90" s="263"/>
      <c r="E90" s="349"/>
      <c r="F90" s="350"/>
      <c r="G90" s="350"/>
      <c r="H90" s="350"/>
      <c r="I90" s="350"/>
      <c r="J90" s="350"/>
      <c r="K90" s="350"/>
      <c r="L90" s="350"/>
      <c r="M90" s="350"/>
      <c r="N90" s="350"/>
      <c r="O90" s="350"/>
      <c r="P90" s="350"/>
      <c r="Q90" s="350"/>
      <c r="R90" s="350"/>
      <c r="S90" s="350"/>
      <c r="T90" s="350"/>
      <c r="U90" s="350"/>
      <c r="V90" s="350"/>
      <c r="W90" s="350"/>
      <c r="X90" s="350"/>
      <c r="Y90" s="350"/>
      <c r="Z90" s="350"/>
      <c r="AA90" s="350"/>
      <c r="AB90" s="350"/>
      <c r="AC90" s="350"/>
      <c r="AD90" s="350"/>
      <c r="AE90" s="350"/>
      <c r="AF90" s="350"/>
      <c r="AG90" s="350"/>
      <c r="AH90" s="350"/>
      <c r="AI90" s="350"/>
      <c r="AJ90" s="350"/>
      <c r="AK90" s="350"/>
      <c r="AL90" s="350"/>
      <c r="AM90" s="350"/>
      <c r="AN90" s="350"/>
      <c r="AO90" s="350"/>
      <c r="AP90" s="350"/>
      <c r="AQ90" s="350"/>
      <c r="AR90" s="350"/>
      <c r="AS90" s="350"/>
      <c r="AT90" s="350"/>
      <c r="AU90" s="350"/>
      <c r="AV90" s="350"/>
      <c r="AW90" s="350"/>
      <c r="AX90" s="350"/>
      <c r="AY90" s="350"/>
      <c r="AZ90" s="350"/>
      <c r="BA90" s="350"/>
      <c r="BB90" s="350"/>
      <c r="BC90" s="350"/>
      <c r="BD90" s="350"/>
      <c r="BE90" s="350"/>
      <c r="BF90" s="350"/>
      <c r="BG90" s="350"/>
      <c r="BH90" s="350"/>
      <c r="BI90" s="350"/>
      <c r="BJ90" s="350"/>
      <c r="BK90" s="350"/>
      <c r="BL90" s="350"/>
      <c r="BM90" s="350"/>
      <c r="BN90" s="350"/>
      <c r="BO90" s="350"/>
      <c r="BP90" s="350"/>
      <c r="BQ90" s="350"/>
      <c r="BR90" s="350"/>
      <c r="BS90" s="350"/>
      <c r="BT90" s="350"/>
      <c r="BU90" s="350"/>
      <c r="BV90" s="350"/>
    </row>
    <row r="91" spans="1:74" x14ac:dyDescent="0.2">
      <c r="B91" s="270"/>
      <c r="C91" s="263"/>
      <c r="D91" s="263"/>
      <c r="E91" s="349"/>
      <c r="F91" s="350"/>
      <c r="G91" s="350"/>
      <c r="H91" s="350"/>
      <c r="I91" s="350"/>
      <c r="J91" s="350"/>
      <c r="K91" s="350"/>
      <c r="L91" s="350"/>
      <c r="M91" s="350"/>
      <c r="N91" s="350"/>
      <c r="O91" s="350"/>
      <c r="P91" s="350"/>
      <c r="Q91" s="350"/>
      <c r="R91" s="350"/>
      <c r="S91" s="350"/>
      <c r="T91" s="350"/>
      <c r="U91" s="350"/>
      <c r="V91" s="350"/>
      <c r="W91" s="350"/>
      <c r="X91" s="350"/>
      <c r="Y91" s="350"/>
      <c r="Z91" s="350"/>
      <c r="AA91" s="350"/>
      <c r="AB91" s="350"/>
      <c r="AC91" s="350"/>
      <c r="AD91" s="350"/>
      <c r="AE91" s="350"/>
      <c r="AF91" s="350"/>
      <c r="AG91" s="350"/>
      <c r="AH91" s="350"/>
      <c r="AI91" s="350"/>
      <c r="AJ91" s="350"/>
      <c r="AK91" s="350"/>
      <c r="AL91" s="350"/>
      <c r="AM91" s="350"/>
      <c r="AN91" s="350"/>
      <c r="AO91" s="350"/>
      <c r="AP91" s="350"/>
      <c r="AQ91" s="350"/>
      <c r="AR91" s="350"/>
      <c r="AS91" s="350"/>
      <c r="AT91" s="350"/>
      <c r="AU91" s="350"/>
      <c r="AV91" s="350"/>
      <c r="AW91" s="350"/>
      <c r="AX91" s="350"/>
      <c r="AY91" s="350"/>
      <c r="AZ91" s="350"/>
      <c r="BA91" s="350"/>
      <c r="BB91" s="350"/>
      <c r="BC91" s="350"/>
      <c r="BD91" s="350"/>
      <c r="BE91" s="350"/>
      <c r="BF91" s="350"/>
      <c r="BG91" s="350"/>
      <c r="BH91" s="350"/>
      <c r="BI91" s="350"/>
      <c r="BJ91" s="350"/>
      <c r="BK91" s="350"/>
      <c r="BL91" s="350"/>
      <c r="BM91" s="350"/>
      <c r="BN91" s="350"/>
      <c r="BO91" s="350"/>
      <c r="BP91" s="350"/>
      <c r="BQ91" s="350"/>
      <c r="BR91" s="350"/>
      <c r="BS91" s="350"/>
      <c r="BT91" s="350"/>
      <c r="BU91" s="350"/>
      <c r="BV91" s="350"/>
    </row>
    <row r="92" spans="1:74" x14ac:dyDescent="0.2">
      <c r="B92" s="270"/>
      <c r="C92" s="263"/>
      <c r="D92" s="263"/>
      <c r="E92" s="349"/>
      <c r="F92" s="350"/>
      <c r="G92" s="350"/>
      <c r="H92" s="350"/>
      <c r="I92" s="350"/>
      <c r="J92" s="350"/>
      <c r="K92" s="350"/>
      <c r="L92" s="350"/>
      <c r="M92" s="350"/>
      <c r="N92" s="350"/>
      <c r="O92" s="350"/>
      <c r="P92" s="350"/>
      <c r="Q92" s="350"/>
      <c r="R92" s="350"/>
      <c r="S92" s="350"/>
      <c r="T92" s="350"/>
      <c r="U92" s="350"/>
      <c r="V92" s="350"/>
      <c r="W92" s="350"/>
      <c r="X92" s="350"/>
      <c r="Y92" s="350"/>
      <c r="Z92" s="350"/>
      <c r="AA92" s="350"/>
      <c r="AB92" s="350"/>
      <c r="AC92" s="350"/>
      <c r="AD92" s="350"/>
      <c r="AE92" s="350"/>
      <c r="AF92" s="350"/>
      <c r="AG92" s="350"/>
      <c r="AH92" s="350"/>
      <c r="AI92" s="350"/>
      <c r="AJ92" s="350"/>
      <c r="AK92" s="350"/>
      <c r="AL92" s="350"/>
      <c r="AM92" s="350"/>
      <c r="AN92" s="350"/>
      <c r="AO92" s="350"/>
      <c r="AP92" s="350"/>
      <c r="AQ92" s="350"/>
      <c r="AR92" s="350"/>
      <c r="AS92" s="350"/>
      <c r="AT92" s="350"/>
      <c r="AU92" s="350"/>
      <c r="AV92" s="350"/>
      <c r="AW92" s="350"/>
      <c r="AX92" s="350"/>
      <c r="AY92" s="350"/>
      <c r="AZ92" s="350"/>
      <c r="BA92" s="350"/>
      <c r="BB92" s="350"/>
      <c r="BC92" s="350"/>
      <c r="BD92" s="350"/>
      <c r="BE92" s="350"/>
      <c r="BF92" s="350"/>
      <c r="BG92" s="350"/>
      <c r="BH92" s="350"/>
      <c r="BI92" s="350"/>
      <c r="BJ92" s="350"/>
      <c r="BK92" s="350"/>
      <c r="BL92" s="350"/>
      <c r="BM92" s="350"/>
      <c r="BN92" s="350"/>
      <c r="BO92" s="350"/>
      <c r="BP92" s="350"/>
      <c r="BQ92" s="350"/>
      <c r="BR92" s="350"/>
      <c r="BS92" s="350"/>
      <c r="BT92" s="350"/>
      <c r="BU92" s="350"/>
      <c r="BV92" s="350"/>
    </row>
    <row r="93" spans="1:74" x14ac:dyDescent="0.2">
      <c r="B93" s="270"/>
      <c r="C93" s="263"/>
      <c r="D93" s="263"/>
      <c r="E93" s="349"/>
      <c r="F93" s="350"/>
      <c r="G93" s="350"/>
      <c r="H93" s="350"/>
      <c r="I93" s="350"/>
      <c r="J93" s="350"/>
      <c r="K93" s="350"/>
      <c r="L93" s="350"/>
      <c r="M93" s="350"/>
      <c r="N93" s="350"/>
      <c r="O93" s="350"/>
      <c r="P93" s="350"/>
      <c r="Q93" s="350"/>
      <c r="R93" s="350"/>
      <c r="S93" s="350"/>
      <c r="T93" s="350"/>
      <c r="U93" s="350"/>
      <c r="V93" s="350"/>
      <c r="W93" s="350"/>
      <c r="X93" s="350"/>
      <c r="Y93" s="350"/>
      <c r="Z93" s="350"/>
      <c r="AA93" s="350"/>
      <c r="AB93" s="350"/>
      <c r="AC93" s="350"/>
      <c r="AD93" s="350"/>
      <c r="AE93" s="350"/>
      <c r="AF93" s="350"/>
      <c r="AG93" s="350"/>
      <c r="AH93" s="350"/>
      <c r="AI93" s="350"/>
      <c r="AJ93" s="350"/>
      <c r="AK93" s="350"/>
      <c r="AL93" s="350"/>
      <c r="AM93" s="350"/>
      <c r="AN93" s="350"/>
      <c r="AO93" s="350"/>
      <c r="AP93" s="350"/>
      <c r="AQ93" s="350"/>
      <c r="AR93" s="350"/>
      <c r="AS93" s="350"/>
      <c r="AT93" s="350"/>
      <c r="AU93" s="350"/>
      <c r="AV93" s="350"/>
      <c r="AW93" s="350"/>
      <c r="AX93" s="350"/>
      <c r="AY93" s="350"/>
      <c r="AZ93" s="350"/>
      <c r="BA93" s="350"/>
      <c r="BB93" s="350"/>
      <c r="BC93" s="350"/>
      <c r="BD93" s="350"/>
      <c r="BE93" s="350"/>
      <c r="BF93" s="350"/>
      <c r="BG93" s="350"/>
      <c r="BH93" s="350"/>
      <c r="BI93" s="350"/>
      <c r="BJ93" s="350"/>
      <c r="BK93" s="350"/>
      <c r="BL93" s="350"/>
      <c r="BM93" s="350"/>
      <c r="BN93" s="350"/>
      <c r="BO93" s="350"/>
      <c r="BP93" s="350"/>
      <c r="BQ93" s="350"/>
      <c r="BR93" s="350"/>
      <c r="BS93" s="350"/>
      <c r="BT93" s="350"/>
      <c r="BU93" s="350"/>
      <c r="BV93" s="350"/>
    </row>
    <row r="94" spans="1:74" x14ac:dyDescent="0.2">
      <c r="B94" s="270"/>
      <c r="C94" s="263"/>
      <c r="D94" s="263"/>
      <c r="E94" s="349"/>
      <c r="F94" s="350"/>
      <c r="G94" s="350"/>
      <c r="H94" s="350"/>
      <c r="I94" s="350"/>
      <c r="J94" s="350"/>
      <c r="K94" s="350"/>
      <c r="L94" s="350"/>
      <c r="M94" s="350"/>
      <c r="N94" s="350"/>
      <c r="O94" s="350"/>
      <c r="P94" s="350"/>
      <c r="Q94" s="350"/>
      <c r="R94" s="350"/>
      <c r="S94" s="350"/>
      <c r="T94" s="350"/>
      <c r="U94" s="350"/>
      <c r="V94" s="350"/>
      <c r="W94" s="350"/>
      <c r="X94" s="350"/>
      <c r="Y94" s="350"/>
      <c r="Z94" s="350"/>
      <c r="AA94" s="350"/>
      <c r="AB94" s="350"/>
      <c r="AC94" s="350"/>
      <c r="AD94" s="350"/>
      <c r="AE94" s="350"/>
      <c r="AF94" s="350"/>
      <c r="AG94" s="350"/>
      <c r="AH94" s="350"/>
      <c r="AI94" s="350"/>
      <c r="AJ94" s="350"/>
      <c r="AK94" s="350"/>
      <c r="AL94" s="350"/>
      <c r="AM94" s="350"/>
      <c r="AN94" s="350"/>
      <c r="AO94" s="350"/>
      <c r="AP94" s="350"/>
      <c r="AQ94" s="350"/>
      <c r="AR94" s="350"/>
      <c r="AS94" s="350"/>
      <c r="AT94" s="350"/>
      <c r="AU94" s="350"/>
      <c r="AV94" s="350"/>
      <c r="AW94" s="350"/>
      <c r="AX94" s="350"/>
      <c r="AY94" s="350"/>
      <c r="AZ94" s="350"/>
      <c r="BA94" s="350"/>
      <c r="BB94" s="350"/>
      <c r="BC94" s="350"/>
      <c r="BD94" s="350"/>
      <c r="BE94" s="350"/>
      <c r="BF94" s="350"/>
      <c r="BG94" s="350"/>
      <c r="BH94" s="350"/>
      <c r="BI94" s="350"/>
      <c r="BJ94" s="350"/>
      <c r="BK94" s="350"/>
      <c r="BL94" s="350"/>
      <c r="BM94" s="350"/>
      <c r="BN94" s="350"/>
      <c r="BO94" s="350"/>
      <c r="BP94" s="350"/>
      <c r="BQ94" s="350"/>
      <c r="BR94" s="350"/>
      <c r="BS94" s="350"/>
      <c r="BT94" s="350"/>
      <c r="BU94" s="350"/>
      <c r="BV94" s="350"/>
    </row>
    <row r="95" spans="1:74" x14ac:dyDescent="0.2">
      <c r="B95" s="270"/>
      <c r="C95" s="263"/>
      <c r="D95" s="263"/>
      <c r="E95" s="349"/>
      <c r="F95" s="350"/>
      <c r="G95" s="350"/>
      <c r="H95" s="350"/>
      <c r="I95" s="350"/>
      <c r="J95" s="350"/>
      <c r="K95" s="350"/>
      <c r="L95" s="350"/>
      <c r="M95" s="350"/>
      <c r="N95" s="350"/>
      <c r="O95" s="350"/>
      <c r="P95" s="350"/>
      <c r="Q95" s="350"/>
      <c r="R95" s="350"/>
      <c r="S95" s="350"/>
      <c r="T95" s="350"/>
      <c r="U95" s="350"/>
      <c r="V95" s="350"/>
      <c r="W95" s="350"/>
      <c r="X95" s="350"/>
      <c r="Y95" s="350"/>
      <c r="Z95" s="350"/>
      <c r="AA95" s="350"/>
      <c r="AB95" s="350"/>
      <c r="AC95" s="350"/>
      <c r="AD95" s="350"/>
      <c r="AE95" s="350"/>
      <c r="AF95" s="350"/>
      <c r="AG95" s="350"/>
      <c r="AH95" s="350"/>
      <c r="AI95" s="350"/>
      <c r="AJ95" s="350"/>
      <c r="AK95" s="350"/>
      <c r="AL95" s="350"/>
      <c r="AM95" s="350"/>
      <c r="AN95" s="350"/>
      <c r="AO95" s="350"/>
      <c r="AP95" s="350"/>
      <c r="AQ95" s="350"/>
      <c r="AR95" s="350"/>
      <c r="AS95" s="350"/>
      <c r="AT95" s="350"/>
      <c r="AU95" s="350"/>
      <c r="AV95" s="350"/>
      <c r="AW95" s="350"/>
      <c r="AX95" s="350"/>
      <c r="AY95" s="350"/>
      <c r="AZ95" s="350"/>
      <c r="BA95" s="350"/>
      <c r="BB95" s="350"/>
      <c r="BC95" s="350"/>
      <c r="BD95" s="350"/>
      <c r="BE95" s="350"/>
      <c r="BF95" s="350"/>
      <c r="BG95" s="350"/>
      <c r="BH95" s="350"/>
      <c r="BI95" s="350"/>
      <c r="BJ95" s="350"/>
      <c r="BK95" s="350"/>
      <c r="BL95" s="350"/>
      <c r="BM95" s="350"/>
      <c r="BN95" s="350"/>
      <c r="BO95" s="350"/>
      <c r="BP95" s="350"/>
      <c r="BQ95" s="350"/>
      <c r="BR95" s="350"/>
      <c r="BS95" s="350"/>
      <c r="BT95" s="350"/>
      <c r="BU95" s="350"/>
      <c r="BV95" s="350"/>
    </row>
    <row r="96" spans="1:74" x14ac:dyDescent="0.2">
      <c r="B96" s="270"/>
      <c r="C96" s="263"/>
      <c r="D96" s="263"/>
      <c r="E96" s="349"/>
      <c r="F96" s="350"/>
      <c r="G96" s="350"/>
      <c r="H96" s="350"/>
      <c r="I96" s="350"/>
      <c r="J96" s="350"/>
      <c r="K96" s="350"/>
      <c r="L96" s="350"/>
      <c r="M96" s="350"/>
      <c r="N96" s="350"/>
      <c r="O96" s="350"/>
      <c r="P96" s="350"/>
      <c r="Q96" s="350"/>
      <c r="R96" s="350"/>
      <c r="S96" s="350"/>
      <c r="T96" s="350"/>
      <c r="U96" s="350"/>
      <c r="V96" s="350"/>
      <c r="W96" s="350"/>
      <c r="X96" s="350"/>
      <c r="Y96" s="350"/>
      <c r="Z96" s="350"/>
      <c r="AA96" s="350"/>
      <c r="AB96" s="350"/>
      <c r="AC96" s="350"/>
      <c r="AD96" s="350"/>
      <c r="AE96" s="350"/>
      <c r="AF96" s="350"/>
      <c r="AG96" s="350"/>
      <c r="AH96" s="350"/>
      <c r="AI96" s="350"/>
      <c r="AJ96" s="350"/>
      <c r="AK96" s="350"/>
      <c r="AL96" s="350"/>
      <c r="AM96" s="350"/>
      <c r="AN96" s="350"/>
      <c r="AO96" s="350"/>
      <c r="AP96" s="350"/>
      <c r="AQ96" s="350"/>
      <c r="AR96" s="350"/>
      <c r="AS96" s="350"/>
      <c r="AT96" s="350"/>
      <c r="AU96" s="350"/>
      <c r="AV96" s="350"/>
      <c r="AW96" s="350"/>
      <c r="AX96" s="350"/>
      <c r="AY96" s="350"/>
      <c r="AZ96" s="350"/>
      <c r="BA96" s="350"/>
      <c r="BB96" s="350"/>
      <c r="BC96" s="350"/>
      <c r="BD96" s="350"/>
      <c r="BE96" s="350"/>
      <c r="BF96" s="350"/>
      <c r="BG96" s="350"/>
      <c r="BH96" s="350"/>
      <c r="BI96" s="350"/>
      <c r="BJ96" s="350"/>
      <c r="BK96" s="350"/>
      <c r="BL96" s="350"/>
      <c r="BM96" s="350"/>
      <c r="BN96" s="350"/>
      <c r="BO96" s="350"/>
      <c r="BP96" s="350"/>
      <c r="BQ96" s="350"/>
      <c r="BR96" s="350"/>
      <c r="BS96" s="350"/>
      <c r="BT96" s="350"/>
      <c r="BU96" s="350"/>
      <c r="BV96" s="350"/>
    </row>
    <row r="97" spans="2:74" x14ac:dyDescent="0.2">
      <c r="B97" s="270"/>
      <c r="C97" s="263"/>
      <c r="D97" s="263"/>
      <c r="E97" s="349"/>
      <c r="F97" s="350"/>
      <c r="G97" s="350"/>
      <c r="H97" s="350"/>
      <c r="I97" s="350"/>
      <c r="J97" s="350"/>
      <c r="K97" s="350"/>
      <c r="L97" s="350"/>
      <c r="M97" s="350"/>
      <c r="N97" s="350"/>
      <c r="O97" s="350"/>
      <c r="P97" s="350"/>
      <c r="Q97" s="350"/>
      <c r="R97" s="350"/>
      <c r="S97" s="350"/>
      <c r="T97" s="350"/>
      <c r="U97" s="350"/>
      <c r="V97" s="350"/>
      <c r="W97" s="350"/>
      <c r="X97" s="350"/>
      <c r="Y97" s="350"/>
      <c r="Z97" s="350"/>
      <c r="AA97" s="350"/>
      <c r="AB97" s="350"/>
      <c r="AC97" s="350"/>
      <c r="AD97" s="350"/>
      <c r="AE97" s="350"/>
      <c r="AF97" s="350"/>
      <c r="AG97" s="350"/>
      <c r="AH97" s="350"/>
      <c r="AI97" s="350"/>
      <c r="AJ97" s="350"/>
      <c r="AK97" s="350"/>
      <c r="AL97" s="350"/>
      <c r="AM97" s="350"/>
      <c r="AN97" s="350"/>
      <c r="AO97" s="350"/>
      <c r="AP97" s="350"/>
      <c r="AQ97" s="350"/>
      <c r="AR97" s="350"/>
      <c r="AS97" s="350"/>
      <c r="AT97" s="350"/>
      <c r="AU97" s="350"/>
      <c r="AV97" s="350"/>
      <c r="AW97" s="350"/>
      <c r="AX97" s="350"/>
      <c r="AY97" s="350"/>
      <c r="AZ97" s="350"/>
      <c r="BA97" s="350"/>
      <c r="BB97" s="350"/>
      <c r="BC97" s="350"/>
      <c r="BD97" s="350"/>
      <c r="BE97" s="350"/>
      <c r="BF97" s="350"/>
      <c r="BG97" s="350"/>
      <c r="BH97" s="350"/>
      <c r="BI97" s="350"/>
      <c r="BJ97" s="350"/>
      <c r="BK97" s="350"/>
      <c r="BL97" s="350"/>
      <c r="BM97" s="350"/>
      <c r="BN97" s="350"/>
      <c r="BO97" s="350"/>
      <c r="BP97" s="350"/>
      <c r="BQ97" s="350"/>
      <c r="BR97" s="350"/>
      <c r="BS97" s="350"/>
      <c r="BT97" s="350"/>
      <c r="BU97" s="350"/>
      <c r="BV97" s="350"/>
    </row>
    <row r="98" spans="2:74" x14ac:dyDescent="0.2">
      <c r="B98" s="270"/>
      <c r="C98" s="263"/>
      <c r="D98" s="263"/>
      <c r="E98" s="349"/>
      <c r="F98" s="350"/>
      <c r="G98" s="350"/>
      <c r="H98" s="350"/>
      <c r="I98" s="350"/>
      <c r="J98" s="350"/>
      <c r="K98" s="350"/>
      <c r="L98" s="350"/>
      <c r="M98" s="350"/>
      <c r="N98" s="350"/>
      <c r="O98" s="350"/>
      <c r="P98" s="350"/>
      <c r="Q98" s="350"/>
      <c r="R98" s="350"/>
      <c r="S98" s="350"/>
      <c r="T98" s="350"/>
      <c r="U98" s="350"/>
      <c r="V98" s="350"/>
      <c r="W98" s="350"/>
      <c r="X98" s="350"/>
      <c r="Y98" s="350"/>
      <c r="Z98" s="350"/>
      <c r="AA98" s="350"/>
      <c r="AB98" s="350"/>
      <c r="AC98" s="350"/>
      <c r="AD98" s="350"/>
      <c r="AE98" s="350"/>
      <c r="AF98" s="350"/>
      <c r="AG98" s="350"/>
      <c r="AH98" s="350"/>
      <c r="AI98" s="350"/>
      <c r="AJ98" s="350"/>
      <c r="AK98" s="350"/>
      <c r="AL98" s="350"/>
      <c r="AM98" s="350"/>
      <c r="AN98" s="350"/>
      <c r="AO98" s="350"/>
      <c r="AP98" s="350"/>
      <c r="AQ98" s="350"/>
      <c r="AR98" s="350"/>
      <c r="AS98" s="350"/>
      <c r="AT98" s="350"/>
      <c r="AU98" s="350"/>
      <c r="AV98" s="350"/>
      <c r="AW98" s="350"/>
      <c r="AX98" s="350"/>
      <c r="AY98" s="350"/>
      <c r="AZ98" s="350"/>
      <c r="BA98" s="350"/>
      <c r="BB98" s="350"/>
      <c r="BC98" s="350"/>
      <c r="BD98" s="350"/>
      <c r="BE98" s="350"/>
      <c r="BF98" s="350"/>
      <c r="BG98" s="350"/>
      <c r="BH98" s="350"/>
      <c r="BI98" s="350"/>
      <c r="BJ98" s="350"/>
      <c r="BK98" s="350"/>
      <c r="BL98" s="350"/>
      <c r="BM98" s="350"/>
      <c r="BN98" s="350"/>
      <c r="BO98" s="350"/>
      <c r="BP98" s="350"/>
      <c r="BQ98" s="350"/>
      <c r="BR98" s="350"/>
      <c r="BS98" s="350"/>
      <c r="BT98" s="350"/>
      <c r="BU98" s="350"/>
      <c r="BV98" s="350"/>
    </row>
    <row r="99" spans="2:74" x14ac:dyDescent="0.2">
      <c r="B99" s="270"/>
      <c r="C99" s="263"/>
      <c r="D99" s="263"/>
      <c r="E99" s="349"/>
      <c r="F99" s="350"/>
      <c r="G99" s="350"/>
      <c r="H99" s="350"/>
      <c r="I99" s="350"/>
      <c r="J99" s="350"/>
      <c r="K99" s="350"/>
      <c r="L99" s="350"/>
      <c r="M99" s="350"/>
      <c r="N99" s="350"/>
      <c r="O99" s="350"/>
      <c r="P99" s="350"/>
      <c r="Q99" s="350"/>
      <c r="R99" s="350"/>
      <c r="S99" s="350"/>
      <c r="T99" s="350"/>
      <c r="U99" s="350"/>
      <c r="V99" s="350"/>
      <c r="W99" s="350"/>
      <c r="X99" s="350"/>
      <c r="Y99" s="350"/>
      <c r="Z99" s="350"/>
      <c r="AA99" s="350"/>
      <c r="AB99" s="350"/>
      <c r="AC99" s="350"/>
      <c r="AD99" s="350"/>
      <c r="AE99" s="350"/>
      <c r="AF99" s="350"/>
      <c r="AG99" s="350"/>
      <c r="AH99" s="350"/>
      <c r="AI99" s="350"/>
      <c r="AJ99" s="350"/>
      <c r="AK99" s="350"/>
      <c r="AL99" s="350"/>
      <c r="AM99" s="350"/>
      <c r="AN99" s="350"/>
      <c r="AO99" s="350"/>
      <c r="AP99" s="350"/>
      <c r="AQ99" s="350"/>
      <c r="AR99" s="350"/>
      <c r="AS99" s="350"/>
      <c r="AT99" s="350"/>
      <c r="AU99" s="350"/>
      <c r="AV99" s="350"/>
      <c r="AW99" s="350"/>
      <c r="AX99" s="350"/>
      <c r="AY99" s="350"/>
      <c r="AZ99" s="350"/>
      <c r="BA99" s="350"/>
      <c r="BB99" s="350"/>
      <c r="BC99" s="350"/>
      <c r="BD99" s="350"/>
      <c r="BE99" s="350"/>
      <c r="BF99" s="350"/>
      <c r="BG99" s="350"/>
      <c r="BH99" s="350"/>
      <c r="BI99" s="350"/>
      <c r="BJ99" s="350"/>
      <c r="BK99" s="350"/>
      <c r="BL99" s="350"/>
      <c r="BM99" s="350"/>
      <c r="BN99" s="350"/>
      <c r="BO99" s="350"/>
      <c r="BP99" s="350"/>
      <c r="BQ99" s="350"/>
      <c r="BR99" s="350"/>
      <c r="BS99" s="350"/>
      <c r="BT99" s="350"/>
      <c r="BU99" s="350"/>
      <c r="BV99" s="350"/>
    </row>
    <row r="100" spans="2:74" x14ac:dyDescent="0.2">
      <c r="B100" s="270"/>
      <c r="C100" s="263"/>
      <c r="D100" s="263"/>
      <c r="E100" s="349"/>
      <c r="F100" s="350"/>
      <c r="G100" s="350"/>
      <c r="H100" s="350"/>
      <c r="I100" s="350"/>
      <c r="J100" s="350"/>
      <c r="K100" s="350"/>
      <c r="L100" s="350"/>
      <c r="M100" s="350"/>
      <c r="N100" s="350"/>
      <c r="O100" s="350"/>
      <c r="P100" s="350"/>
      <c r="Q100" s="350"/>
      <c r="R100" s="350"/>
      <c r="S100" s="350"/>
      <c r="T100" s="350"/>
      <c r="U100" s="350"/>
      <c r="V100" s="350"/>
      <c r="W100" s="350"/>
      <c r="X100" s="350"/>
      <c r="Y100" s="350"/>
      <c r="Z100" s="350"/>
      <c r="AA100" s="350"/>
      <c r="AB100" s="350"/>
      <c r="AC100" s="350"/>
      <c r="AD100" s="350"/>
      <c r="AE100" s="350"/>
      <c r="AF100" s="350"/>
      <c r="AG100" s="350"/>
      <c r="AH100" s="350"/>
      <c r="AI100" s="350"/>
      <c r="AJ100" s="350"/>
      <c r="AK100" s="350"/>
      <c r="AL100" s="350"/>
      <c r="AM100" s="350"/>
      <c r="AN100" s="350"/>
      <c r="AO100" s="350"/>
      <c r="AP100" s="350"/>
      <c r="AQ100" s="350"/>
      <c r="AR100" s="350"/>
      <c r="AS100" s="350"/>
      <c r="AT100" s="350"/>
      <c r="AU100" s="350"/>
      <c r="AV100" s="350"/>
      <c r="AW100" s="350"/>
      <c r="AX100" s="350"/>
      <c r="AY100" s="350"/>
      <c r="AZ100" s="350"/>
      <c r="BA100" s="350"/>
      <c r="BB100" s="350"/>
      <c r="BC100" s="350"/>
      <c r="BD100" s="350"/>
      <c r="BE100" s="350"/>
      <c r="BF100" s="350"/>
      <c r="BG100" s="350"/>
      <c r="BH100" s="350"/>
      <c r="BI100" s="350"/>
      <c r="BJ100" s="350"/>
      <c r="BK100" s="350"/>
      <c r="BL100" s="350"/>
      <c r="BM100" s="350"/>
      <c r="BN100" s="350"/>
      <c r="BO100" s="350"/>
      <c r="BP100" s="350"/>
      <c r="BQ100" s="350"/>
      <c r="BR100" s="350"/>
      <c r="BS100" s="350"/>
      <c r="BT100" s="350"/>
      <c r="BU100" s="350"/>
      <c r="BV100" s="350"/>
    </row>
    <row r="101" spans="2:74" x14ac:dyDescent="0.2">
      <c r="B101" s="270"/>
      <c r="C101" s="263"/>
      <c r="D101" s="263"/>
      <c r="E101" s="349"/>
      <c r="F101" s="350"/>
      <c r="G101" s="350"/>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c r="AG101" s="350"/>
      <c r="AH101" s="350"/>
      <c r="AI101" s="350"/>
      <c r="AJ101" s="350"/>
      <c r="AK101" s="350"/>
      <c r="AL101" s="350"/>
      <c r="AM101" s="350"/>
      <c r="AN101" s="350"/>
      <c r="AO101" s="350"/>
      <c r="AP101" s="350"/>
      <c r="AQ101" s="350"/>
      <c r="AR101" s="350"/>
      <c r="AS101" s="350"/>
      <c r="AT101" s="350"/>
      <c r="AU101" s="350"/>
      <c r="AV101" s="350"/>
      <c r="AW101" s="350"/>
      <c r="AX101" s="350"/>
      <c r="AY101" s="350"/>
      <c r="AZ101" s="350"/>
      <c r="BA101" s="350"/>
      <c r="BB101" s="350"/>
      <c r="BC101" s="350"/>
      <c r="BD101" s="350"/>
      <c r="BE101" s="350"/>
      <c r="BF101" s="350"/>
      <c r="BG101" s="350"/>
      <c r="BH101" s="350"/>
      <c r="BI101" s="350"/>
      <c r="BJ101" s="350"/>
      <c r="BK101" s="350"/>
      <c r="BL101" s="350"/>
      <c r="BM101" s="350"/>
      <c r="BN101" s="350"/>
      <c r="BO101" s="350"/>
      <c r="BP101" s="350"/>
      <c r="BQ101" s="350"/>
      <c r="BR101" s="350"/>
      <c r="BS101" s="350"/>
      <c r="BT101" s="350"/>
      <c r="BU101" s="350"/>
      <c r="BV101" s="350"/>
    </row>
    <row r="102" spans="2:74" x14ac:dyDescent="0.2">
      <c r="B102" s="270"/>
      <c r="C102" s="263"/>
      <c r="D102" s="263"/>
      <c r="E102" s="349"/>
      <c r="F102" s="350"/>
      <c r="G102" s="350"/>
      <c r="H102" s="350"/>
      <c r="I102" s="350"/>
      <c r="J102" s="350"/>
      <c r="K102" s="350"/>
      <c r="L102" s="350"/>
      <c r="M102" s="350"/>
      <c r="N102" s="350"/>
      <c r="O102" s="350"/>
      <c r="P102" s="350"/>
      <c r="Q102" s="350"/>
      <c r="R102" s="350"/>
      <c r="S102" s="350"/>
      <c r="T102" s="350"/>
      <c r="U102" s="350"/>
      <c r="V102" s="350"/>
      <c r="W102" s="350"/>
      <c r="X102" s="350"/>
      <c r="Y102" s="350"/>
      <c r="Z102" s="350"/>
      <c r="AA102" s="350"/>
      <c r="AB102" s="350"/>
      <c r="AC102" s="350"/>
      <c r="AD102" s="350"/>
      <c r="AE102" s="350"/>
      <c r="AF102" s="350"/>
      <c r="AG102" s="350"/>
      <c r="AH102" s="350"/>
      <c r="AI102" s="350"/>
      <c r="AJ102" s="350"/>
      <c r="AK102" s="350"/>
      <c r="AL102" s="350"/>
      <c r="AM102" s="350"/>
      <c r="AN102" s="350"/>
      <c r="AO102" s="350"/>
      <c r="AP102" s="350"/>
      <c r="AQ102" s="350"/>
      <c r="AR102" s="350"/>
      <c r="AS102" s="350"/>
      <c r="AT102" s="350"/>
      <c r="AU102" s="350"/>
      <c r="AV102" s="350"/>
      <c r="AW102" s="350"/>
      <c r="AX102" s="350"/>
      <c r="AY102" s="350"/>
      <c r="AZ102" s="350"/>
      <c r="BA102" s="350"/>
      <c r="BB102" s="350"/>
      <c r="BC102" s="350"/>
      <c r="BD102" s="350"/>
      <c r="BE102" s="350"/>
      <c r="BF102" s="350"/>
      <c r="BG102" s="350"/>
      <c r="BH102" s="350"/>
      <c r="BI102" s="350"/>
      <c r="BJ102" s="350"/>
      <c r="BK102" s="350"/>
      <c r="BL102" s="350"/>
      <c r="BM102" s="350"/>
      <c r="BN102" s="350"/>
      <c r="BO102" s="350"/>
      <c r="BP102" s="350"/>
      <c r="BQ102" s="350"/>
      <c r="BR102" s="350"/>
      <c r="BS102" s="350"/>
      <c r="BT102" s="350"/>
      <c r="BU102" s="350"/>
      <c r="BV102" s="350"/>
    </row>
    <row r="103" spans="2:74" x14ac:dyDescent="0.2">
      <c r="B103" s="270"/>
      <c r="C103" s="263"/>
      <c r="D103" s="263"/>
      <c r="E103" s="349"/>
      <c r="F103" s="350"/>
      <c r="G103" s="350"/>
      <c r="H103" s="350"/>
      <c r="I103" s="350"/>
      <c r="J103" s="350"/>
      <c r="K103" s="350"/>
      <c r="L103" s="350"/>
      <c r="M103" s="350"/>
      <c r="N103" s="350"/>
      <c r="O103" s="350"/>
      <c r="P103" s="350"/>
      <c r="Q103" s="350"/>
      <c r="R103" s="350"/>
      <c r="S103" s="350"/>
      <c r="T103" s="350"/>
      <c r="U103" s="350"/>
      <c r="V103" s="350"/>
      <c r="W103" s="350"/>
      <c r="X103" s="350"/>
      <c r="Y103" s="350"/>
      <c r="Z103" s="350"/>
      <c r="AA103" s="350"/>
      <c r="AB103" s="350"/>
      <c r="AC103" s="350"/>
      <c r="AD103" s="350"/>
      <c r="AE103" s="350"/>
      <c r="AF103" s="350"/>
      <c r="AG103" s="350"/>
      <c r="AH103" s="350"/>
      <c r="AI103" s="350"/>
      <c r="AJ103" s="350"/>
      <c r="AK103" s="350"/>
      <c r="AL103" s="350"/>
      <c r="AM103" s="350"/>
      <c r="AN103" s="350"/>
      <c r="AO103" s="350"/>
      <c r="AP103" s="350"/>
      <c r="AQ103" s="350"/>
      <c r="AR103" s="350"/>
      <c r="AS103" s="350"/>
      <c r="AT103" s="350"/>
      <c r="AU103" s="350"/>
      <c r="AV103" s="350"/>
      <c r="AW103" s="350"/>
      <c r="AX103" s="350"/>
      <c r="AY103" s="350"/>
      <c r="AZ103" s="350"/>
      <c r="BA103" s="350"/>
      <c r="BB103" s="350"/>
      <c r="BC103" s="350"/>
      <c r="BD103" s="350"/>
      <c r="BE103" s="350"/>
      <c r="BF103" s="350"/>
      <c r="BG103" s="350"/>
      <c r="BH103" s="350"/>
      <c r="BI103" s="350"/>
      <c r="BJ103" s="350"/>
      <c r="BK103" s="350"/>
      <c r="BL103" s="350"/>
      <c r="BM103" s="350"/>
      <c r="BN103" s="350"/>
      <c r="BO103" s="350"/>
      <c r="BP103" s="350"/>
      <c r="BQ103" s="350"/>
      <c r="BR103" s="350"/>
      <c r="BS103" s="350"/>
      <c r="BT103" s="350"/>
      <c r="BU103" s="350"/>
      <c r="BV103" s="350"/>
    </row>
    <row r="104" spans="2:74" x14ac:dyDescent="0.2">
      <c r="B104" s="270"/>
      <c r="C104" s="263"/>
      <c r="D104" s="263"/>
      <c r="E104" s="349"/>
      <c r="F104" s="350"/>
      <c r="G104" s="350"/>
      <c r="H104" s="350"/>
      <c r="I104" s="350"/>
      <c r="J104" s="350"/>
      <c r="K104" s="350"/>
      <c r="L104" s="350"/>
      <c r="M104" s="350"/>
      <c r="N104" s="350"/>
      <c r="O104" s="350"/>
      <c r="P104" s="350"/>
      <c r="Q104" s="350"/>
      <c r="R104" s="350"/>
      <c r="S104" s="350"/>
      <c r="T104" s="350"/>
      <c r="U104" s="350"/>
      <c r="V104" s="350"/>
      <c r="W104" s="350"/>
      <c r="X104" s="350"/>
      <c r="Y104" s="350"/>
      <c r="Z104" s="350"/>
      <c r="AA104" s="350"/>
      <c r="AB104" s="350"/>
      <c r="AC104" s="350"/>
      <c r="AD104" s="350"/>
      <c r="AE104" s="350"/>
      <c r="AF104" s="350"/>
      <c r="AG104" s="350"/>
      <c r="AH104" s="350"/>
      <c r="AI104" s="350"/>
      <c r="AJ104" s="350"/>
      <c r="AK104" s="350"/>
      <c r="AL104" s="350"/>
      <c r="AM104" s="350"/>
      <c r="AN104" s="350"/>
      <c r="AO104" s="350"/>
      <c r="AP104" s="350"/>
      <c r="AQ104" s="350"/>
      <c r="AR104" s="350"/>
      <c r="AS104" s="350"/>
      <c r="AT104" s="350"/>
      <c r="AU104" s="350"/>
      <c r="AV104" s="350"/>
      <c r="AW104" s="350"/>
      <c r="AX104" s="350"/>
      <c r="AY104" s="350"/>
      <c r="AZ104" s="350"/>
      <c r="BA104" s="350"/>
      <c r="BB104" s="350"/>
      <c r="BC104" s="350"/>
      <c r="BD104" s="350"/>
      <c r="BE104" s="350"/>
      <c r="BF104" s="350"/>
      <c r="BG104" s="350"/>
      <c r="BH104" s="350"/>
      <c r="BI104" s="350"/>
      <c r="BJ104" s="350"/>
      <c r="BK104" s="350"/>
      <c r="BL104" s="350"/>
      <c r="BM104" s="350"/>
      <c r="BN104" s="350"/>
      <c r="BO104" s="350"/>
      <c r="BP104" s="350"/>
      <c r="BQ104" s="350"/>
      <c r="BR104" s="350"/>
      <c r="BS104" s="350"/>
      <c r="BT104" s="350"/>
      <c r="BU104" s="350"/>
      <c r="BV104" s="350"/>
    </row>
    <row r="105" spans="2:74" x14ac:dyDescent="0.2">
      <c r="B105" s="270"/>
      <c r="C105" s="263"/>
      <c r="D105" s="263"/>
      <c r="E105" s="349"/>
      <c r="F105" s="350"/>
      <c r="G105" s="350"/>
      <c r="H105" s="350"/>
      <c r="I105" s="350"/>
      <c r="J105" s="350"/>
      <c r="K105" s="350"/>
      <c r="L105" s="350"/>
      <c r="M105" s="350"/>
      <c r="N105" s="350"/>
      <c r="O105" s="350"/>
      <c r="P105" s="350"/>
      <c r="Q105" s="350"/>
      <c r="R105" s="350"/>
      <c r="S105" s="350"/>
      <c r="T105" s="350"/>
      <c r="U105" s="350"/>
      <c r="V105" s="350"/>
      <c r="W105" s="350"/>
      <c r="X105" s="350"/>
      <c r="Y105" s="350"/>
      <c r="Z105" s="350"/>
      <c r="AA105" s="350"/>
      <c r="AB105" s="350"/>
      <c r="AC105" s="350"/>
      <c r="AD105" s="350"/>
      <c r="AE105" s="350"/>
      <c r="AF105" s="350"/>
      <c r="AG105" s="350"/>
      <c r="AH105" s="350"/>
      <c r="AI105" s="350"/>
      <c r="AJ105" s="350"/>
      <c r="AK105" s="350"/>
      <c r="AL105" s="350"/>
      <c r="AM105" s="350"/>
      <c r="AN105" s="350"/>
      <c r="AO105" s="350"/>
      <c r="AP105" s="350"/>
      <c r="AQ105" s="350"/>
      <c r="AR105" s="350"/>
      <c r="AS105" s="350"/>
      <c r="AT105" s="350"/>
      <c r="AU105" s="350"/>
      <c r="AV105" s="350"/>
      <c r="AW105" s="350"/>
      <c r="AX105" s="350"/>
      <c r="AY105" s="350"/>
      <c r="AZ105" s="350"/>
      <c r="BA105" s="350"/>
      <c r="BB105" s="350"/>
      <c r="BC105" s="350"/>
      <c r="BD105" s="350"/>
      <c r="BE105" s="350"/>
      <c r="BF105" s="350"/>
      <c r="BG105" s="350"/>
      <c r="BH105" s="350"/>
      <c r="BI105" s="350"/>
      <c r="BJ105" s="350"/>
      <c r="BK105" s="350"/>
      <c r="BL105" s="350"/>
      <c r="BM105" s="350"/>
      <c r="BN105" s="350"/>
      <c r="BO105" s="350"/>
      <c r="BP105" s="350"/>
      <c r="BQ105" s="350"/>
      <c r="BR105" s="350"/>
      <c r="BS105" s="350"/>
      <c r="BT105" s="350"/>
      <c r="BU105" s="350"/>
      <c r="BV105" s="350"/>
    </row>
    <row r="106" spans="2:74" x14ac:dyDescent="0.2">
      <c r="B106" s="270"/>
      <c r="C106" s="263"/>
      <c r="D106" s="263"/>
      <c r="E106" s="349"/>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350"/>
      <c r="AE106" s="350"/>
      <c r="AF106" s="350"/>
      <c r="AG106" s="350"/>
      <c r="AH106" s="350"/>
      <c r="AI106" s="350"/>
      <c r="AJ106" s="350"/>
      <c r="AK106" s="350"/>
      <c r="AL106" s="350"/>
      <c r="AM106" s="350"/>
      <c r="AN106" s="350"/>
      <c r="AO106" s="350"/>
      <c r="AP106" s="350"/>
      <c r="AQ106" s="350"/>
      <c r="AR106" s="350"/>
      <c r="AS106" s="350"/>
      <c r="AT106" s="350"/>
      <c r="AU106" s="350"/>
      <c r="AV106" s="350"/>
      <c r="AW106" s="350"/>
      <c r="AX106" s="350"/>
      <c r="AY106" s="350"/>
      <c r="AZ106" s="350"/>
      <c r="BA106" s="350"/>
      <c r="BB106" s="350"/>
      <c r="BC106" s="350"/>
      <c r="BD106" s="350"/>
      <c r="BE106" s="350"/>
      <c r="BF106" s="350"/>
      <c r="BG106" s="350"/>
      <c r="BH106" s="350"/>
      <c r="BI106" s="350"/>
      <c r="BJ106" s="350"/>
      <c r="BK106" s="350"/>
      <c r="BL106" s="350"/>
      <c r="BM106" s="350"/>
      <c r="BN106" s="350"/>
      <c r="BO106" s="350"/>
      <c r="BP106" s="350"/>
      <c r="BQ106" s="350"/>
      <c r="BR106" s="350"/>
      <c r="BS106" s="350"/>
      <c r="BT106" s="350"/>
      <c r="BU106" s="350"/>
      <c r="BV106" s="350"/>
    </row>
    <row r="107" spans="2:74" x14ac:dyDescent="0.2">
      <c r="B107" s="270"/>
      <c r="C107" s="263"/>
      <c r="D107" s="263"/>
      <c r="E107" s="349"/>
      <c r="F107" s="350"/>
      <c r="G107" s="350"/>
      <c r="H107" s="350"/>
      <c r="I107" s="350"/>
      <c r="J107" s="350"/>
      <c r="K107" s="350"/>
      <c r="L107" s="350"/>
      <c r="M107" s="350"/>
      <c r="N107" s="350"/>
      <c r="O107" s="350"/>
      <c r="P107" s="350"/>
      <c r="Q107" s="350"/>
      <c r="R107" s="350"/>
      <c r="S107" s="350"/>
      <c r="T107" s="350"/>
      <c r="U107" s="350"/>
      <c r="V107" s="350"/>
      <c r="W107" s="350"/>
      <c r="X107" s="350"/>
      <c r="Y107" s="350"/>
      <c r="Z107" s="350"/>
      <c r="AA107" s="350"/>
      <c r="AB107" s="350"/>
      <c r="AC107" s="350"/>
      <c r="AD107" s="350"/>
      <c r="AE107" s="350"/>
      <c r="AF107" s="350"/>
      <c r="AG107" s="350"/>
      <c r="AH107" s="350"/>
      <c r="AI107" s="350"/>
      <c r="AJ107" s="350"/>
      <c r="AK107" s="350"/>
      <c r="AL107" s="350"/>
      <c r="AM107" s="350"/>
      <c r="AN107" s="350"/>
      <c r="AO107" s="350"/>
      <c r="AP107" s="350"/>
      <c r="AQ107" s="350"/>
      <c r="AR107" s="350"/>
      <c r="AS107" s="350"/>
      <c r="AT107" s="350"/>
      <c r="AU107" s="350"/>
      <c r="AV107" s="350"/>
      <c r="AW107" s="350"/>
      <c r="AX107" s="350"/>
      <c r="AY107" s="350"/>
      <c r="AZ107" s="350"/>
      <c r="BA107" s="350"/>
      <c r="BB107" s="350"/>
      <c r="BC107" s="350"/>
      <c r="BD107" s="350"/>
      <c r="BE107" s="350"/>
      <c r="BF107" s="350"/>
      <c r="BG107" s="350"/>
      <c r="BH107" s="350"/>
      <c r="BI107" s="350"/>
      <c r="BJ107" s="350"/>
      <c r="BK107" s="350"/>
      <c r="BL107" s="350"/>
      <c r="BM107" s="350"/>
      <c r="BN107" s="350"/>
      <c r="BO107" s="350"/>
      <c r="BP107" s="350"/>
      <c r="BQ107" s="350"/>
      <c r="BR107" s="350"/>
      <c r="BS107" s="350"/>
      <c r="BT107" s="350"/>
      <c r="BU107" s="350"/>
      <c r="BV107" s="350"/>
    </row>
    <row r="108" spans="2:74" x14ac:dyDescent="0.2">
      <c r="B108" s="270"/>
      <c r="C108" s="263"/>
      <c r="D108" s="263"/>
      <c r="E108" s="349"/>
      <c r="F108" s="350"/>
      <c r="G108" s="350"/>
      <c r="H108" s="350"/>
      <c r="I108" s="350"/>
      <c r="J108" s="350"/>
      <c r="K108" s="350"/>
      <c r="L108" s="350"/>
      <c r="M108" s="350"/>
      <c r="N108" s="350"/>
      <c r="O108" s="350"/>
      <c r="P108" s="350"/>
      <c r="Q108" s="350"/>
      <c r="R108" s="350"/>
      <c r="S108" s="350"/>
      <c r="T108" s="350"/>
      <c r="U108" s="350"/>
      <c r="V108" s="350"/>
      <c r="W108" s="350"/>
      <c r="X108" s="350"/>
      <c r="Y108" s="350"/>
      <c r="Z108" s="350"/>
      <c r="AA108" s="350"/>
      <c r="AB108" s="350"/>
      <c r="AC108" s="350"/>
      <c r="AD108" s="350"/>
      <c r="AE108" s="350"/>
      <c r="AF108" s="350"/>
      <c r="AG108" s="350"/>
      <c r="AH108" s="350"/>
      <c r="AI108" s="350"/>
      <c r="AJ108" s="350"/>
      <c r="AK108" s="350"/>
      <c r="AL108" s="350"/>
      <c r="AM108" s="350"/>
      <c r="AN108" s="350"/>
      <c r="AO108" s="350"/>
      <c r="AP108" s="350"/>
      <c r="AQ108" s="350"/>
      <c r="AR108" s="350"/>
      <c r="AS108" s="350"/>
      <c r="AT108" s="350"/>
      <c r="AU108" s="350"/>
      <c r="AV108" s="350"/>
      <c r="AW108" s="350"/>
      <c r="AX108" s="350"/>
      <c r="AY108" s="350"/>
      <c r="AZ108" s="350"/>
      <c r="BA108" s="350"/>
      <c r="BB108" s="350"/>
      <c r="BC108" s="350"/>
      <c r="BD108" s="350"/>
      <c r="BE108" s="350"/>
      <c r="BF108" s="350"/>
      <c r="BG108" s="350"/>
      <c r="BH108" s="350"/>
      <c r="BI108" s="350"/>
      <c r="BJ108" s="350"/>
      <c r="BK108" s="350"/>
      <c r="BL108" s="350"/>
      <c r="BM108" s="350"/>
      <c r="BN108" s="350"/>
      <c r="BO108" s="350"/>
      <c r="BP108" s="350"/>
      <c r="BQ108" s="350"/>
      <c r="BR108" s="350"/>
      <c r="BS108" s="350"/>
      <c r="BT108" s="350"/>
      <c r="BU108" s="350"/>
      <c r="BV108" s="350"/>
    </row>
    <row r="109" spans="2:74" x14ac:dyDescent="0.2">
      <c r="B109" s="270"/>
      <c r="C109" s="263"/>
      <c r="D109" s="263"/>
      <c r="E109" s="349"/>
      <c r="F109" s="350"/>
      <c r="G109" s="350"/>
      <c r="H109" s="350"/>
      <c r="I109" s="350"/>
      <c r="J109" s="350"/>
      <c r="K109" s="350"/>
      <c r="L109" s="350"/>
      <c r="M109" s="350"/>
      <c r="N109" s="350"/>
      <c r="O109" s="350"/>
      <c r="P109" s="350"/>
      <c r="Q109" s="350"/>
      <c r="R109" s="350"/>
      <c r="S109" s="350"/>
      <c r="T109" s="350"/>
      <c r="U109" s="350"/>
      <c r="V109" s="350"/>
      <c r="W109" s="350"/>
      <c r="X109" s="350"/>
      <c r="Y109" s="350"/>
      <c r="Z109" s="350"/>
      <c r="AA109" s="350"/>
      <c r="AB109" s="350"/>
      <c r="AC109" s="350"/>
      <c r="AD109" s="350"/>
      <c r="AE109" s="350"/>
      <c r="AF109" s="350"/>
      <c r="AG109" s="350"/>
      <c r="AH109" s="350"/>
      <c r="AI109" s="350"/>
      <c r="AJ109" s="350"/>
      <c r="AK109" s="350"/>
      <c r="AL109" s="350"/>
      <c r="AM109" s="350"/>
      <c r="AN109" s="350"/>
      <c r="AO109" s="350"/>
      <c r="AP109" s="350"/>
      <c r="AQ109" s="350"/>
      <c r="AR109" s="350"/>
      <c r="AS109" s="350"/>
      <c r="AT109" s="350"/>
      <c r="AU109" s="350"/>
      <c r="AV109" s="350"/>
      <c r="AW109" s="350"/>
      <c r="AX109" s="350"/>
      <c r="AY109" s="350"/>
      <c r="AZ109" s="350"/>
      <c r="BA109" s="350"/>
      <c r="BB109" s="350"/>
      <c r="BC109" s="350"/>
      <c r="BD109" s="350"/>
      <c r="BE109" s="350"/>
      <c r="BF109" s="350"/>
      <c r="BG109" s="350"/>
      <c r="BH109" s="350"/>
      <c r="BI109" s="350"/>
      <c r="BJ109" s="350"/>
      <c r="BK109" s="350"/>
      <c r="BL109" s="350"/>
      <c r="BM109" s="350"/>
      <c r="BN109" s="350"/>
      <c r="BO109" s="350"/>
      <c r="BP109" s="350"/>
      <c r="BQ109" s="350"/>
      <c r="BR109" s="350"/>
      <c r="BS109" s="350"/>
      <c r="BT109" s="350"/>
      <c r="BU109" s="350"/>
      <c r="BV109" s="350"/>
    </row>
    <row r="110" spans="2:74" x14ac:dyDescent="0.2">
      <c r="B110" s="270"/>
      <c r="C110" s="263"/>
      <c r="D110" s="263"/>
      <c r="E110" s="349"/>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c r="AD110" s="350"/>
      <c r="AE110" s="350"/>
      <c r="AF110" s="350"/>
      <c r="AG110" s="350"/>
      <c r="AH110" s="350"/>
      <c r="AI110" s="350"/>
      <c r="AJ110" s="350"/>
      <c r="AK110" s="350"/>
      <c r="AL110" s="350"/>
      <c r="AM110" s="350"/>
      <c r="AN110" s="350"/>
      <c r="AO110" s="350"/>
      <c r="AP110" s="350"/>
      <c r="AQ110" s="350"/>
      <c r="AR110" s="350"/>
      <c r="AS110" s="350"/>
      <c r="AT110" s="350"/>
      <c r="AU110" s="350"/>
      <c r="AV110" s="350"/>
      <c r="AW110" s="350"/>
      <c r="AX110" s="350"/>
      <c r="AY110" s="350"/>
      <c r="AZ110" s="350"/>
      <c r="BA110" s="350"/>
      <c r="BB110" s="350"/>
      <c r="BC110" s="350"/>
      <c r="BD110" s="350"/>
      <c r="BE110" s="350"/>
      <c r="BF110" s="350"/>
      <c r="BG110" s="350"/>
      <c r="BH110" s="350"/>
      <c r="BI110" s="350"/>
      <c r="BJ110" s="350"/>
      <c r="BK110" s="350"/>
      <c r="BL110" s="350"/>
      <c r="BM110" s="350"/>
      <c r="BN110" s="350"/>
      <c r="BO110" s="350"/>
      <c r="BP110" s="350"/>
      <c r="BQ110" s="350"/>
      <c r="BR110" s="350"/>
      <c r="BS110" s="350"/>
      <c r="BT110" s="350"/>
      <c r="BU110" s="350"/>
      <c r="BV110" s="350"/>
    </row>
    <row r="111" spans="2:74" x14ac:dyDescent="0.2">
      <c r="B111" s="270"/>
      <c r="C111" s="263"/>
      <c r="D111" s="263"/>
      <c r="E111" s="349"/>
      <c r="F111" s="350"/>
      <c r="G111" s="350"/>
      <c r="H111" s="350"/>
      <c r="I111" s="350"/>
      <c r="J111" s="350"/>
      <c r="K111" s="350"/>
      <c r="L111" s="350"/>
      <c r="M111" s="350"/>
      <c r="N111" s="350"/>
      <c r="O111" s="350"/>
      <c r="P111" s="350"/>
      <c r="Q111" s="350"/>
      <c r="R111" s="350"/>
      <c r="S111" s="350"/>
      <c r="T111" s="350"/>
      <c r="U111" s="350"/>
      <c r="V111" s="350"/>
      <c r="W111" s="350"/>
      <c r="X111" s="350"/>
      <c r="Y111" s="350"/>
      <c r="Z111" s="350"/>
      <c r="AA111" s="350"/>
      <c r="AB111" s="350"/>
      <c r="AC111" s="350"/>
      <c r="AD111" s="350"/>
      <c r="AE111" s="350"/>
      <c r="AF111" s="350"/>
      <c r="AG111" s="350"/>
      <c r="AH111" s="350"/>
      <c r="AI111" s="350"/>
      <c r="AJ111" s="350"/>
      <c r="AK111" s="350"/>
      <c r="AL111" s="350"/>
      <c r="AM111" s="350"/>
      <c r="AN111" s="350"/>
      <c r="AO111" s="350"/>
      <c r="AP111" s="350"/>
      <c r="AQ111" s="350"/>
      <c r="AR111" s="350"/>
      <c r="AS111" s="350"/>
      <c r="AT111" s="350"/>
      <c r="AU111" s="350"/>
      <c r="AV111" s="350"/>
      <c r="AW111" s="350"/>
      <c r="AX111" s="350"/>
      <c r="AY111" s="350"/>
      <c r="AZ111" s="350"/>
      <c r="BA111" s="350"/>
      <c r="BB111" s="350"/>
      <c r="BC111" s="350"/>
      <c r="BD111" s="350"/>
      <c r="BE111" s="350"/>
      <c r="BF111" s="350"/>
      <c r="BG111" s="350"/>
      <c r="BH111" s="350"/>
      <c r="BI111" s="350"/>
      <c r="BJ111" s="350"/>
      <c r="BK111" s="350"/>
      <c r="BL111" s="350"/>
      <c r="BM111" s="350"/>
      <c r="BN111" s="350"/>
      <c r="BO111" s="350"/>
      <c r="BP111" s="350"/>
      <c r="BQ111" s="350"/>
      <c r="BR111" s="350"/>
      <c r="BS111" s="350"/>
      <c r="BT111" s="350"/>
      <c r="BU111" s="350"/>
      <c r="BV111" s="350"/>
    </row>
    <row r="112" spans="2:74" x14ac:dyDescent="0.2">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26" spans="2:74" x14ac:dyDescent="0.2">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c r="BO126" s="323"/>
      <c r="BP126" s="323"/>
      <c r="BQ126" s="323"/>
      <c r="BR126" s="323"/>
      <c r="BS126" s="323"/>
      <c r="BT126" s="323"/>
      <c r="BU126" s="323"/>
      <c r="BV126" s="323"/>
    </row>
    <row r="127" spans="2:74" x14ac:dyDescent="0.2">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c r="BO127" s="323"/>
      <c r="BP127" s="323"/>
      <c r="BQ127" s="323"/>
      <c r="BR127" s="323"/>
      <c r="BS127" s="323"/>
      <c r="BT127" s="323"/>
      <c r="BU127" s="323"/>
      <c r="BV127" s="323"/>
    </row>
    <row r="128" spans="2:74" x14ac:dyDescent="0.2">
      <c r="B128" s="270"/>
      <c r="C128" s="263"/>
      <c r="D128" s="263"/>
      <c r="E128" s="349"/>
      <c r="F128" s="350"/>
      <c r="G128" s="350"/>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350"/>
      <c r="AE128" s="350"/>
      <c r="AF128" s="350"/>
      <c r="AG128" s="350"/>
      <c r="AH128" s="350"/>
      <c r="AI128" s="350"/>
      <c r="AJ128" s="350"/>
      <c r="AK128" s="350"/>
      <c r="AL128" s="350"/>
      <c r="AM128" s="350"/>
      <c r="AN128" s="350"/>
      <c r="AO128" s="350"/>
      <c r="AP128" s="350"/>
      <c r="AQ128" s="350"/>
      <c r="AR128" s="350"/>
      <c r="AS128" s="350"/>
      <c r="AT128" s="350"/>
      <c r="AU128" s="350"/>
      <c r="AV128" s="350"/>
      <c r="AW128" s="350"/>
      <c r="AX128" s="350"/>
      <c r="AY128" s="350"/>
      <c r="AZ128" s="350"/>
      <c r="BA128" s="350"/>
      <c r="BB128" s="350"/>
      <c r="BC128" s="350"/>
      <c r="BD128" s="350"/>
      <c r="BE128" s="350"/>
      <c r="BF128" s="350"/>
      <c r="BG128" s="350"/>
      <c r="BH128" s="350"/>
      <c r="BI128" s="350"/>
      <c r="BJ128" s="350"/>
      <c r="BK128" s="350"/>
      <c r="BL128" s="350"/>
      <c r="BM128" s="350"/>
      <c r="BN128" s="350"/>
      <c r="BO128" s="350"/>
      <c r="BP128" s="350"/>
      <c r="BQ128" s="350"/>
      <c r="BR128" s="350"/>
      <c r="BS128" s="350"/>
      <c r="BT128" s="350"/>
      <c r="BU128" s="350"/>
      <c r="BV128" s="350"/>
    </row>
    <row r="129" spans="2:74" x14ac:dyDescent="0.2">
      <c r="B129" s="270"/>
      <c r="C129" s="270"/>
      <c r="D129" s="270"/>
      <c r="E129" s="349"/>
      <c r="F129" s="350"/>
      <c r="G129" s="350"/>
      <c r="H129" s="350"/>
      <c r="I129" s="350"/>
      <c r="J129" s="350"/>
      <c r="K129" s="350"/>
      <c r="L129" s="350"/>
      <c r="M129" s="350"/>
      <c r="N129" s="350"/>
      <c r="O129" s="350"/>
      <c r="P129" s="350"/>
      <c r="Q129" s="350"/>
      <c r="R129" s="350"/>
      <c r="S129" s="350"/>
      <c r="T129" s="350"/>
      <c r="U129" s="350"/>
      <c r="V129" s="350"/>
      <c r="W129" s="350"/>
      <c r="X129" s="350"/>
      <c r="Y129" s="350"/>
      <c r="Z129" s="350"/>
      <c r="AA129" s="350"/>
      <c r="AB129" s="350"/>
      <c r="AC129" s="350"/>
      <c r="AD129" s="350"/>
      <c r="AE129" s="350"/>
      <c r="AF129" s="350"/>
      <c r="AG129" s="350"/>
      <c r="AH129" s="350"/>
      <c r="AI129" s="350"/>
      <c r="AJ129" s="350"/>
      <c r="AK129" s="350"/>
      <c r="AL129" s="350"/>
      <c r="AM129" s="350"/>
      <c r="AN129" s="350"/>
      <c r="AO129" s="350"/>
      <c r="AP129" s="350"/>
      <c r="AQ129" s="350"/>
      <c r="AR129" s="350"/>
      <c r="AS129" s="350"/>
      <c r="AT129" s="350"/>
      <c r="AU129" s="350"/>
      <c r="AV129" s="350"/>
      <c r="AW129" s="350"/>
      <c r="AX129" s="350"/>
      <c r="AY129" s="350"/>
      <c r="AZ129" s="350"/>
      <c r="BA129" s="350"/>
      <c r="BB129" s="350"/>
      <c r="BC129" s="350"/>
      <c r="BD129" s="350"/>
      <c r="BE129" s="350"/>
      <c r="BF129" s="350"/>
      <c r="BG129" s="350"/>
      <c r="BH129" s="350"/>
      <c r="BI129" s="350"/>
      <c r="BJ129" s="350"/>
      <c r="BK129" s="350"/>
      <c r="BL129" s="350"/>
      <c r="BM129" s="350"/>
      <c r="BN129" s="350"/>
      <c r="BO129" s="350"/>
      <c r="BP129" s="350"/>
      <c r="BQ129" s="350"/>
      <c r="BR129" s="350"/>
      <c r="BS129" s="350"/>
      <c r="BT129" s="350"/>
      <c r="BU129" s="350"/>
      <c r="BV129" s="350"/>
    </row>
    <row r="130" spans="2:74" x14ac:dyDescent="0.2">
      <c r="B130" s="270"/>
      <c r="C130" s="263"/>
      <c r="D130" s="263"/>
      <c r="E130" s="349"/>
      <c r="F130" s="350"/>
      <c r="G130" s="350"/>
      <c r="H130" s="350"/>
      <c r="I130" s="350"/>
      <c r="J130" s="350"/>
      <c r="K130" s="350"/>
      <c r="L130" s="350"/>
      <c r="M130" s="350"/>
      <c r="N130" s="350"/>
      <c r="O130" s="350"/>
      <c r="P130" s="350"/>
      <c r="Q130" s="350"/>
      <c r="R130" s="350"/>
      <c r="S130" s="350"/>
      <c r="T130" s="350"/>
      <c r="U130" s="350"/>
      <c r="V130" s="350"/>
      <c r="W130" s="350"/>
      <c r="X130" s="350"/>
      <c r="Y130" s="350"/>
      <c r="Z130" s="350"/>
      <c r="AA130" s="350"/>
      <c r="AB130" s="350"/>
      <c r="AC130" s="350"/>
      <c r="AD130" s="350"/>
      <c r="AE130" s="350"/>
      <c r="AF130" s="350"/>
      <c r="AG130" s="350"/>
      <c r="AH130" s="350"/>
      <c r="AI130" s="350"/>
      <c r="AJ130" s="350"/>
      <c r="AK130" s="350"/>
      <c r="AL130" s="350"/>
      <c r="AM130" s="350"/>
      <c r="AN130" s="350"/>
      <c r="AO130" s="350"/>
      <c r="AP130" s="350"/>
      <c r="AQ130" s="350"/>
      <c r="AR130" s="350"/>
      <c r="AS130" s="350"/>
      <c r="AT130" s="350"/>
      <c r="AU130" s="350"/>
      <c r="AV130" s="350"/>
      <c r="AW130" s="350"/>
      <c r="AX130" s="350"/>
      <c r="AY130" s="350"/>
      <c r="AZ130" s="350"/>
      <c r="BA130" s="350"/>
      <c r="BB130" s="350"/>
      <c r="BC130" s="350"/>
      <c r="BD130" s="350"/>
      <c r="BE130" s="350"/>
      <c r="BF130" s="350"/>
      <c r="BG130" s="350"/>
      <c r="BH130" s="350"/>
      <c r="BI130" s="350"/>
      <c r="BJ130" s="350"/>
      <c r="BK130" s="350"/>
      <c r="BL130" s="350"/>
      <c r="BM130" s="350"/>
      <c r="BN130" s="350"/>
      <c r="BO130" s="350"/>
      <c r="BP130" s="350"/>
      <c r="BQ130" s="350"/>
      <c r="BR130" s="350"/>
      <c r="BS130" s="350"/>
      <c r="BT130" s="350"/>
      <c r="BU130" s="350"/>
      <c r="BV130" s="350"/>
    </row>
    <row r="131" spans="2:74" x14ac:dyDescent="0.2">
      <c r="C131" s="263"/>
      <c r="D131" s="263"/>
      <c r="E131" s="349"/>
      <c r="F131" s="350"/>
      <c r="G131" s="350"/>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350"/>
      <c r="AE131" s="350"/>
      <c r="AF131" s="350"/>
      <c r="AG131" s="350"/>
      <c r="AH131" s="350"/>
      <c r="AI131" s="350"/>
      <c r="AJ131" s="350"/>
      <c r="AK131" s="350"/>
      <c r="AL131" s="350"/>
      <c r="AM131" s="350"/>
      <c r="AN131" s="350"/>
      <c r="AO131" s="350"/>
      <c r="AP131" s="350"/>
      <c r="AQ131" s="350"/>
      <c r="AR131" s="350"/>
      <c r="AS131" s="350"/>
      <c r="AT131" s="350"/>
      <c r="AU131" s="350"/>
      <c r="AV131" s="350"/>
      <c r="AW131" s="350"/>
      <c r="AX131" s="350"/>
      <c r="AY131" s="350"/>
      <c r="AZ131" s="350"/>
      <c r="BA131" s="350"/>
      <c r="BB131" s="350"/>
      <c r="BC131" s="350"/>
      <c r="BD131" s="350"/>
      <c r="BE131" s="350"/>
      <c r="BF131" s="350"/>
      <c r="BG131" s="350"/>
      <c r="BH131" s="350"/>
      <c r="BI131" s="350"/>
      <c r="BJ131" s="350"/>
      <c r="BK131" s="350"/>
      <c r="BL131" s="350"/>
      <c r="BM131" s="350"/>
      <c r="BN131" s="350"/>
      <c r="BO131" s="350"/>
      <c r="BP131" s="350"/>
      <c r="BQ131" s="350"/>
      <c r="BR131" s="350"/>
      <c r="BS131" s="350"/>
      <c r="BT131" s="350"/>
      <c r="BU131" s="350"/>
      <c r="BV131" s="350"/>
    </row>
    <row r="132" spans="2:74" x14ac:dyDescent="0.2">
      <c r="B132" s="270"/>
      <c r="C132" s="263"/>
      <c r="D132" s="263"/>
      <c r="E132" s="349"/>
      <c r="F132" s="350"/>
      <c r="G132" s="350"/>
      <c r="H132" s="350"/>
      <c r="I132" s="350"/>
      <c r="J132" s="350"/>
      <c r="K132" s="350"/>
      <c r="L132" s="350"/>
      <c r="M132" s="350"/>
      <c r="N132" s="350"/>
      <c r="O132" s="350"/>
      <c r="P132" s="350"/>
      <c r="Q132" s="350"/>
      <c r="R132" s="350"/>
      <c r="S132" s="350"/>
      <c r="T132" s="350"/>
      <c r="U132" s="350"/>
      <c r="V132" s="350"/>
      <c r="W132" s="350"/>
      <c r="X132" s="350"/>
      <c r="Y132" s="350"/>
      <c r="Z132" s="350"/>
      <c r="AA132" s="350"/>
      <c r="AB132" s="350"/>
      <c r="AC132" s="350"/>
      <c r="AD132" s="350"/>
      <c r="AE132" s="350"/>
      <c r="AF132" s="350"/>
      <c r="AG132" s="350"/>
      <c r="AH132" s="350"/>
      <c r="AI132" s="350"/>
      <c r="AJ132" s="350"/>
      <c r="AK132" s="350"/>
      <c r="AL132" s="350"/>
      <c r="AM132" s="350"/>
      <c r="AN132" s="350"/>
      <c r="AO132" s="350"/>
      <c r="AP132" s="350"/>
      <c r="AQ132" s="350"/>
      <c r="AR132" s="350"/>
      <c r="AS132" s="350"/>
      <c r="AT132" s="350"/>
      <c r="AU132" s="350"/>
      <c r="AV132" s="350"/>
      <c r="AW132" s="350"/>
      <c r="AX132" s="350"/>
      <c r="AY132" s="350"/>
      <c r="AZ132" s="350"/>
      <c r="BA132" s="350"/>
      <c r="BB132" s="350"/>
      <c r="BC132" s="350"/>
      <c r="BD132" s="350"/>
      <c r="BE132" s="350"/>
      <c r="BF132" s="350"/>
      <c r="BG132" s="350"/>
      <c r="BH132" s="350"/>
      <c r="BI132" s="350"/>
      <c r="BJ132" s="350"/>
      <c r="BK132" s="350"/>
      <c r="BL132" s="350"/>
      <c r="BM132" s="350"/>
      <c r="BN132" s="350"/>
      <c r="BO132" s="350"/>
      <c r="BP132" s="350"/>
      <c r="BQ132" s="350"/>
      <c r="BR132" s="350"/>
      <c r="BS132" s="350"/>
      <c r="BT132" s="350"/>
      <c r="BU132" s="350"/>
      <c r="BV132" s="350"/>
    </row>
    <row r="133" spans="2:74" x14ac:dyDescent="0.2">
      <c r="B133" s="270"/>
      <c r="C133" s="263"/>
      <c r="D133" s="263"/>
      <c r="E133" s="349"/>
      <c r="F133" s="350"/>
      <c r="G133" s="350"/>
      <c r="H133" s="350"/>
      <c r="I133" s="350"/>
      <c r="J133" s="350"/>
      <c r="K133" s="350"/>
      <c r="L133" s="350"/>
      <c r="M133" s="350"/>
      <c r="N133" s="350"/>
      <c r="O133" s="350"/>
      <c r="P133" s="350"/>
      <c r="Q133" s="350"/>
      <c r="R133" s="350"/>
      <c r="S133" s="350"/>
      <c r="T133" s="350"/>
      <c r="U133" s="350"/>
      <c r="V133" s="350"/>
      <c r="W133" s="350"/>
      <c r="X133" s="350"/>
      <c r="Y133" s="350"/>
      <c r="Z133" s="350"/>
      <c r="AA133" s="350"/>
      <c r="AB133" s="350"/>
      <c r="AC133" s="350"/>
      <c r="AD133" s="350"/>
      <c r="AE133" s="350"/>
      <c r="AF133" s="350"/>
      <c r="AG133" s="350"/>
      <c r="AH133" s="350"/>
      <c r="AI133" s="350"/>
      <c r="AJ133" s="350"/>
      <c r="AK133" s="350"/>
      <c r="AL133" s="350"/>
      <c r="AM133" s="350"/>
      <c r="AN133" s="350"/>
      <c r="AO133" s="350"/>
      <c r="AP133" s="350"/>
      <c r="AQ133" s="350"/>
      <c r="AR133" s="350"/>
      <c r="AS133" s="350"/>
      <c r="AT133" s="350"/>
      <c r="AU133" s="350"/>
      <c r="AV133" s="350"/>
      <c r="AW133" s="350"/>
      <c r="AX133" s="350"/>
      <c r="AY133" s="350"/>
      <c r="AZ133" s="350"/>
      <c r="BA133" s="350"/>
      <c r="BB133" s="350"/>
      <c r="BC133" s="350"/>
      <c r="BD133" s="350"/>
      <c r="BE133" s="350"/>
      <c r="BF133" s="350"/>
      <c r="BG133" s="350"/>
      <c r="BH133" s="350"/>
      <c r="BI133" s="350"/>
      <c r="BJ133" s="350"/>
      <c r="BK133" s="350"/>
      <c r="BL133" s="350"/>
      <c r="BM133" s="350"/>
      <c r="BN133" s="350"/>
      <c r="BO133" s="350"/>
      <c r="BP133" s="350"/>
      <c r="BQ133" s="350"/>
      <c r="BR133" s="350"/>
      <c r="BS133" s="350"/>
      <c r="BT133" s="350"/>
      <c r="BU133" s="350"/>
      <c r="BV133" s="350"/>
    </row>
    <row r="134" spans="2:74" x14ac:dyDescent="0.2">
      <c r="B134" s="270"/>
      <c r="C134" s="263"/>
      <c r="D134" s="263"/>
      <c r="E134" s="349"/>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c r="AG134" s="350"/>
      <c r="AH134" s="350"/>
      <c r="AI134" s="350"/>
      <c r="AJ134" s="350"/>
      <c r="AK134" s="350"/>
      <c r="AL134" s="350"/>
      <c r="AM134" s="350"/>
      <c r="AN134" s="350"/>
      <c r="AO134" s="350"/>
      <c r="AP134" s="350"/>
      <c r="AQ134" s="350"/>
      <c r="AR134" s="350"/>
      <c r="AS134" s="350"/>
      <c r="AT134" s="350"/>
      <c r="AU134" s="350"/>
      <c r="AV134" s="350"/>
      <c r="AW134" s="350"/>
      <c r="AX134" s="350"/>
      <c r="AY134" s="350"/>
      <c r="AZ134" s="350"/>
      <c r="BA134" s="350"/>
      <c r="BB134" s="350"/>
      <c r="BC134" s="350"/>
      <c r="BD134" s="350"/>
      <c r="BE134" s="350"/>
      <c r="BF134" s="350"/>
      <c r="BG134" s="350"/>
      <c r="BH134" s="350"/>
      <c r="BI134" s="350"/>
      <c r="BJ134" s="350"/>
      <c r="BK134" s="350"/>
      <c r="BL134" s="350"/>
      <c r="BM134" s="350"/>
      <c r="BN134" s="350"/>
      <c r="BO134" s="350"/>
      <c r="BP134" s="350"/>
      <c r="BQ134" s="350"/>
      <c r="BR134" s="350"/>
      <c r="BS134" s="350"/>
      <c r="BT134" s="350"/>
      <c r="BU134" s="350"/>
      <c r="BV134" s="350"/>
    </row>
    <row r="135" spans="2:74" x14ac:dyDescent="0.2">
      <c r="B135" s="270"/>
      <c r="C135" s="263"/>
      <c r="D135" s="263"/>
      <c r="E135" s="349"/>
      <c r="F135" s="350"/>
      <c r="G135" s="350"/>
      <c r="H135" s="350"/>
      <c r="I135" s="350"/>
      <c r="J135" s="350"/>
      <c r="K135" s="350"/>
      <c r="L135" s="350"/>
      <c r="M135" s="350"/>
      <c r="N135" s="350"/>
      <c r="O135" s="350"/>
      <c r="P135" s="350"/>
      <c r="Q135" s="350"/>
      <c r="R135" s="350"/>
      <c r="S135" s="350"/>
      <c r="T135" s="350"/>
      <c r="U135" s="350"/>
      <c r="V135" s="350"/>
      <c r="W135" s="350"/>
      <c r="X135" s="350"/>
      <c r="Y135" s="350"/>
      <c r="Z135" s="350"/>
      <c r="AA135" s="350"/>
      <c r="AB135" s="350"/>
      <c r="AC135" s="350"/>
      <c r="AD135" s="350"/>
      <c r="AE135" s="350"/>
      <c r="AF135" s="350"/>
      <c r="AG135" s="350"/>
      <c r="AH135" s="350"/>
      <c r="AI135" s="350"/>
      <c r="AJ135" s="350"/>
      <c r="AK135" s="350"/>
      <c r="AL135" s="350"/>
      <c r="AM135" s="350"/>
      <c r="AN135" s="350"/>
      <c r="AO135" s="350"/>
      <c r="AP135" s="350"/>
      <c r="AQ135" s="350"/>
      <c r="AR135" s="350"/>
      <c r="AS135" s="350"/>
      <c r="AT135" s="350"/>
      <c r="AU135" s="350"/>
      <c r="AV135" s="350"/>
      <c r="AW135" s="350"/>
      <c r="AX135" s="350"/>
      <c r="AY135" s="350"/>
      <c r="AZ135" s="350"/>
      <c r="BA135" s="350"/>
      <c r="BB135" s="350"/>
      <c r="BC135" s="350"/>
      <c r="BD135" s="350"/>
      <c r="BE135" s="350"/>
      <c r="BF135" s="350"/>
      <c r="BG135" s="350"/>
      <c r="BH135" s="350"/>
      <c r="BI135" s="350"/>
      <c r="BJ135" s="350"/>
      <c r="BK135" s="350"/>
      <c r="BL135" s="350"/>
      <c r="BM135" s="350"/>
      <c r="BN135" s="350"/>
      <c r="BO135" s="350"/>
      <c r="BP135" s="350"/>
      <c r="BQ135" s="350"/>
      <c r="BR135" s="350"/>
      <c r="BS135" s="350"/>
      <c r="BT135" s="350"/>
      <c r="BU135" s="350"/>
      <c r="BV135" s="350"/>
    </row>
    <row r="136" spans="2:74" x14ac:dyDescent="0.2">
      <c r="B136" s="270"/>
      <c r="C136" s="263"/>
      <c r="D136" s="263"/>
      <c r="E136" s="349"/>
      <c r="F136" s="350"/>
      <c r="G136" s="350"/>
      <c r="H136" s="350"/>
      <c r="I136" s="350"/>
      <c r="J136" s="350"/>
      <c r="K136" s="350"/>
      <c r="L136" s="350"/>
      <c r="M136" s="350"/>
      <c r="N136" s="350"/>
      <c r="O136" s="350"/>
      <c r="P136" s="350"/>
      <c r="Q136" s="350"/>
      <c r="R136" s="350"/>
      <c r="S136" s="350"/>
      <c r="T136" s="350"/>
      <c r="U136" s="350"/>
      <c r="V136" s="350"/>
      <c r="W136" s="350"/>
      <c r="X136" s="350"/>
      <c r="Y136" s="350"/>
      <c r="Z136" s="350"/>
      <c r="AA136" s="350"/>
      <c r="AB136" s="350"/>
      <c r="AC136" s="350"/>
      <c r="AD136" s="350"/>
      <c r="AE136" s="350"/>
      <c r="AF136" s="350"/>
      <c r="AG136" s="350"/>
      <c r="AH136" s="350"/>
      <c r="AI136" s="350"/>
      <c r="AJ136" s="350"/>
      <c r="AK136" s="350"/>
      <c r="AL136" s="350"/>
      <c r="AM136" s="350"/>
      <c r="AN136" s="350"/>
      <c r="AO136" s="350"/>
      <c r="AP136" s="350"/>
      <c r="AQ136" s="350"/>
      <c r="AR136" s="350"/>
      <c r="AS136" s="350"/>
      <c r="AT136" s="350"/>
      <c r="AU136" s="350"/>
      <c r="AV136" s="350"/>
      <c r="AW136" s="350"/>
      <c r="AX136" s="350"/>
      <c r="AY136" s="350"/>
      <c r="AZ136" s="350"/>
      <c r="BA136" s="350"/>
      <c r="BB136" s="350"/>
      <c r="BC136" s="350"/>
      <c r="BD136" s="350"/>
      <c r="BE136" s="350"/>
      <c r="BF136" s="350"/>
      <c r="BG136" s="350"/>
      <c r="BH136" s="350"/>
      <c r="BI136" s="350"/>
      <c r="BJ136" s="350"/>
      <c r="BK136" s="350"/>
      <c r="BL136" s="350"/>
      <c r="BM136" s="350"/>
      <c r="BN136" s="350"/>
      <c r="BO136" s="350"/>
      <c r="BP136" s="350"/>
      <c r="BQ136" s="350"/>
      <c r="BR136" s="350"/>
      <c r="BS136" s="350"/>
      <c r="BT136" s="350"/>
      <c r="BU136" s="350"/>
      <c r="BV136" s="350"/>
    </row>
    <row r="137" spans="2:74" x14ac:dyDescent="0.2">
      <c r="B137" s="270"/>
      <c r="C137" s="263"/>
      <c r="D137" s="263"/>
      <c r="E137" s="349"/>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350"/>
      <c r="AE137" s="350"/>
      <c r="AF137" s="350"/>
      <c r="AG137" s="350"/>
      <c r="AH137" s="350"/>
      <c r="AI137" s="350"/>
      <c r="AJ137" s="350"/>
      <c r="AK137" s="350"/>
      <c r="AL137" s="350"/>
      <c r="AM137" s="350"/>
      <c r="AN137" s="350"/>
      <c r="AO137" s="350"/>
      <c r="AP137" s="350"/>
      <c r="AQ137" s="350"/>
      <c r="AR137" s="350"/>
      <c r="AS137" s="350"/>
      <c r="AT137" s="350"/>
      <c r="AU137" s="350"/>
      <c r="AV137" s="350"/>
      <c r="AW137" s="350"/>
      <c r="AX137" s="350"/>
      <c r="AY137" s="350"/>
      <c r="AZ137" s="350"/>
      <c r="BA137" s="350"/>
      <c r="BB137" s="350"/>
      <c r="BC137" s="350"/>
      <c r="BD137" s="350"/>
      <c r="BE137" s="350"/>
      <c r="BF137" s="350"/>
      <c r="BG137" s="350"/>
      <c r="BH137" s="350"/>
      <c r="BI137" s="350"/>
      <c r="BJ137" s="350"/>
      <c r="BK137" s="350"/>
      <c r="BL137" s="350"/>
      <c r="BM137" s="350"/>
      <c r="BN137" s="350"/>
      <c r="BO137" s="350"/>
      <c r="BP137" s="350"/>
      <c r="BQ137" s="350"/>
      <c r="BR137" s="350"/>
      <c r="BS137" s="350"/>
      <c r="BT137" s="350"/>
      <c r="BU137" s="350"/>
      <c r="BV137" s="350"/>
    </row>
    <row r="138" spans="2:74" x14ac:dyDescent="0.2">
      <c r="B138" s="270"/>
      <c r="C138" s="263"/>
      <c r="D138" s="263"/>
      <c r="E138" s="349"/>
      <c r="F138" s="350"/>
      <c r="G138" s="350"/>
      <c r="H138" s="350"/>
      <c r="I138" s="350"/>
      <c r="J138" s="350"/>
      <c r="K138" s="350"/>
      <c r="L138" s="350"/>
      <c r="M138" s="350"/>
      <c r="N138" s="350"/>
      <c r="O138" s="350"/>
      <c r="P138" s="350"/>
      <c r="Q138" s="350"/>
      <c r="R138" s="350"/>
      <c r="S138" s="350"/>
      <c r="T138" s="350"/>
      <c r="U138" s="350"/>
      <c r="V138" s="350"/>
      <c r="W138" s="350"/>
      <c r="X138" s="350"/>
      <c r="Y138" s="350"/>
      <c r="Z138" s="350"/>
      <c r="AA138" s="350"/>
      <c r="AB138" s="350"/>
      <c r="AC138" s="350"/>
      <c r="AD138" s="350"/>
      <c r="AE138" s="350"/>
      <c r="AF138" s="350"/>
      <c r="AG138" s="350"/>
      <c r="AH138" s="350"/>
      <c r="AI138" s="350"/>
      <c r="AJ138" s="350"/>
      <c r="AK138" s="350"/>
      <c r="AL138" s="350"/>
      <c r="AM138" s="350"/>
      <c r="AN138" s="350"/>
      <c r="AO138" s="350"/>
      <c r="AP138" s="350"/>
      <c r="AQ138" s="350"/>
      <c r="AR138" s="350"/>
      <c r="AS138" s="350"/>
      <c r="AT138" s="350"/>
      <c r="AU138" s="350"/>
      <c r="AV138" s="350"/>
      <c r="AW138" s="350"/>
      <c r="AX138" s="350"/>
      <c r="AY138" s="350"/>
      <c r="AZ138" s="350"/>
      <c r="BA138" s="350"/>
      <c r="BB138" s="350"/>
      <c r="BC138" s="350"/>
      <c r="BD138" s="350"/>
      <c r="BE138" s="350"/>
      <c r="BF138" s="350"/>
      <c r="BG138" s="350"/>
      <c r="BH138" s="350"/>
      <c r="BI138" s="350"/>
      <c r="BJ138" s="350"/>
      <c r="BK138" s="350"/>
      <c r="BL138" s="350"/>
      <c r="BM138" s="350"/>
      <c r="BN138" s="350"/>
      <c r="BO138" s="350"/>
      <c r="BP138" s="350"/>
      <c r="BQ138" s="350"/>
      <c r="BR138" s="350"/>
      <c r="BS138" s="350"/>
      <c r="BT138" s="350"/>
      <c r="BU138" s="350"/>
      <c r="BV138" s="350"/>
    </row>
    <row r="139" spans="2:74" x14ac:dyDescent="0.2">
      <c r="B139" s="270"/>
      <c r="C139" s="263"/>
      <c r="D139" s="263"/>
      <c r="E139" s="349"/>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c r="AF139" s="350"/>
      <c r="AG139" s="350"/>
      <c r="AH139" s="350"/>
      <c r="AI139" s="350"/>
      <c r="AJ139" s="350"/>
      <c r="AK139" s="350"/>
      <c r="AL139" s="350"/>
      <c r="AM139" s="350"/>
      <c r="AN139" s="350"/>
      <c r="AO139" s="350"/>
      <c r="AP139" s="350"/>
      <c r="AQ139" s="350"/>
      <c r="AR139" s="350"/>
      <c r="AS139" s="350"/>
      <c r="AT139" s="350"/>
      <c r="AU139" s="350"/>
      <c r="AV139" s="350"/>
      <c r="AW139" s="350"/>
      <c r="AX139" s="350"/>
      <c r="AY139" s="350"/>
      <c r="AZ139" s="350"/>
      <c r="BA139" s="350"/>
      <c r="BB139" s="350"/>
      <c r="BC139" s="350"/>
      <c r="BD139" s="350"/>
      <c r="BE139" s="350"/>
      <c r="BF139" s="350"/>
      <c r="BG139" s="350"/>
      <c r="BH139" s="350"/>
      <c r="BI139" s="350"/>
      <c r="BJ139" s="350"/>
      <c r="BK139" s="350"/>
      <c r="BL139" s="350"/>
      <c r="BM139" s="350"/>
      <c r="BN139" s="350"/>
      <c r="BO139" s="350"/>
      <c r="BP139" s="350"/>
      <c r="BQ139" s="350"/>
      <c r="BR139" s="350"/>
      <c r="BS139" s="350"/>
      <c r="BT139" s="350"/>
      <c r="BU139" s="350"/>
      <c r="BV139" s="350"/>
    </row>
    <row r="140" spans="2:74" x14ac:dyDescent="0.2">
      <c r="B140" s="270"/>
      <c r="C140" s="263"/>
      <c r="D140" s="263"/>
      <c r="E140" s="349"/>
      <c r="F140" s="350"/>
      <c r="G140" s="350"/>
      <c r="H140" s="350"/>
      <c r="I140" s="350"/>
      <c r="J140" s="350"/>
      <c r="K140" s="350"/>
      <c r="L140" s="350"/>
      <c r="M140" s="350"/>
      <c r="N140" s="350"/>
      <c r="O140" s="350"/>
      <c r="P140" s="350"/>
      <c r="Q140" s="350"/>
      <c r="R140" s="350"/>
      <c r="S140" s="350"/>
      <c r="T140" s="350"/>
      <c r="U140" s="350"/>
      <c r="V140" s="350"/>
      <c r="W140" s="350"/>
      <c r="X140" s="350"/>
      <c r="Y140" s="350"/>
      <c r="Z140" s="350"/>
      <c r="AA140" s="350"/>
      <c r="AB140" s="350"/>
      <c r="AC140" s="350"/>
      <c r="AD140" s="350"/>
      <c r="AE140" s="350"/>
      <c r="AF140" s="350"/>
      <c r="AG140" s="350"/>
      <c r="AH140" s="350"/>
      <c r="AI140" s="350"/>
      <c r="AJ140" s="350"/>
      <c r="AK140" s="350"/>
      <c r="AL140" s="350"/>
      <c r="AM140" s="350"/>
      <c r="AN140" s="350"/>
      <c r="AO140" s="350"/>
      <c r="AP140" s="350"/>
      <c r="AQ140" s="350"/>
      <c r="AR140" s="350"/>
      <c r="AS140" s="350"/>
      <c r="AT140" s="350"/>
      <c r="AU140" s="350"/>
      <c r="AV140" s="350"/>
      <c r="AW140" s="350"/>
      <c r="AX140" s="350"/>
      <c r="AY140" s="350"/>
      <c r="AZ140" s="350"/>
      <c r="BA140" s="350"/>
      <c r="BB140" s="350"/>
      <c r="BC140" s="350"/>
      <c r="BD140" s="350"/>
      <c r="BE140" s="350"/>
      <c r="BF140" s="350"/>
      <c r="BG140" s="350"/>
      <c r="BH140" s="350"/>
      <c r="BI140" s="350"/>
      <c r="BJ140" s="350"/>
      <c r="BK140" s="350"/>
      <c r="BL140" s="350"/>
      <c r="BM140" s="350"/>
      <c r="BN140" s="350"/>
      <c r="BO140" s="350"/>
      <c r="BP140" s="350"/>
      <c r="BQ140" s="350"/>
      <c r="BR140" s="350"/>
      <c r="BS140" s="350"/>
      <c r="BT140" s="350"/>
      <c r="BU140" s="350"/>
      <c r="BV140" s="350"/>
    </row>
    <row r="141" spans="2:74" x14ac:dyDescent="0.2">
      <c r="B141" s="270"/>
      <c r="C141" s="270"/>
      <c r="D141" s="270"/>
      <c r="E141" s="349"/>
      <c r="F141" s="350"/>
      <c r="G141" s="350"/>
      <c r="H141" s="350"/>
      <c r="I141" s="350"/>
      <c r="J141" s="350"/>
      <c r="K141" s="350"/>
      <c r="L141" s="350"/>
      <c r="M141" s="350"/>
      <c r="N141" s="350"/>
      <c r="O141" s="350"/>
      <c r="P141" s="350"/>
      <c r="Q141" s="350"/>
      <c r="R141" s="350"/>
      <c r="S141" s="350"/>
      <c r="T141" s="350"/>
      <c r="U141" s="350"/>
      <c r="V141" s="350"/>
      <c r="W141" s="350"/>
      <c r="X141" s="350"/>
      <c r="Y141" s="350"/>
      <c r="Z141" s="350"/>
      <c r="AA141" s="350"/>
      <c r="AB141" s="350"/>
      <c r="AC141" s="350"/>
      <c r="AD141" s="350"/>
      <c r="AE141" s="350"/>
      <c r="AF141" s="350"/>
      <c r="AG141" s="350"/>
      <c r="AH141" s="350"/>
      <c r="AI141" s="350"/>
      <c r="AJ141" s="350"/>
      <c r="AK141" s="350"/>
      <c r="AL141" s="350"/>
      <c r="AM141" s="350"/>
      <c r="AN141" s="350"/>
      <c r="AO141" s="350"/>
      <c r="AP141" s="350"/>
      <c r="AQ141" s="350"/>
      <c r="AR141" s="350"/>
      <c r="AS141" s="350"/>
      <c r="AT141" s="350"/>
      <c r="AU141" s="350"/>
      <c r="AV141" s="350"/>
      <c r="AW141" s="350"/>
      <c r="AX141" s="350"/>
      <c r="AY141" s="350"/>
      <c r="AZ141" s="350"/>
      <c r="BA141" s="350"/>
      <c r="BB141" s="350"/>
      <c r="BC141" s="350"/>
      <c r="BD141" s="350"/>
      <c r="BE141" s="350"/>
      <c r="BF141" s="350"/>
      <c r="BG141" s="350"/>
      <c r="BH141" s="350"/>
      <c r="BI141" s="350"/>
      <c r="BJ141" s="350"/>
      <c r="BK141" s="350"/>
      <c r="BL141" s="350"/>
      <c r="BM141" s="350"/>
      <c r="BN141" s="350"/>
      <c r="BO141" s="350"/>
      <c r="BP141" s="350"/>
      <c r="BQ141" s="350"/>
      <c r="BR141" s="350"/>
      <c r="BS141" s="350"/>
      <c r="BT141" s="350"/>
      <c r="BU141" s="350"/>
      <c r="BV141" s="350"/>
    </row>
    <row r="142" spans="2:74" x14ac:dyDescent="0.2">
      <c r="B142" s="270"/>
      <c r="C142" s="263"/>
      <c r="D142" s="263"/>
      <c r="E142" s="349"/>
      <c r="F142" s="350"/>
      <c r="G142" s="350"/>
      <c r="H142" s="350"/>
      <c r="I142" s="350"/>
      <c r="J142" s="350"/>
      <c r="K142" s="350"/>
      <c r="L142" s="350"/>
      <c r="M142" s="350"/>
      <c r="N142" s="350"/>
      <c r="O142" s="350"/>
      <c r="P142" s="350"/>
      <c r="Q142" s="350"/>
      <c r="R142" s="350"/>
      <c r="S142" s="350"/>
      <c r="T142" s="350"/>
      <c r="U142" s="350"/>
      <c r="V142" s="350"/>
      <c r="W142" s="350"/>
      <c r="X142" s="350"/>
      <c r="Y142" s="350"/>
      <c r="Z142" s="350"/>
      <c r="AA142" s="350"/>
      <c r="AB142" s="350"/>
      <c r="AC142" s="350"/>
      <c r="AD142" s="350"/>
      <c r="AE142" s="350"/>
      <c r="AF142" s="350"/>
      <c r="AG142" s="350"/>
      <c r="AH142" s="350"/>
      <c r="AI142" s="350"/>
      <c r="AJ142" s="350"/>
      <c r="AK142" s="350"/>
      <c r="AL142" s="350"/>
      <c r="AM142" s="350"/>
      <c r="AN142" s="350"/>
      <c r="AO142" s="350"/>
      <c r="AP142" s="350"/>
      <c r="AQ142" s="350"/>
      <c r="AR142" s="350"/>
      <c r="AS142" s="350"/>
      <c r="AT142" s="350"/>
      <c r="AU142" s="350"/>
      <c r="AV142" s="350"/>
      <c r="AW142" s="350"/>
      <c r="AX142" s="350"/>
      <c r="AY142" s="350"/>
      <c r="AZ142" s="350"/>
      <c r="BA142" s="350"/>
      <c r="BB142" s="350"/>
      <c r="BC142" s="350"/>
      <c r="BD142" s="350"/>
      <c r="BE142" s="350"/>
      <c r="BF142" s="350"/>
      <c r="BG142" s="350"/>
      <c r="BH142" s="350"/>
      <c r="BI142" s="350"/>
      <c r="BJ142" s="350"/>
      <c r="BK142" s="350"/>
      <c r="BL142" s="350"/>
      <c r="BM142" s="350"/>
      <c r="BN142" s="350"/>
      <c r="BO142" s="350"/>
      <c r="BP142" s="350"/>
      <c r="BQ142" s="350"/>
      <c r="BR142" s="350"/>
      <c r="BS142" s="350"/>
      <c r="BT142" s="350"/>
      <c r="BU142" s="350"/>
      <c r="BV142" s="350"/>
    </row>
    <row r="143" spans="2:74" x14ac:dyDescent="0.2">
      <c r="B143" s="270"/>
      <c r="C143" s="263"/>
      <c r="D143" s="263"/>
      <c r="E143" s="349"/>
      <c r="F143" s="350"/>
      <c r="G143" s="350"/>
      <c r="H143" s="350"/>
      <c r="I143" s="350"/>
      <c r="J143" s="350"/>
      <c r="K143" s="350"/>
      <c r="L143" s="350"/>
      <c r="M143" s="350"/>
      <c r="N143" s="350"/>
      <c r="O143" s="350"/>
      <c r="P143" s="350"/>
      <c r="Q143" s="350"/>
      <c r="R143" s="350"/>
      <c r="S143" s="350"/>
      <c r="T143" s="350"/>
      <c r="U143" s="350"/>
      <c r="V143" s="350"/>
      <c r="W143" s="350"/>
      <c r="X143" s="350"/>
      <c r="Y143" s="350"/>
      <c r="Z143" s="350"/>
      <c r="AA143" s="350"/>
      <c r="AB143" s="350"/>
      <c r="AC143" s="350"/>
      <c r="AD143" s="350"/>
      <c r="AE143" s="350"/>
      <c r="AF143" s="350"/>
      <c r="AG143" s="350"/>
      <c r="AH143" s="350"/>
      <c r="AI143" s="350"/>
      <c r="AJ143" s="350"/>
      <c r="AK143" s="350"/>
      <c r="AL143" s="350"/>
      <c r="AM143" s="350"/>
      <c r="AN143" s="350"/>
      <c r="AO143" s="350"/>
      <c r="AP143" s="350"/>
      <c r="AQ143" s="350"/>
      <c r="AR143" s="350"/>
      <c r="AS143" s="350"/>
      <c r="AT143" s="350"/>
      <c r="AU143" s="350"/>
      <c r="AV143" s="350"/>
      <c r="AW143" s="350"/>
      <c r="AX143" s="350"/>
      <c r="AY143" s="350"/>
      <c r="AZ143" s="350"/>
      <c r="BA143" s="350"/>
      <c r="BB143" s="350"/>
      <c r="BC143" s="350"/>
      <c r="BD143" s="350"/>
      <c r="BE143" s="350"/>
      <c r="BF143" s="350"/>
      <c r="BG143" s="350"/>
      <c r="BH143" s="350"/>
      <c r="BI143" s="350"/>
      <c r="BJ143" s="350"/>
      <c r="BK143" s="350"/>
      <c r="BL143" s="350"/>
      <c r="BM143" s="350"/>
      <c r="BN143" s="350"/>
      <c r="BO143" s="350"/>
      <c r="BP143" s="350"/>
      <c r="BQ143" s="350"/>
      <c r="BR143" s="350"/>
      <c r="BS143" s="350"/>
      <c r="BT143" s="350"/>
      <c r="BU143" s="350"/>
      <c r="BV143" s="350"/>
    </row>
    <row r="144" spans="2:74" x14ac:dyDescent="0.2">
      <c r="B144" s="270"/>
      <c r="C144" s="263"/>
      <c r="D144" s="263"/>
      <c r="E144" s="349"/>
      <c r="F144" s="350"/>
      <c r="G144" s="350"/>
      <c r="H144" s="350"/>
      <c r="I144" s="350"/>
      <c r="J144" s="350"/>
      <c r="K144" s="350"/>
      <c r="L144" s="350"/>
      <c r="M144" s="350"/>
      <c r="N144" s="350"/>
      <c r="O144" s="350"/>
      <c r="P144" s="350"/>
      <c r="Q144" s="350"/>
      <c r="R144" s="350"/>
      <c r="S144" s="350"/>
      <c r="T144" s="350"/>
      <c r="U144" s="350"/>
      <c r="V144" s="350"/>
      <c r="W144" s="350"/>
      <c r="X144" s="350"/>
      <c r="Y144" s="350"/>
      <c r="Z144" s="350"/>
      <c r="AA144" s="350"/>
      <c r="AB144" s="350"/>
      <c r="AC144" s="350"/>
      <c r="AD144" s="350"/>
      <c r="AE144" s="350"/>
      <c r="AF144" s="350"/>
      <c r="AG144" s="350"/>
      <c r="AH144" s="350"/>
      <c r="AI144" s="350"/>
      <c r="AJ144" s="350"/>
      <c r="AK144" s="350"/>
      <c r="AL144" s="350"/>
      <c r="AM144" s="350"/>
      <c r="AN144" s="350"/>
      <c r="AO144" s="350"/>
      <c r="AP144" s="350"/>
      <c r="AQ144" s="350"/>
      <c r="AR144" s="350"/>
      <c r="AS144" s="350"/>
      <c r="AT144" s="350"/>
      <c r="AU144" s="350"/>
      <c r="AV144" s="350"/>
      <c r="AW144" s="350"/>
      <c r="AX144" s="350"/>
      <c r="AY144" s="350"/>
      <c r="AZ144" s="350"/>
      <c r="BA144" s="350"/>
      <c r="BB144" s="350"/>
      <c r="BC144" s="350"/>
      <c r="BD144" s="350"/>
      <c r="BE144" s="350"/>
      <c r="BF144" s="350"/>
      <c r="BG144" s="350"/>
      <c r="BH144" s="350"/>
      <c r="BI144" s="350"/>
      <c r="BJ144" s="350"/>
      <c r="BK144" s="350"/>
      <c r="BL144" s="350"/>
      <c r="BM144" s="350"/>
      <c r="BN144" s="350"/>
      <c r="BO144" s="350"/>
      <c r="BP144" s="350"/>
      <c r="BQ144" s="350"/>
      <c r="BR144" s="350"/>
      <c r="BS144" s="350"/>
      <c r="BT144" s="350"/>
      <c r="BU144" s="350"/>
      <c r="BV144" s="350"/>
    </row>
    <row r="145" spans="2:74" x14ac:dyDescent="0.2">
      <c r="B145" s="270"/>
      <c r="C145" s="263"/>
      <c r="D145" s="263"/>
      <c r="E145" s="349"/>
      <c r="F145" s="350"/>
      <c r="G145" s="350"/>
      <c r="H145" s="350"/>
      <c r="I145" s="350"/>
      <c r="J145" s="350"/>
      <c r="K145" s="350"/>
      <c r="L145" s="350"/>
      <c r="M145" s="350"/>
      <c r="N145" s="350"/>
      <c r="O145" s="350"/>
      <c r="P145" s="350"/>
      <c r="Q145" s="350"/>
      <c r="R145" s="350"/>
      <c r="S145" s="350"/>
      <c r="T145" s="350"/>
      <c r="U145" s="350"/>
      <c r="V145" s="350"/>
      <c r="W145" s="350"/>
      <c r="X145" s="350"/>
      <c r="Y145" s="350"/>
      <c r="Z145" s="350"/>
      <c r="AA145" s="350"/>
      <c r="AB145" s="350"/>
      <c r="AC145" s="350"/>
      <c r="AD145" s="350"/>
      <c r="AE145" s="350"/>
      <c r="AF145" s="350"/>
      <c r="AG145" s="350"/>
      <c r="AH145" s="350"/>
      <c r="AI145" s="350"/>
      <c r="AJ145" s="350"/>
      <c r="AK145" s="350"/>
      <c r="AL145" s="350"/>
      <c r="AM145" s="350"/>
      <c r="AN145" s="350"/>
      <c r="AO145" s="350"/>
      <c r="AP145" s="350"/>
      <c r="AQ145" s="350"/>
      <c r="AR145" s="350"/>
      <c r="AS145" s="350"/>
      <c r="AT145" s="350"/>
      <c r="AU145" s="350"/>
      <c r="AV145" s="350"/>
      <c r="AW145" s="350"/>
      <c r="AX145" s="350"/>
      <c r="AY145" s="350"/>
      <c r="AZ145" s="350"/>
      <c r="BA145" s="350"/>
      <c r="BB145" s="350"/>
      <c r="BC145" s="350"/>
      <c r="BD145" s="350"/>
      <c r="BE145" s="350"/>
      <c r="BF145" s="350"/>
      <c r="BG145" s="350"/>
      <c r="BH145" s="350"/>
      <c r="BI145" s="350"/>
      <c r="BJ145" s="350"/>
      <c r="BK145" s="350"/>
      <c r="BL145" s="350"/>
      <c r="BM145" s="350"/>
      <c r="BN145" s="350"/>
      <c r="BO145" s="350"/>
      <c r="BP145" s="350"/>
      <c r="BQ145" s="350"/>
      <c r="BR145" s="350"/>
      <c r="BS145" s="350"/>
      <c r="BT145" s="350"/>
      <c r="BU145" s="350"/>
      <c r="BV145" s="350"/>
    </row>
    <row r="146" spans="2:74" x14ac:dyDescent="0.2">
      <c r="B146" s="270"/>
      <c r="C146" s="263"/>
      <c r="D146" s="263"/>
      <c r="E146" s="349"/>
      <c r="F146" s="350"/>
      <c r="G146" s="350"/>
      <c r="H146" s="350"/>
      <c r="I146" s="350"/>
      <c r="J146" s="350"/>
      <c r="K146" s="350"/>
      <c r="L146" s="350"/>
      <c r="M146" s="350"/>
      <c r="N146" s="350"/>
      <c r="O146" s="350"/>
      <c r="P146" s="350"/>
      <c r="Q146" s="350"/>
      <c r="R146" s="350"/>
      <c r="S146" s="350"/>
      <c r="T146" s="350"/>
      <c r="U146" s="350"/>
      <c r="V146" s="350"/>
      <c r="W146" s="350"/>
      <c r="X146" s="350"/>
      <c r="Y146" s="350"/>
      <c r="Z146" s="350"/>
      <c r="AA146" s="350"/>
      <c r="AB146" s="350"/>
      <c r="AC146" s="350"/>
      <c r="AD146" s="350"/>
      <c r="AE146" s="350"/>
      <c r="AF146" s="350"/>
      <c r="AG146" s="350"/>
      <c r="AH146" s="350"/>
      <c r="AI146" s="350"/>
      <c r="AJ146" s="350"/>
      <c r="AK146" s="350"/>
      <c r="AL146" s="350"/>
      <c r="AM146" s="350"/>
      <c r="AN146" s="350"/>
      <c r="AO146" s="350"/>
      <c r="AP146" s="350"/>
      <c r="AQ146" s="350"/>
      <c r="AR146" s="350"/>
      <c r="AS146" s="350"/>
      <c r="AT146" s="350"/>
      <c r="AU146" s="350"/>
      <c r="AV146" s="350"/>
      <c r="AW146" s="350"/>
      <c r="AX146" s="350"/>
      <c r="AY146" s="350"/>
      <c r="AZ146" s="350"/>
      <c r="BA146" s="350"/>
      <c r="BB146" s="350"/>
      <c r="BC146" s="350"/>
      <c r="BD146" s="350"/>
      <c r="BE146" s="350"/>
      <c r="BF146" s="350"/>
      <c r="BG146" s="350"/>
      <c r="BH146" s="350"/>
      <c r="BI146" s="350"/>
      <c r="BJ146" s="350"/>
      <c r="BK146" s="350"/>
      <c r="BL146" s="350"/>
      <c r="BM146" s="350"/>
      <c r="BN146" s="350"/>
      <c r="BO146" s="350"/>
      <c r="BP146" s="350"/>
      <c r="BQ146" s="350"/>
      <c r="BR146" s="350"/>
      <c r="BS146" s="350"/>
      <c r="BT146" s="350"/>
      <c r="BU146" s="350"/>
      <c r="BV146" s="350"/>
    </row>
    <row r="147" spans="2:74" x14ac:dyDescent="0.2">
      <c r="B147" s="270"/>
      <c r="C147" s="263"/>
      <c r="D147" s="263"/>
      <c r="E147" s="349"/>
      <c r="F147" s="350"/>
      <c r="G147" s="350"/>
      <c r="H147" s="350"/>
      <c r="I147" s="350"/>
      <c r="J147" s="350"/>
      <c r="K147" s="350"/>
      <c r="L147" s="350"/>
      <c r="M147" s="350"/>
      <c r="N147" s="350"/>
      <c r="O147" s="350"/>
      <c r="P147" s="350"/>
      <c r="Q147" s="350"/>
      <c r="R147" s="350"/>
      <c r="S147" s="350"/>
      <c r="T147" s="350"/>
      <c r="U147" s="350"/>
      <c r="V147" s="350"/>
      <c r="W147" s="350"/>
      <c r="X147" s="350"/>
      <c r="Y147" s="350"/>
      <c r="Z147" s="350"/>
      <c r="AA147" s="350"/>
      <c r="AB147" s="350"/>
      <c r="AC147" s="350"/>
      <c r="AD147" s="350"/>
      <c r="AE147" s="350"/>
      <c r="AF147" s="350"/>
      <c r="AG147" s="350"/>
      <c r="AH147" s="350"/>
      <c r="AI147" s="350"/>
      <c r="AJ147" s="350"/>
      <c r="AK147" s="350"/>
      <c r="AL147" s="350"/>
      <c r="AM147" s="350"/>
      <c r="AN147" s="350"/>
      <c r="AO147" s="350"/>
      <c r="AP147" s="350"/>
      <c r="AQ147" s="350"/>
      <c r="AR147" s="350"/>
      <c r="AS147" s="350"/>
      <c r="AT147" s="350"/>
      <c r="AU147" s="350"/>
      <c r="AV147" s="350"/>
      <c r="AW147" s="350"/>
      <c r="AX147" s="350"/>
      <c r="AY147" s="350"/>
      <c r="AZ147" s="350"/>
      <c r="BA147" s="350"/>
      <c r="BB147" s="350"/>
      <c r="BC147" s="350"/>
      <c r="BD147" s="350"/>
      <c r="BE147" s="350"/>
      <c r="BF147" s="350"/>
      <c r="BG147" s="350"/>
      <c r="BH147" s="350"/>
      <c r="BI147" s="350"/>
      <c r="BJ147" s="350"/>
      <c r="BK147" s="350"/>
      <c r="BL147" s="350"/>
      <c r="BM147" s="350"/>
      <c r="BN147" s="350"/>
      <c r="BO147" s="350"/>
      <c r="BP147" s="350"/>
      <c r="BQ147" s="350"/>
      <c r="BR147" s="350"/>
      <c r="BS147" s="350"/>
      <c r="BT147" s="350"/>
      <c r="BU147" s="350"/>
      <c r="BV147" s="350"/>
    </row>
    <row r="148" spans="2:74" x14ac:dyDescent="0.2">
      <c r="B148" s="270"/>
      <c r="C148" s="263"/>
      <c r="D148" s="263"/>
      <c r="E148" s="349"/>
      <c r="F148" s="350"/>
      <c r="G148" s="350"/>
      <c r="H148" s="350"/>
      <c r="I148" s="350"/>
      <c r="J148" s="350"/>
      <c r="K148" s="350"/>
      <c r="L148" s="350"/>
      <c r="M148" s="350"/>
      <c r="N148" s="350"/>
      <c r="O148" s="350"/>
      <c r="P148" s="350"/>
      <c r="Q148" s="350"/>
      <c r="R148" s="350"/>
      <c r="S148" s="350"/>
      <c r="T148" s="350"/>
      <c r="U148" s="350"/>
      <c r="V148" s="350"/>
      <c r="W148" s="350"/>
      <c r="X148" s="350"/>
      <c r="Y148" s="350"/>
      <c r="Z148" s="350"/>
      <c r="AA148" s="350"/>
      <c r="AB148" s="350"/>
      <c r="AC148" s="350"/>
      <c r="AD148" s="350"/>
      <c r="AE148" s="350"/>
      <c r="AF148" s="350"/>
      <c r="AG148" s="350"/>
      <c r="AH148" s="350"/>
      <c r="AI148" s="350"/>
      <c r="AJ148" s="350"/>
      <c r="AK148" s="350"/>
      <c r="AL148" s="350"/>
      <c r="AM148" s="350"/>
      <c r="AN148" s="350"/>
      <c r="AO148" s="350"/>
      <c r="AP148" s="350"/>
      <c r="AQ148" s="350"/>
      <c r="AR148" s="350"/>
      <c r="AS148" s="350"/>
      <c r="AT148" s="350"/>
      <c r="AU148" s="350"/>
      <c r="AV148" s="350"/>
      <c r="AW148" s="350"/>
      <c r="AX148" s="350"/>
      <c r="AY148" s="350"/>
      <c r="AZ148" s="350"/>
      <c r="BA148" s="350"/>
      <c r="BB148" s="350"/>
      <c r="BC148" s="350"/>
      <c r="BD148" s="350"/>
      <c r="BE148" s="350"/>
      <c r="BF148" s="350"/>
      <c r="BG148" s="350"/>
      <c r="BH148" s="350"/>
      <c r="BI148" s="350"/>
      <c r="BJ148" s="350"/>
      <c r="BK148" s="350"/>
      <c r="BL148" s="350"/>
      <c r="BM148" s="350"/>
      <c r="BN148" s="350"/>
      <c r="BO148" s="350"/>
      <c r="BP148" s="350"/>
      <c r="BQ148" s="350"/>
      <c r="BR148" s="350"/>
      <c r="BS148" s="350"/>
      <c r="BT148" s="350"/>
      <c r="BU148" s="350"/>
      <c r="BV148" s="350"/>
    </row>
    <row r="149" spans="2:74" x14ac:dyDescent="0.2">
      <c r="B149" s="270"/>
      <c r="C149" s="263"/>
      <c r="D149" s="263"/>
      <c r="E149" s="349"/>
      <c r="F149" s="350"/>
      <c r="G149" s="350"/>
      <c r="H149" s="350"/>
      <c r="I149" s="350"/>
      <c r="J149" s="350"/>
      <c r="K149" s="350"/>
      <c r="L149" s="350"/>
      <c r="M149" s="350"/>
      <c r="N149" s="350"/>
      <c r="O149" s="350"/>
      <c r="P149" s="350"/>
      <c r="Q149" s="350"/>
      <c r="R149" s="350"/>
      <c r="S149" s="350"/>
      <c r="T149" s="350"/>
      <c r="U149" s="350"/>
      <c r="V149" s="350"/>
      <c r="W149" s="350"/>
      <c r="X149" s="350"/>
      <c r="Y149" s="350"/>
      <c r="Z149" s="350"/>
      <c r="AA149" s="350"/>
      <c r="AB149" s="350"/>
      <c r="AC149" s="350"/>
      <c r="AD149" s="350"/>
      <c r="AE149" s="350"/>
      <c r="AF149" s="350"/>
      <c r="AG149" s="350"/>
      <c r="AH149" s="350"/>
      <c r="AI149" s="350"/>
      <c r="AJ149" s="350"/>
      <c r="AK149" s="350"/>
      <c r="AL149" s="350"/>
      <c r="AM149" s="350"/>
      <c r="AN149" s="350"/>
      <c r="AO149" s="350"/>
      <c r="AP149" s="350"/>
      <c r="AQ149" s="350"/>
      <c r="AR149" s="350"/>
      <c r="AS149" s="350"/>
      <c r="AT149" s="350"/>
      <c r="AU149" s="350"/>
      <c r="AV149" s="350"/>
      <c r="AW149" s="350"/>
      <c r="AX149" s="350"/>
      <c r="AY149" s="350"/>
      <c r="AZ149" s="350"/>
      <c r="BA149" s="350"/>
      <c r="BB149" s="350"/>
      <c r="BC149" s="350"/>
      <c r="BD149" s="350"/>
      <c r="BE149" s="350"/>
      <c r="BF149" s="350"/>
      <c r="BG149" s="350"/>
      <c r="BH149" s="350"/>
      <c r="BI149" s="350"/>
      <c r="BJ149" s="350"/>
      <c r="BK149" s="350"/>
      <c r="BL149" s="350"/>
      <c r="BM149" s="350"/>
      <c r="BN149" s="350"/>
      <c r="BO149" s="350"/>
      <c r="BP149" s="350"/>
      <c r="BQ149" s="350"/>
      <c r="BR149" s="350"/>
      <c r="BS149" s="350"/>
      <c r="BT149" s="350"/>
      <c r="BU149" s="350"/>
      <c r="BV149" s="350"/>
    </row>
    <row r="150" spans="2:74" x14ac:dyDescent="0.2">
      <c r="B150" s="270"/>
      <c r="C150" s="263"/>
      <c r="D150" s="263"/>
      <c r="E150" s="349"/>
      <c r="F150" s="350"/>
      <c r="G150" s="350"/>
      <c r="H150" s="350"/>
      <c r="I150" s="350"/>
      <c r="J150" s="350"/>
      <c r="K150" s="350"/>
      <c r="L150" s="350"/>
      <c r="M150" s="350"/>
      <c r="N150" s="350"/>
      <c r="O150" s="350"/>
      <c r="P150" s="350"/>
      <c r="Q150" s="350"/>
      <c r="R150" s="350"/>
      <c r="S150" s="350"/>
      <c r="T150" s="350"/>
      <c r="U150" s="350"/>
      <c r="V150" s="350"/>
      <c r="W150" s="350"/>
      <c r="X150" s="350"/>
      <c r="Y150" s="350"/>
      <c r="Z150" s="350"/>
      <c r="AA150" s="350"/>
      <c r="AB150" s="350"/>
      <c r="AC150" s="350"/>
      <c r="AD150" s="350"/>
      <c r="AE150" s="350"/>
      <c r="AF150" s="350"/>
      <c r="AG150" s="350"/>
      <c r="AH150" s="350"/>
      <c r="AI150" s="350"/>
      <c r="AJ150" s="350"/>
      <c r="AK150" s="350"/>
      <c r="AL150" s="350"/>
      <c r="AM150" s="350"/>
      <c r="AN150" s="350"/>
      <c r="AO150" s="350"/>
      <c r="AP150" s="350"/>
      <c r="AQ150" s="350"/>
      <c r="AR150" s="350"/>
      <c r="AS150" s="350"/>
      <c r="AT150" s="350"/>
      <c r="AU150" s="350"/>
      <c r="AV150" s="350"/>
      <c r="AW150" s="350"/>
      <c r="AX150" s="350"/>
      <c r="AY150" s="350"/>
      <c r="AZ150" s="350"/>
      <c r="BA150" s="350"/>
      <c r="BB150" s="350"/>
      <c r="BC150" s="350"/>
      <c r="BD150" s="350"/>
      <c r="BE150" s="350"/>
      <c r="BF150" s="350"/>
      <c r="BG150" s="350"/>
      <c r="BH150" s="350"/>
      <c r="BI150" s="350"/>
      <c r="BJ150" s="350"/>
      <c r="BK150" s="350"/>
      <c r="BL150" s="350"/>
      <c r="BM150" s="350"/>
      <c r="BN150" s="350"/>
      <c r="BO150" s="350"/>
      <c r="BP150" s="350"/>
      <c r="BQ150" s="350"/>
      <c r="BR150" s="350"/>
      <c r="BS150" s="350"/>
      <c r="BT150" s="350"/>
      <c r="BU150" s="350"/>
      <c r="BV150" s="350"/>
    </row>
    <row r="151" spans="2:74" x14ac:dyDescent="0.2">
      <c r="B151" s="270"/>
      <c r="C151" s="263"/>
      <c r="D151" s="263"/>
      <c r="E151" s="349"/>
      <c r="F151" s="350"/>
      <c r="G151" s="350"/>
      <c r="H151" s="350"/>
      <c r="I151" s="350"/>
      <c r="J151" s="350"/>
      <c r="K151" s="350"/>
      <c r="L151" s="350"/>
      <c r="M151" s="350"/>
      <c r="N151" s="350"/>
      <c r="O151" s="350"/>
      <c r="P151" s="350"/>
      <c r="Q151" s="350"/>
      <c r="R151" s="350"/>
      <c r="S151" s="350"/>
      <c r="T151" s="350"/>
      <c r="U151" s="350"/>
      <c r="V151" s="350"/>
      <c r="W151" s="350"/>
      <c r="X151" s="350"/>
      <c r="Y151" s="350"/>
      <c r="Z151" s="350"/>
      <c r="AA151" s="350"/>
      <c r="AB151" s="350"/>
      <c r="AC151" s="350"/>
      <c r="AD151" s="350"/>
      <c r="AE151" s="350"/>
      <c r="AF151" s="350"/>
      <c r="AG151" s="350"/>
      <c r="AH151" s="350"/>
      <c r="AI151" s="350"/>
      <c r="AJ151" s="350"/>
      <c r="AK151" s="350"/>
      <c r="AL151" s="350"/>
      <c r="AM151" s="350"/>
      <c r="AN151" s="350"/>
      <c r="AO151" s="350"/>
      <c r="AP151" s="350"/>
      <c r="AQ151" s="350"/>
      <c r="AR151" s="350"/>
      <c r="AS151" s="350"/>
      <c r="AT151" s="350"/>
      <c r="AU151" s="350"/>
      <c r="AV151" s="350"/>
      <c r="AW151" s="350"/>
      <c r="AX151" s="350"/>
      <c r="AY151" s="350"/>
      <c r="AZ151" s="350"/>
      <c r="BA151" s="350"/>
      <c r="BB151" s="350"/>
      <c r="BC151" s="350"/>
      <c r="BD151" s="350"/>
      <c r="BE151" s="350"/>
      <c r="BF151" s="350"/>
      <c r="BG151" s="350"/>
      <c r="BH151" s="350"/>
      <c r="BI151" s="350"/>
      <c r="BJ151" s="350"/>
      <c r="BK151" s="350"/>
      <c r="BL151" s="350"/>
      <c r="BM151" s="350"/>
      <c r="BN151" s="350"/>
      <c r="BO151" s="350"/>
      <c r="BP151" s="350"/>
      <c r="BQ151" s="350"/>
      <c r="BR151" s="350"/>
      <c r="BS151" s="350"/>
      <c r="BT151" s="350"/>
      <c r="BU151" s="350"/>
      <c r="BV151" s="350"/>
    </row>
    <row r="152" spans="2:74" x14ac:dyDescent="0.2">
      <c r="B152" s="270"/>
      <c r="C152" s="263"/>
      <c r="D152" s="263"/>
      <c r="E152" s="349"/>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350"/>
      <c r="AE152" s="350"/>
      <c r="AF152" s="350"/>
      <c r="AG152" s="350"/>
      <c r="AH152" s="350"/>
      <c r="AI152" s="350"/>
      <c r="AJ152" s="350"/>
      <c r="AK152" s="350"/>
      <c r="AL152" s="350"/>
      <c r="AM152" s="350"/>
      <c r="AN152" s="350"/>
      <c r="AO152" s="350"/>
      <c r="AP152" s="350"/>
      <c r="AQ152" s="350"/>
      <c r="AR152" s="350"/>
      <c r="AS152" s="350"/>
      <c r="AT152" s="350"/>
      <c r="AU152" s="350"/>
      <c r="AV152" s="350"/>
      <c r="AW152" s="350"/>
      <c r="AX152" s="350"/>
      <c r="AY152" s="350"/>
      <c r="AZ152" s="350"/>
      <c r="BA152" s="350"/>
      <c r="BB152" s="350"/>
      <c r="BC152" s="350"/>
      <c r="BD152" s="350"/>
      <c r="BE152" s="350"/>
      <c r="BF152" s="350"/>
      <c r="BG152" s="350"/>
      <c r="BH152" s="350"/>
      <c r="BI152" s="350"/>
      <c r="BJ152" s="350"/>
      <c r="BK152" s="350"/>
      <c r="BL152" s="350"/>
      <c r="BM152" s="350"/>
      <c r="BN152" s="350"/>
      <c r="BO152" s="350"/>
      <c r="BP152" s="350"/>
      <c r="BQ152" s="350"/>
      <c r="BR152" s="350"/>
      <c r="BS152" s="350"/>
      <c r="BT152" s="350"/>
      <c r="BU152" s="350"/>
      <c r="BV152" s="350"/>
    </row>
    <row r="153" spans="2:74" x14ac:dyDescent="0.2">
      <c r="B153" s="270"/>
      <c r="C153" s="263"/>
      <c r="D153" s="263"/>
      <c r="E153" s="349"/>
      <c r="F153" s="350"/>
      <c r="G153" s="350"/>
      <c r="H153" s="350"/>
      <c r="I153" s="350"/>
      <c r="J153" s="350"/>
      <c r="K153" s="350"/>
      <c r="L153" s="350"/>
      <c r="M153" s="350"/>
      <c r="N153" s="350"/>
      <c r="O153" s="350"/>
      <c r="P153" s="350"/>
      <c r="Q153" s="350"/>
      <c r="R153" s="350"/>
      <c r="S153" s="350"/>
      <c r="T153" s="350"/>
      <c r="U153" s="350"/>
      <c r="V153" s="350"/>
      <c r="W153" s="350"/>
      <c r="X153" s="350"/>
      <c r="Y153" s="350"/>
      <c r="Z153" s="350"/>
      <c r="AA153" s="350"/>
      <c r="AB153" s="350"/>
      <c r="AC153" s="350"/>
      <c r="AD153" s="350"/>
      <c r="AE153" s="350"/>
      <c r="AF153" s="350"/>
      <c r="AG153" s="350"/>
      <c r="AH153" s="350"/>
      <c r="AI153" s="350"/>
      <c r="AJ153" s="350"/>
      <c r="AK153" s="350"/>
      <c r="AL153" s="350"/>
      <c r="AM153" s="350"/>
      <c r="AN153" s="350"/>
      <c r="AO153" s="350"/>
      <c r="AP153" s="350"/>
      <c r="AQ153" s="350"/>
      <c r="AR153" s="350"/>
      <c r="AS153" s="350"/>
      <c r="AT153" s="350"/>
      <c r="AU153" s="350"/>
      <c r="AV153" s="350"/>
      <c r="AW153" s="350"/>
      <c r="AX153" s="350"/>
      <c r="AY153" s="350"/>
      <c r="AZ153" s="350"/>
      <c r="BA153" s="350"/>
      <c r="BB153" s="350"/>
      <c r="BC153" s="350"/>
      <c r="BD153" s="350"/>
      <c r="BE153" s="350"/>
      <c r="BF153" s="350"/>
      <c r="BG153" s="350"/>
      <c r="BH153" s="350"/>
      <c r="BI153" s="350"/>
      <c r="BJ153" s="350"/>
      <c r="BK153" s="350"/>
      <c r="BL153" s="350"/>
      <c r="BM153" s="350"/>
      <c r="BN153" s="350"/>
      <c r="BO153" s="350"/>
      <c r="BP153" s="350"/>
      <c r="BQ153" s="350"/>
      <c r="BR153" s="350"/>
      <c r="BS153" s="350"/>
      <c r="BT153" s="350"/>
      <c r="BU153" s="350"/>
      <c r="BV153" s="350"/>
    </row>
    <row r="154" spans="2:74" x14ac:dyDescent="0.2">
      <c r="B154" s="270"/>
      <c r="C154" s="270"/>
      <c r="D154" s="270"/>
      <c r="E154" s="349"/>
      <c r="F154" s="350"/>
      <c r="G154" s="350"/>
      <c r="H154" s="350"/>
      <c r="I154" s="350"/>
      <c r="J154" s="350"/>
      <c r="K154" s="350"/>
      <c r="L154" s="350"/>
      <c r="M154" s="350"/>
      <c r="N154" s="350"/>
      <c r="O154" s="350"/>
      <c r="P154" s="350"/>
      <c r="Q154" s="350"/>
      <c r="R154" s="350"/>
      <c r="S154" s="350"/>
      <c r="T154" s="350"/>
      <c r="U154" s="350"/>
      <c r="V154" s="350"/>
      <c r="W154" s="350"/>
      <c r="X154" s="350"/>
      <c r="Y154" s="350"/>
      <c r="Z154" s="350"/>
      <c r="AA154" s="350"/>
      <c r="AB154" s="350"/>
      <c r="AC154" s="350"/>
      <c r="AD154" s="350"/>
      <c r="AE154" s="350"/>
      <c r="AF154" s="350"/>
      <c r="AG154" s="350"/>
      <c r="AH154" s="350"/>
      <c r="AI154" s="350"/>
      <c r="AJ154" s="350"/>
      <c r="AK154" s="350"/>
      <c r="AL154" s="350"/>
      <c r="AM154" s="350"/>
      <c r="AN154" s="350"/>
      <c r="AO154" s="350"/>
      <c r="AP154" s="350"/>
      <c r="AQ154" s="350"/>
      <c r="AR154" s="350"/>
      <c r="AS154" s="350"/>
      <c r="AT154" s="350"/>
      <c r="AU154" s="350"/>
      <c r="AV154" s="350"/>
      <c r="AW154" s="350"/>
      <c r="AX154" s="350"/>
      <c r="AY154" s="350"/>
      <c r="AZ154" s="350"/>
      <c r="BA154" s="350"/>
      <c r="BB154" s="350"/>
      <c r="BC154" s="350"/>
      <c r="BD154" s="350"/>
      <c r="BE154" s="350"/>
      <c r="BF154" s="350"/>
      <c r="BG154" s="350"/>
      <c r="BH154" s="350"/>
      <c r="BI154" s="350"/>
      <c r="BJ154" s="350"/>
      <c r="BK154" s="350"/>
      <c r="BL154" s="350"/>
      <c r="BM154" s="350"/>
      <c r="BN154" s="350"/>
      <c r="BO154" s="350"/>
      <c r="BP154" s="350"/>
      <c r="BQ154" s="350"/>
      <c r="BR154" s="350"/>
      <c r="BS154" s="350"/>
      <c r="BT154" s="350"/>
      <c r="BU154" s="350"/>
      <c r="BV154" s="350"/>
    </row>
    <row r="155" spans="2:74" x14ac:dyDescent="0.2">
      <c r="B155" s="270"/>
      <c r="C155" s="263"/>
      <c r="D155" s="263"/>
      <c r="E155" s="349"/>
      <c r="F155" s="350"/>
      <c r="G155" s="350"/>
      <c r="H155" s="350"/>
      <c r="I155" s="350"/>
      <c r="J155" s="350"/>
      <c r="K155" s="350"/>
      <c r="L155" s="350"/>
      <c r="M155" s="350"/>
      <c r="N155" s="350"/>
      <c r="O155" s="350"/>
      <c r="P155" s="350"/>
      <c r="Q155" s="350"/>
      <c r="R155" s="350"/>
      <c r="S155" s="350"/>
      <c r="T155" s="350"/>
      <c r="U155" s="350"/>
      <c r="V155" s="350"/>
      <c r="W155" s="350"/>
      <c r="X155" s="350"/>
      <c r="Y155" s="350"/>
      <c r="Z155" s="350"/>
      <c r="AA155" s="350"/>
      <c r="AB155" s="350"/>
      <c r="AC155" s="350"/>
      <c r="AD155" s="350"/>
      <c r="AE155" s="350"/>
      <c r="AF155" s="350"/>
      <c r="AG155" s="350"/>
      <c r="AH155" s="350"/>
      <c r="AI155" s="350"/>
      <c r="AJ155" s="350"/>
      <c r="AK155" s="350"/>
      <c r="AL155" s="350"/>
      <c r="AM155" s="350"/>
      <c r="AN155" s="350"/>
      <c r="AO155" s="350"/>
      <c r="AP155" s="350"/>
      <c r="AQ155" s="350"/>
      <c r="AR155" s="350"/>
      <c r="AS155" s="350"/>
      <c r="AT155" s="350"/>
      <c r="AU155" s="350"/>
      <c r="AV155" s="350"/>
      <c r="AW155" s="350"/>
      <c r="AX155" s="350"/>
      <c r="AY155" s="350"/>
      <c r="AZ155" s="350"/>
      <c r="BA155" s="350"/>
      <c r="BB155" s="350"/>
      <c r="BC155" s="350"/>
      <c r="BD155" s="350"/>
      <c r="BE155" s="350"/>
      <c r="BF155" s="350"/>
      <c r="BG155" s="350"/>
      <c r="BH155" s="350"/>
      <c r="BI155" s="350"/>
      <c r="BJ155" s="350"/>
      <c r="BK155" s="350"/>
      <c r="BL155" s="350"/>
      <c r="BM155" s="350"/>
      <c r="BN155" s="350"/>
      <c r="BO155" s="350"/>
      <c r="BP155" s="350"/>
      <c r="BQ155" s="350"/>
      <c r="BR155" s="350"/>
      <c r="BS155" s="350"/>
      <c r="BT155" s="350"/>
      <c r="BU155" s="350"/>
      <c r="BV155" s="350"/>
    </row>
    <row r="156" spans="2:74" x14ac:dyDescent="0.2">
      <c r="B156" s="270"/>
      <c r="C156" s="263"/>
      <c r="D156" s="263"/>
      <c r="E156" s="349"/>
      <c r="F156" s="350"/>
      <c r="G156" s="350"/>
      <c r="H156" s="350"/>
      <c r="I156" s="350"/>
      <c r="J156" s="350"/>
      <c r="K156" s="350"/>
      <c r="L156" s="350"/>
      <c r="M156" s="350"/>
      <c r="N156" s="350"/>
      <c r="O156" s="350"/>
      <c r="P156" s="350"/>
      <c r="Q156" s="350"/>
      <c r="R156" s="350"/>
      <c r="S156" s="350"/>
      <c r="T156" s="350"/>
      <c r="U156" s="350"/>
      <c r="V156" s="350"/>
      <c r="W156" s="350"/>
      <c r="X156" s="350"/>
      <c r="Y156" s="350"/>
      <c r="Z156" s="350"/>
      <c r="AA156" s="350"/>
      <c r="AB156" s="350"/>
      <c r="AC156" s="350"/>
      <c r="AD156" s="350"/>
      <c r="AE156" s="350"/>
      <c r="AF156" s="350"/>
      <c r="AG156" s="350"/>
      <c r="AH156" s="350"/>
      <c r="AI156" s="350"/>
      <c r="AJ156" s="350"/>
      <c r="AK156" s="350"/>
      <c r="AL156" s="350"/>
      <c r="AM156" s="350"/>
      <c r="AN156" s="350"/>
      <c r="AO156" s="350"/>
      <c r="AP156" s="350"/>
      <c r="AQ156" s="350"/>
      <c r="AR156" s="350"/>
      <c r="AS156" s="350"/>
      <c r="AT156" s="350"/>
      <c r="AU156" s="350"/>
      <c r="AV156" s="350"/>
      <c r="AW156" s="350"/>
      <c r="AX156" s="350"/>
      <c r="AY156" s="350"/>
      <c r="AZ156" s="350"/>
      <c r="BA156" s="350"/>
      <c r="BB156" s="350"/>
      <c r="BC156" s="350"/>
      <c r="BD156" s="350"/>
      <c r="BE156" s="350"/>
      <c r="BF156" s="350"/>
      <c r="BG156" s="350"/>
      <c r="BH156" s="350"/>
      <c r="BI156" s="350"/>
      <c r="BJ156" s="350"/>
      <c r="BK156" s="350"/>
      <c r="BL156" s="350"/>
      <c r="BM156" s="350"/>
      <c r="BN156" s="350"/>
      <c r="BO156" s="350"/>
      <c r="BP156" s="350"/>
      <c r="BQ156" s="350"/>
      <c r="BR156" s="350"/>
      <c r="BS156" s="350"/>
      <c r="BT156" s="350"/>
      <c r="BU156" s="350"/>
      <c r="BV156" s="350"/>
    </row>
    <row r="157" spans="2:74" x14ac:dyDescent="0.2">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row>
    <row r="158" spans="2:74" x14ac:dyDescent="0.2">
      <c r="B158" s="270"/>
      <c r="C158" s="263"/>
      <c r="D158" s="263"/>
      <c r="E158" s="349"/>
      <c r="F158" s="350"/>
      <c r="G158" s="350"/>
      <c r="H158" s="350"/>
      <c r="I158" s="350"/>
      <c r="J158" s="350"/>
      <c r="K158" s="350"/>
      <c r="L158" s="350"/>
      <c r="M158" s="350"/>
      <c r="N158" s="350"/>
      <c r="O158" s="350"/>
      <c r="P158" s="350"/>
      <c r="Q158" s="350"/>
      <c r="R158" s="350"/>
      <c r="S158" s="350"/>
      <c r="T158" s="350"/>
      <c r="U158" s="350"/>
      <c r="V158" s="350"/>
      <c r="W158" s="350"/>
      <c r="X158" s="350"/>
      <c r="Y158" s="350"/>
      <c r="Z158" s="350"/>
      <c r="AA158" s="350"/>
      <c r="AB158" s="350"/>
      <c r="AC158" s="350"/>
      <c r="AD158" s="350"/>
      <c r="AE158" s="350"/>
      <c r="AF158" s="350"/>
      <c r="AG158" s="350"/>
      <c r="AH158" s="350"/>
      <c r="AI158" s="350"/>
      <c r="AJ158" s="350"/>
      <c r="AK158" s="350"/>
      <c r="AL158" s="350"/>
      <c r="AM158" s="350"/>
      <c r="AN158" s="350"/>
      <c r="AO158" s="350"/>
      <c r="AP158" s="350"/>
      <c r="AQ158" s="350"/>
      <c r="AR158" s="350"/>
      <c r="AS158" s="350"/>
      <c r="AT158" s="350"/>
      <c r="AU158" s="350"/>
      <c r="AV158" s="350"/>
      <c r="AW158" s="350"/>
      <c r="AX158" s="350"/>
      <c r="AY158" s="350"/>
      <c r="AZ158" s="350"/>
      <c r="BA158" s="350"/>
      <c r="BB158" s="350"/>
      <c r="BC158" s="350"/>
      <c r="BD158" s="350"/>
      <c r="BE158" s="350"/>
      <c r="BF158" s="350"/>
      <c r="BG158" s="350"/>
      <c r="BH158" s="350"/>
      <c r="BI158" s="350"/>
      <c r="BJ158" s="350"/>
      <c r="BK158" s="350"/>
      <c r="BL158" s="350"/>
      <c r="BM158" s="350"/>
      <c r="BN158" s="350"/>
      <c r="BO158" s="350"/>
      <c r="BP158" s="350"/>
      <c r="BQ158" s="350"/>
      <c r="BR158" s="350"/>
      <c r="BS158" s="350"/>
      <c r="BT158" s="350"/>
      <c r="BU158" s="350"/>
      <c r="BV158" s="350"/>
    </row>
    <row r="159" spans="2:74" x14ac:dyDescent="0.2">
      <c r="B159" s="270"/>
      <c r="C159" s="263"/>
      <c r="D159" s="263"/>
      <c r="E159" s="349"/>
      <c r="F159" s="350"/>
      <c r="G159" s="350"/>
      <c r="H159" s="350"/>
      <c r="I159" s="350"/>
      <c r="J159" s="350"/>
      <c r="K159" s="350"/>
      <c r="L159" s="350"/>
      <c r="M159" s="350"/>
      <c r="N159" s="350"/>
      <c r="O159" s="350"/>
      <c r="P159" s="350"/>
      <c r="Q159" s="350"/>
      <c r="R159" s="350"/>
      <c r="S159" s="350"/>
      <c r="T159" s="350"/>
      <c r="U159" s="350"/>
      <c r="V159" s="350"/>
      <c r="W159" s="350"/>
      <c r="X159" s="350"/>
      <c r="Y159" s="350"/>
      <c r="Z159" s="350"/>
      <c r="AA159" s="350"/>
      <c r="AB159" s="350"/>
      <c r="AC159" s="350"/>
      <c r="AD159" s="350"/>
      <c r="AE159" s="350"/>
      <c r="AF159" s="350"/>
      <c r="AG159" s="350"/>
      <c r="AH159" s="350"/>
      <c r="AI159" s="350"/>
      <c r="AJ159" s="350"/>
      <c r="AK159" s="350"/>
      <c r="AL159" s="350"/>
      <c r="AM159" s="350"/>
      <c r="AN159" s="350"/>
      <c r="AO159" s="350"/>
      <c r="AP159" s="350"/>
      <c r="AQ159" s="350"/>
      <c r="AR159" s="350"/>
      <c r="AS159" s="350"/>
      <c r="AT159" s="350"/>
      <c r="AU159" s="350"/>
      <c r="AV159" s="350"/>
      <c r="AW159" s="350"/>
      <c r="AX159" s="350"/>
      <c r="AY159" s="350"/>
      <c r="AZ159" s="350"/>
      <c r="BA159" s="350"/>
      <c r="BB159" s="350"/>
      <c r="BC159" s="350"/>
      <c r="BD159" s="350"/>
      <c r="BE159" s="350"/>
      <c r="BF159" s="350"/>
      <c r="BG159" s="350"/>
      <c r="BH159" s="350"/>
      <c r="BI159" s="350"/>
      <c r="BJ159" s="350"/>
      <c r="BK159" s="350"/>
      <c r="BL159" s="350"/>
      <c r="BM159" s="350"/>
      <c r="BN159" s="350"/>
      <c r="BO159" s="350"/>
      <c r="BP159" s="350"/>
      <c r="BQ159" s="350"/>
      <c r="BR159" s="350"/>
      <c r="BS159" s="350"/>
      <c r="BT159" s="350"/>
      <c r="BU159" s="350"/>
      <c r="BV159" s="350"/>
    </row>
    <row r="160" spans="2:74" x14ac:dyDescent="0.2">
      <c r="B160" s="270"/>
      <c r="C160" s="263"/>
      <c r="D160" s="263"/>
      <c r="E160" s="349"/>
      <c r="F160" s="350"/>
      <c r="G160" s="350"/>
      <c r="H160" s="350"/>
      <c r="I160" s="350"/>
      <c r="J160" s="350"/>
      <c r="K160" s="350"/>
      <c r="L160" s="350"/>
      <c r="M160" s="350"/>
      <c r="N160" s="350"/>
      <c r="O160" s="350"/>
      <c r="P160" s="350"/>
      <c r="Q160" s="350"/>
      <c r="R160" s="350"/>
      <c r="S160" s="350"/>
      <c r="T160" s="350"/>
      <c r="U160" s="350"/>
      <c r="V160" s="350"/>
      <c r="W160" s="350"/>
      <c r="X160" s="350"/>
      <c r="Y160" s="350"/>
      <c r="Z160" s="350"/>
      <c r="AA160" s="350"/>
      <c r="AB160" s="350"/>
      <c r="AC160" s="350"/>
      <c r="AD160" s="350"/>
      <c r="AE160" s="350"/>
      <c r="AF160" s="350"/>
      <c r="AG160" s="350"/>
      <c r="AH160" s="350"/>
      <c r="AI160" s="350"/>
      <c r="AJ160" s="350"/>
      <c r="AK160" s="350"/>
      <c r="AL160" s="350"/>
      <c r="AM160" s="350"/>
      <c r="AN160" s="350"/>
      <c r="AO160" s="350"/>
      <c r="AP160" s="350"/>
      <c r="AQ160" s="350"/>
      <c r="AR160" s="350"/>
      <c r="AS160" s="350"/>
      <c r="AT160" s="350"/>
      <c r="AU160" s="350"/>
      <c r="AV160" s="350"/>
      <c r="AW160" s="350"/>
      <c r="AX160" s="350"/>
      <c r="AY160" s="350"/>
      <c r="AZ160" s="350"/>
      <c r="BA160" s="350"/>
      <c r="BB160" s="350"/>
      <c r="BC160" s="350"/>
      <c r="BD160" s="350"/>
      <c r="BE160" s="350"/>
      <c r="BF160" s="350"/>
      <c r="BG160" s="350"/>
      <c r="BH160" s="350"/>
      <c r="BI160" s="350"/>
      <c r="BJ160" s="350"/>
      <c r="BK160" s="350"/>
      <c r="BL160" s="350"/>
      <c r="BM160" s="350"/>
      <c r="BN160" s="350"/>
      <c r="BO160" s="350"/>
      <c r="BP160" s="350"/>
      <c r="BQ160" s="350"/>
      <c r="BR160" s="350"/>
      <c r="BS160" s="350"/>
      <c r="BT160" s="350"/>
      <c r="BU160" s="350"/>
      <c r="BV160" s="350"/>
    </row>
    <row r="161" spans="2:74" x14ac:dyDescent="0.2">
      <c r="B161" s="270"/>
      <c r="C161" s="263"/>
      <c r="D161" s="263"/>
      <c r="E161" s="349"/>
      <c r="F161" s="350"/>
      <c r="G161" s="350"/>
      <c r="H161" s="350"/>
      <c r="I161" s="350"/>
      <c r="J161" s="350"/>
      <c r="K161" s="350"/>
      <c r="L161" s="350"/>
      <c r="M161" s="350"/>
      <c r="N161" s="350"/>
      <c r="O161" s="350"/>
      <c r="P161" s="350"/>
      <c r="Q161" s="350"/>
      <c r="R161" s="350"/>
      <c r="S161" s="350"/>
      <c r="T161" s="350"/>
      <c r="U161" s="350"/>
      <c r="V161" s="350"/>
      <c r="W161" s="350"/>
      <c r="X161" s="350"/>
      <c r="Y161" s="350"/>
      <c r="Z161" s="350"/>
      <c r="AA161" s="350"/>
      <c r="AB161" s="350"/>
      <c r="AC161" s="350"/>
      <c r="AD161" s="350"/>
      <c r="AE161" s="350"/>
      <c r="AF161" s="350"/>
      <c r="AG161" s="350"/>
      <c r="AH161" s="350"/>
      <c r="AI161" s="350"/>
      <c r="AJ161" s="350"/>
      <c r="AK161" s="350"/>
      <c r="AL161" s="350"/>
      <c r="AM161" s="350"/>
      <c r="AN161" s="350"/>
      <c r="AO161" s="350"/>
      <c r="AP161" s="350"/>
      <c r="AQ161" s="350"/>
      <c r="AR161" s="350"/>
      <c r="AS161" s="350"/>
      <c r="AT161" s="350"/>
      <c r="AU161" s="350"/>
      <c r="AV161" s="350"/>
      <c r="AW161" s="350"/>
      <c r="AX161" s="350"/>
      <c r="AY161" s="350"/>
      <c r="AZ161" s="350"/>
      <c r="BA161" s="350"/>
      <c r="BB161" s="350"/>
      <c r="BC161" s="350"/>
      <c r="BD161" s="350"/>
      <c r="BE161" s="350"/>
      <c r="BF161" s="350"/>
      <c r="BG161" s="350"/>
      <c r="BH161" s="350"/>
      <c r="BI161" s="350"/>
      <c r="BJ161" s="350"/>
      <c r="BK161" s="350"/>
      <c r="BL161" s="350"/>
      <c r="BM161" s="350"/>
      <c r="BN161" s="350"/>
      <c r="BO161" s="350"/>
      <c r="BP161" s="350"/>
      <c r="BQ161" s="350"/>
      <c r="BR161" s="350"/>
      <c r="BS161" s="350"/>
      <c r="BT161" s="350"/>
      <c r="BU161" s="350"/>
      <c r="BV161" s="350"/>
    </row>
    <row r="162" spans="2:74" x14ac:dyDescent="0.2">
      <c r="B162" s="270"/>
      <c r="C162" s="263"/>
      <c r="D162" s="263"/>
      <c r="E162" s="349"/>
      <c r="F162" s="350"/>
      <c r="G162" s="350"/>
      <c r="H162" s="350"/>
      <c r="I162" s="350"/>
      <c r="J162" s="350"/>
      <c r="K162" s="350"/>
      <c r="L162" s="350"/>
      <c r="M162" s="350"/>
      <c r="N162" s="350"/>
      <c r="O162" s="350"/>
      <c r="P162" s="350"/>
      <c r="Q162" s="350"/>
      <c r="R162" s="350"/>
      <c r="S162" s="350"/>
      <c r="T162" s="350"/>
      <c r="U162" s="350"/>
      <c r="V162" s="350"/>
      <c r="W162" s="350"/>
      <c r="X162" s="350"/>
      <c r="Y162" s="350"/>
      <c r="Z162" s="350"/>
      <c r="AA162" s="350"/>
      <c r="AB162" s="350"/>
      <c r="AC162" s="350"/>
      <c r="AD162" s="350"/>
      <c r="AE162" s="350"/>
      <c r="AF162" s="350"/>
      <c r="AG162" s="350"/>
      <c r="AH162" s="350"/>
      <c r="AI162" s="350"/>
      <c r="AJ162" s="350"/>
      <c r="AK162" s="350"/>
      <c r="AL162" s="350"/>
      <c r="AM162" s="350"/>
      <c r="AN162" s="350"/>
      <c r="AO162" s="350"/>
      <c r="AP162" s="350"/>
      <c r="AQ162" s="350"/>
      <c r="AR162" s="350"/>
      <c r="AS162" s="350"/>
      <c r="AT162" s="350"/>
      <c r="AU162" s="350"/>
      <c r="AV162" s="350"/>
      <c r="AW162" s="350"/>
      <c r="AX162" s="350"/>
      <c r="AY162" s="350"/>
      <c r="AZ162" s="350"/>
      <c r="BA162" s="350"/>
      <c r="BB162" s="350"/>
      <c r="BC162" s="350"/>
      <c r="BD162" s="350"/>
      <c r="BE162" s="350"/>
      <c r="BF162" s="350"/>
      <c r="BG162" s="350"/>
      <c r="BH162" s="350"/>
      <c r="BI162" s="350"/>
      <c r="BJ162" s="350"/>
      <c r="BK162" s="350"/>
      <c r="BL162" s="350"/>
      <c r="BM162" s="350"/>
      <c r="BN162" s="350"/>
      <c r="BO162" s="350"/>
      <c r="BP162" s="350"/>
      <c r="BQ162" s="350"/>
      <c r="BR162" s="350"/>
      <c r="BS162" s="350"/>
      <c r="BT162" s="350"/>
      <c r="BU162" s="350"/>
      <c r="BV162" s="350"/>
    </row>
    <row r="163" spans="2:74" x14ac:dyDescent="0.2">
      <c r="B163" s="270"/>
      <c r="C163" s="263"/>
      <c r="D163" s="263"/>
      <c r="E163" s="349"/>
      <c r="F163" s="350"/>
      <c r="G163" s="350"/>
      <c r="H163" s="350"/>
      <c r="I163" s="350"/>
      <c r="J163" s="350"/>
      <c r="K163" s="350"/>
      <c r="L163" s="350"/>
      <c r="M163" s="350"/>
      <c r="N163" s="350"/>
      <c r="O163" s="350"/>
      <c r="P163" s="350"/>
      <c r="Q163" s="350"/>
      <c r="R163" s="350"/>
      <c r="S163" s="350"/>
      <c r="T163" s="350"/>
      <c r="U163" s="350"/>
      <c r="V163" s="350"/>
      <c r="W163" s="350"/>
      <c r="X163" s="350"/>
      <c r="Y163" s="350"/>
      <c r="Z163" s="350"/>
      <c r="AA163" s="350"/>
      <c r="AB163" s="350"/>
      <c r="AC163" s="350"/>
      <c r="AD163" s="350"/>
      <c r="AE163" s="350"/>
      <c r="AF163" s="350"/>
      <c r="AG163" s="350"/>
      <c r="AH163" s="350"/>
      <c r="AI163" s="350"/>
      <c r="AJ163" s="350"/>
      <c r="AK163" s="350"/>
      <c r="AL163" s="350"/>
      <c r="AM163" s="350"/>
      <c r="AN163" s="350"/>
      <c r="AO163" s="350"/>
      <c r="AP163" s="350"/>
      <c r="AQ163" s="350"/>
      <c r="AR163" s="350"/>
      <c r="AS163" s="350"/>
      <c r="AT163" s="350"/>
      <c r="AU163" s="350"/>
      <c r="AV163" s="350"/>
      <c r="AW163" s="350"/>
      <c r="AX163" s="350"/>
      <c r="AY163" s="350"/>
      <c r="AZ163" s="350"/>
      <c r="BA163" s="350"/>
      <c r="BB163" s="350"/>
      <c r="BC163" s="350"/>
      <c r="BD163" s="350"/>
      <c r="BE163" s="350"/>
      <c r="BF163" s="350"/>
      <c r="BG163" s="350"/>
      <c r="BH163" s="350"/>
      <c r="BI163" s="350"/>
      <c r="BJ163" s="350"/>
      <c r="BK163" s="350"/>
      <c r="BL163" s="350"/>
      <c r="BM163" s="350"/>
      <c r="BN163" s="350"/>
      <c r="BO163" s="350"/>
      <c r="BP163" s="350"/>
      <c r="BQ163" s="350"/>
      <c r="BR163" s="350"/>
      <c r="BS163" s="350"/>
      <c r="BT163" s="350"/>
      <c r="BU163" s="350"/>
      <c r="BV163" s="350"/>
    </row>
    <row r="164" spans="2:74" x14ac:dyDescent="0.2">
      <c r="B164" s="270"/>
      <c r="C164" s="263"/>
      <c r="D164" s="263"/>
      <c r="E164" s="349"/>
      <c r="F164" s="350"/>
      <c r="G164" s="350"/>
      <c r="H164" s="350"/>
      <c r="I164" s="350"/>
      <c r="J164" s="350"/>
      <c r="K164" s="350"/>
      <c r="L164" s="350"/>
      <c r="M164" s="350"/>
      <c r="N164" s="350"/>
      <c r="O164" s="350"/>
      <c r="P164" s="350"/>
      <c r="Q164" s="350"/>
      <c r="R164" s="350"/>
      <c r="S164" s="350"/>
      <c r="T164" s="350"/>
      <c r="U164" s="350"/>
      <c r="V164" s="350"/>
      <c r="W164" s="350"/>
      <c r="X164" s="350"/>
      <c r="Y164" s="350"/>
      <c r="Z164" s="350"/>
      <c r="AA164" s="350"/>
      <c r="AB164" s="350"/>
      <c r="AC164" s="350"/>
      <c r="AD164" s="350"/>
      <c r="AE164" s="350"/>
      <c r="AF164" s="350"/>
      <c r="AG164" s="350"/>
      <c r="AH164" s="350"/>
      <c r="AI164" s="350"/>
      <c r="AJ164" s="350"/>
      <c r="AK164" s="350"/>
      <c r="AL164" s="350"/>
      <c r="AM164" s="350"/>
      <c r="AN164" s="350"/>
      <c r="AO164" s="350"/>
      <c r="AP164" s="350"/>
      <c r="AQ164" s="350"/>
      <c r="AR164" s="350"/>
      <c r="AS164" s="350"/>
      <c r="AT164" s="350"/>
      <c r="AU164" s="350"/>
      <c r="AV164" s="350"/>
      <c r="AW164" s="350"/>
      <c r="AX164" s="350"/>
      <c r="AY164" s="350"/>
      <c r="AZ164" s="350"/>
      <c r="BA164" s="350"/>
      <c r="BB164" s="350"/>
      <c r="BC164" s="350"/>
      <c r="BD164" s="350"/>
      <c r="BE164" s="350"/>
      <c r="BF164" s="350"/>
      <c r="BG164" s="350"/>
      <c r="BH164" s="350"/>
      <c r="BI164" s="350"/>
      <c r="BJ164" s="350"/>
      <c r="BK164" s="350"/>
      <c r="BL164" s="350"/>
      <c r="BM164" s="350"/>
      <c r="BN164" s="350"/>
      <c r="BO164" s="350"/>
      <c r="BP164" s="350"/>
      <c r="BQ164" s="350"/>
      <c r="BR164" s="350"/>
      <c r="BS164" s="350"/>
      <c r="BT164" s="350"/>
      <c r="BU164" s="350"/>
      <c r="BV164" s="350"/>
    </row>
    <row r="165" spans="2:74" x14ac:dyDescent="0.2">
      <c r="B165" s="270"/>
      <c r="C165" s="263"/>
      <c r="D165" s="263"/>
      <c r="E165" s="349"/>
      <c r="F165" s="350"/>
      <c r="G165" s="350"/>
      <c r="H165" s="350"/>
      <c r="I165" s="350"/>
      <c r="J165" s="350"/>
      <c r="K165" s="350"/>
      <c r="L165" s="350"/>
      <c r="M165" s="350"/>
      <c r="N165" s="350"/>
      <c r="O165" s="350"/>
      <c r="P165" s="350"/>
      <c r="Q165" s="350"/>
      <c r="R165" s="350"/>
      <c r="S165" s="350"/>
      <c r="T165" s="350"/>
      <c r="U165" s="350"/>
      <c r="V165" s="350"/>
      <c r="W165" s="350"/>
      <c r="X165" s="350"/>
      <c r="Y165" s="350"/>
      <c r="Z165" s="350"/>
      <c r="AA165" s="350"/>
      <c r="AB165" s="350"/>
      <c r="AC165" s="350"/>
      <c r="AD165" s="350"/>
      <c r="AE165" s="350"/>
      <c r="AF165" s="350"/>
      <c r="AG165" s="350"/>
      <c r="AH165" s="350"/>
      <c r="AI165" s="350"/>
      <c r="AJ165" s="350"/>
      <c r="AK165" s="350"/>
      <c r="AL165" s="350"/>
      <c r="AM165" s="350"/>
      <c r="AN165" s="350"/>
      <c r="AO165" s="350"/>
      <c r="AP165" s="350"/>
      <c r="AQ165" s="350"/>
      <c r="AR165" s="350"/>
      <c r="AS165" s="350"/>
      <c r="AT165" s="350"/>
      <c r="AU165" s="350"/>
      <c r="AV165" s="350"/>
      <c r="AW165" s="350"/>
      <c r="AX165" s="350"/>
      <c r="AY165" s="350"/>
      <c r="AZ165" s="350"/>
      <c r="BA165" s="350"/>
      <c r="BB165" s="350"/>
      <c r="BC165" s="350"/>
      <c r="BD165" s="350"/>
      <c r="BE165" s="350"/>
      <c r="BF165" s="350"/>
      <c r="BG165" s="350"/>
      <c r="BH165" s="350"/>
      <c r="BI165" s="350"/>
      <c r="BJ165" s="350"/>
      <c r="BK165" s="350"/>
      <c r="BL165" s="350"/>
      <c r="BM165" s="350"/>
      <c r="BN165" s="350"/>
      <c r="BO165" s="350"/>
      <c r="BP165" s="350"/>
      <c r="BQ165" s="350"/>
      <c r="BR165" s="350"/>
      <c r="BS165" s="350"/>
      <c r="BT165" s="350"/>
      <c r="BU165" s="350"/>
      <c r="BV165" s="350"/>
    </row>
    <row r="166" spans="2:74" x14ac:dyDescent="0.2">
      <c r="B166" s="270"/>
      <c r="C166" s="263"/>
      <c r="D166" s="263"/>
      <c r="E166" s="349"/>
      <c r="F166" s="350"/>
      <c r="G166" s="350"/>
      <c r="H166" s="350"/>
      <c r="I166" s="350"/>
      <c r="J166" s="350"/>
      <c r="K166" s="350"/>
      <c r="L166" s="350"/>
      <c r="M166" s="350"/>
      <c r="N166" s="350"/>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row>
    <row r="167" spans="2:74" x14ac:dyDescent="0.2">
      <c r="B167" s="270"/>
      <c r="C167" s="263"/>
      <c r="D167" s="263"/>
      <c r="E167" s="349"/>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row>
    <row r="168" spans="2:74" x14ac:dyDescent="0.2">
      <c r="B168" s="270"/>
      <c r="C168" s="263"/>
      <c r="D168" s="263"/>
      <c r="E168" s="349"/>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row>
    <row r="169" spans="2:74" x14ac:dyDescent="0.2">
      <c r="B169" s="270"/>
      <c r="C169" s="263"/>
      <c r="D169" s="263"/>
      <c r="E169" s="349"/>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c r="AK169" s="350"/>
      <c r="AL169" s="350"/>
      <c r="AM169" s="350"/>
      <c r="AN169" s="350"/>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row>
    <row r="170" spans="2:74" x14ac:dyDescent="0.2">
      <c r="B170" s="270"/>
      <c r="C170" s="263"/>
      <c r="D170" s="263"/>
      <c r="E170" s="349"/>
      <c r="F170" s="350"/>
      <c r="G170" s="350"/>
      <c r="H170" s="350"/>
      <c r="I170" s="350"/>
      <c r="J170" s="350"/>
      <c r="K170" s="350"/>
      <c r="L170" s="350"/>
      <c r="M170" s="350"/>
      <c r="N170" s="350"/>
      <c r="O170" s="350"/>
      <c r="P170" s="350"/>
      <c r="Q170" s="350"/>
      <c r="R170" s="350"/>
      <c r="S170" s="350"/>
      <c r="T170" s="350"/>
      <c r="U170" s="350"/>
      <c r="V170" s="350"/>
      <c r="W170" s="350"/>
      <c r="X170" s="350"/>
      <c r="Y170" s="350"/>
      <c r="Z170" s="350"/>
      <c r="AA170" s="350"/>
      <c r="AB170" s="350"/>
      <c r="AC170" s="350"/>
      <c r="AD170" s="350"/>
      <c r="AE170" s="350"/>
      <c r="AF170" s="350"/>
      <c r="AG170" s="350"/>
      <c r="AH170" s="350"/>
      <c r="AI170" s="350"/>
      <c r="AJ170" s="350"/>
      <c r="AK170" s="350"/>
      <c r="AL170" s="350"/>
      <c r="AM170" s="350"/>
      <c r="AN170" s="350"/>
      <c r="AO170" s="350"/>
      <c r="AP170" s="350"/>
      <c r="AQ170" s="350"/>
      <c r="AR170" s="350"/>
      <c r="AS170" s="350"/>
      <c r="AT170" s="350"/>
      <c r="AU170" s="350"/>
      <c r="AV170" s="350"/>
      <c r="AW170" s="350"/>
      <c r="AX170" s="350"/>
      <c r="AY170" s="350"/>
      <c r="AZ170" s="350"/>
      <c r="BA170" s="350"/>
      <c r="BB170" s="350"/>
      <c r="BC170" s="350"/>
      <c r="BD170" s="350"/>
      <c r="BE170" s="350"/>
      <c r="BF170" s="350"/>
      <c r="BG170" s="350"/>
      <c r="BH170" s="350"/>
      <c r="BI170" s="350"/>
      <c r="BJ170" s="350"/>
      <c r="BK170" s="350"/>
      <c r="BL170" s="350"/>
      <c r="BM170" s="350"/>
      <c r="BN170" s="350"/>
      <c r="BO170" s="350"/>
      <c r="BP170" s="350"/>
      <c r="BQ170" s="350"/>
      <c r="BR170" s="350"/>
      <c r="BS170" s="350"/>
      <c r="BT170" s="350"/>
      <c r="BU170" s="350"/>
      <c r="BV170" s="350"/>
    </row>
    <row r="171" spans="2:74" x14ac:dyDescent="0.2">
      <c r="B171" s="270"/>
      <c r="C171" s="263"/>
      <c r="D171" s="263"/>
      <c r="E171" s="349"/>
      <c r="F171" s="350"/>
      <c r="G171" s="350"/>
      <c r="H171" s="350"/>
      <c r="I171" s="350"/>
      <c r="J171" s="350"/>
      <c r="K171" s="350"/>
      <c r="L171" s="350"/>
      <c r="M171" s="350"/>
      <c r="N171" s="350"/>
      <c r="O171" s="350"/>
      <c r="P171" s="350"/>
      <c r="Q171" s="350"/>
      <c r="R171" s="350"/>
      <c r="S171" s="350"/>
      <c r="T171" s="350"/>
      <c r="U171" s="350"/>
      <c r="V171" s="350"/>
      <c r="W171" s="350"/>
      <c r="X171" s="350"/>
      <c r="Y171" s="350"/>
      <c r="Z171" s="350"/>
      <c r="AA171" s="350"/>
      <c r="AB171" s="350"/>
      <c r="AC171" s="350"/>
      <c r="AD171" s="350"/>
      <c r="AE171" s="350"/>
      <c r="AF171" s="350"/>
      <c r="AG171" s="350"/>
      <c r="AH171" s="350"/>
      <c r="AI171" s="350"/>
      <c r="AJ171" s="350"/>
      <c r="AK171" s="350"/>
      <c r="AL171" s="350"/>
      <c r="AM171" s="350"/>
      <c r="AN171" s="350"/>
      <c r="AO171" s="350"/>
      <c r="AP171" s="350"/>
      <c r="AQ171" s="350"/>
      <c r="AR171" s="350"/>
      <c r="AS171" s="350"/>
      <c r="AT171" s="350"/>
      <c r="AU171" s="350"/>
      <c r="AV171" s="350"/>
      <c r="AW171" s="350"/>
      <c r="AX171" s="350"/>
      <c r="AY171" s="350"/>
      <c r="AZ171" s="350"/>
      <c r="BA171" s="350"/>
      <c r="BB171" s="350"/>
      <c r="BC171" s="350"/>
      <c r="BD171" s="350"/>
      <c r="BE171" s="350"/>
      <c r="BF171" s="350"/>
      <c r="BG171" s="350"/>
      <c r="BH171" s="350"/>
      <c r="BI171" s="350"/>
      <c r="BJ171" s="350"/>
      <c r="BK171" s="350"/>
      <c r="BL171" s="350"/>
      <c r="BM171" s="350"/>
      <c r="BN171" s="350"/>
      <c r="BO171" s="350"/>
      <c r="BP171" s="350"/>
      <c r="BQ171" s="350"/>
      <c r="BR171" s="350"/>
      <c r="BS171" s="350"/>
      <c r="BT171" s="350"/>
      <c r="BU171" s="350"/>
      <c r="BV171" s="350"/>
    </row>
    <row r="172" spans="2:74" x14ac:dyDescent="0.2">
      <c r="B172" s="270"/>
      <c r="C172" s="263"/>
      <c r="D172" s="263"/>
      <c r="E172" s="349"/>
      <c r="F172" s="350"/>
      <c r="G172" s="350"/>
      <c r="H172" s="350"/>
      <c r="I172" s="350"/>
      <c r="J172" s="350"/>
      <c r="K172" s="350"/>
      <c r="L172" s="350"/>
      <c r="M172" s="350"/>
      <c r="N172" s="350"/>
      <c r="O172" s="350"/>
      <c r="P172" s="350"/>
      <c r="Q172" s="350"/>
      <c r="R172" s="350"/>
      <c r="S172" s="350"/>
      <c r="T172" s="350"/>
      <c r="U172" s="350"/>
      <c r="V172" s="350"/>
      <c r="W172" s="350"/>
      <c r="X172" s="350"/>
      <c r="Y172" s="350"/>
      <c r="Z172" s="350"/>
      <c r="AA172" s="350"/>
      <c r="AB172" s="350"/>
      <c r="AC172" s="350"/>
      <c r="AD172" s="350"/>
      <c r="AE172" s="350"/>
      <c r="AF172" s="350"/>
      <c r="AG172" s="350"/>
      <c r="AH172" s="350"/>
      <c r="AI172" s="350"/>
      <c r="AJ172" s="350"/>
      <c r="AK172" s="350"/>
      <c r="AL172" s="350"/>
      <c r="AM172" s="350"/>
      <c r="AN172" s="350"/>
      <c r="AO172" s="350"/>
      <c r="AP172" s="350"/>
      <c r="AQ172" s="350"/>
      <c r="AR172" s="350"/>
      <c r="AS172" s="350"/>
      <c r="AT172" s="350"/>
      <c r="AU172" s="350"/>
      <c r="AV172" s="350"/>
      <c r="AW172" s="350"/>
      <c r="AX172" s="350"/>
      <c r="AY172" s="350"/>
      <c r="AZ172" s="350"/>
      <c r="BA172" s="350"/>
      <c r="BB172" s="350"/>
      <c r="BC172" s="350"/>
      <c r="BD172" s="350"/>
      <c r="BE172" s="350"/>
      <c r="BF172" s="350"/>
      <c r="BG172" s="350"/>
      <c r="BH172" s="350"/>
      <c r="BI172" s="350"/>
      <c r="BJ172" s="350"/>
      <c r="BK172" s="350"/>
      <c r="BL172" s="350"/>
      <c r="BM172" s="350"/>
      <c r="BN172" s="350"/>
      <c r="BO172" s="350"/>
      <c r="BP172" s="350"/>
      <c r="BQ172" s="350"/>
      <c r="BR172" s="350"/>
      <c r="BS172" s="350"/>
      <c r="BT172" s="350"/>
      <c r="BU172" s="350"/>
      <c r="BV172" s="350"/>
    </row>
    <row r="173" spans="2:74" x14ac:dyDescent="0.2">
      <c r="B173" s="270"/>
      <c r="C173" s="263"/>
      <c r="D173" s="263"/>
      <c r="E173" s="349"/>
      <c r="F173" s="350"/>
      <c r="G173" s="350"/>
      <c r="H173" s="350"/>
      <c r="I173" s="350"/>
      <c r="J173" s="350"/>
      <c r="K173" s="350"/>
      <c r="L173" s="350"/>
      <c r="M173" s="350"/>
      <c r="N173" s="350"/>
      <c r="O173" s="350"/>
      <c r="P173" s="350"/>
      <c r="Q173" s="350"/>
      <c r="R173" s="350"/>
      <c r="S173" s="350"/>
      <c r="T173" s="350"/>
      <c r="U173" s="350"/>
      <c r="V173" s="350"/>
      <c r="W173" s="350"/>
      <c r="X173" s="350"/>
      <c r="Y173" s="350"/>
      <c r="Z173" s="350"/>
      <c r="AA173" s="350"/>
      <c r="AB173" s="350"/>
      <c r="AC173" s="350"/>
      <c r="AD173" s="350"/>
      <c r="AE173" s="350"/>
      <c r="AF173" s="350"/>
      <c r="AG173" s="350"/>
      <c r="AH173" s="350"/>
      <c r="AI173" s="350"/>
      <c r="AJ173" s="350"/>
      <c r="AK173" s="350"/>
      <c r="AL173" s="350"/>
      <c r="AM173" s="350"/>
      <c r="AN173" s="350"/>
      <c r="AO173" s="350"/>
      <c r="AP173" s="350"/>
      <c r="AQ173" s="350"/>
      <c r="AR173" s="350"/>
      <c r="AS173" s="350"/>
      <c r="AT173" s="350"/>
      <c r="AU173" s="350"/>
      <c r="AV173" s="350"/>
      <c r="AW173" s="350"/>
      <c r="AX173" s="350"/>
      <c r="AY173" s="350"/>
      <c r="AZ173" s="350"/>
      <c r="BA173" s="350"/>
      <c r="BB173" s="350"/>
      <c r="BC173" s="350"/>
      <c r="BD173" s="350"/>
      <c r="BE173" s="350"/>
      <c r="BF173" s="350"/>
      <c r="BG173" s="350"/>
      <c r="BH173" s="350"/>
      <c r="BI173" s="350"/>
      <c r="BJ173" s="350"/>
      <c r="BK173" s="350"/>
      <c r="BL173" s="350"/>
      <c r="BM173" s="350"/>
      <c r="BN173" s="350"/>
      <c r="BO173" s="350"/>
      <c r="BP173" s="350"/>
      <c r="BQ173" s="350"/>
      <c r="BR173" s="350"/>
      <c r="BS173" s="350"/>
      <c r="BT173" s="350"/>
      <c r="BU173" s="350"/>
      <c r="BV173" s="350"/>
    </row>
    <row r="174" spans="2:74" x14ac:dyDescent="0.2">
      <c r="B174" s="270"/>
      <c r="C174" s="263"/>
      <c r="D174" s="263"/>
      <c r="E174" s="349"/>
      <c r="F174" s="350"/>
      <c r="G174" s="350"/>
      <c r="H174" s="350"/>
      <c r="I174" s="350"/>
      <c r="J174" s="350"/>
      <c r="K174" s="350"/>
      <c r="L174" s="350"/>
      <c r="M174" s="350"/>
      <c r="N174" s="350"/>
      <c r="O174" s="350"/>
      <c r="P174" s="350"/>
      <c r="Q174" s="350"/>
      <c r="R174" s="350"/>
      <c r="S174" s="350"/>
      <c r="T174" s="350"/>
      <c r="U174" s="350"/>
      <c r="V174" s="350"/>
      <c r="W174" s="350"/>
      <c r="X174" s="350"/>
      <c r="Y174" s="350"/>
      <c r="Z174" s="350"/>
      <c r="AA174" s="350"/>
      <c r="AB174" s="350"/>
      <c r="AC174" s="350"/>
      <c r="AD174" s="350"/>
      <c r="AE174" s="350"/>
      <c r="AF174" s="350"/>
      <c r="AG174" s="350"/>
      <c r="AH174" s="350"/>
      <c r="AI174" s="350"/>
      <c r="AJ174" s="350"/>
      <c r="AK174" s="350"/>
      <c r="AL174" s="350"/>
      <c r="AM174" s="350"/>
      <c r="AN174" s="350"/>
      <c r="AO174" s="350"/>
      <c r="AP174" s="350"/>
      <c r="AQ174" s="350"/>
      <c r="AR174" s="350"/>
      <c r="AS174" s="350"/>
      <c r="AT174" s="350"/>
      <c r="AU174" s="350"/>
      <c r="AV174" s="350"/>
      <c r="AW174" s="350"/>
      <c r="AX174" s="350"/>
      <c r="AY174" s="350"/>
      <c r="AZ174" s="350"/>
      <c r="BA174" s="350"/>
      <c r="BB174" s="350"/>
      <c r="BC174" s="350"/>
      <c r="BD174" s="350"/>
      <c r="BE174" s="350"/>
      <c r="BF174" s="350"/>
      <c r="BG174" s="350"/>
      <c r="BH174" s="350"/>
      <c r="BI174" s="350"/>
      <c r="BJ174" s="350"/>
      <c r="BK174" s="350"/>
      <c r="BL174" s="350"/>
      <c r="BM174" s="350"/>
      <c r="BN174" s="350"/>
      <c r="BO174" s="350"/>
      <c r="BP174" s="350"/>
      <c r="BQ174" s="350"/>
      <c r="BR174" s="350"/>
      <c r="BS174" s="350"/>
      <c r="BT174" s="350"/>
      <c r="BU174" s="350"/>
      <c r="BV174" s="350"/>
    </row>
    <row r="175" spans="2:74" x14ac:dyDescent="0.2">
      <c r="B175" s="270"/>
      <c r="C175" s="263"/>
      <c r="D175" s="263"/>
      <c r="E175" s="349"/>
      <c r="F175" s="350"/>
      <c r="G175" s="350"/>
      <c r="H175" s="350"/>
      <c r="I175" s="350"/>
      <c r="J175" s="350"/>
      <c r="K175" s="350"/>
      <c r="L175" s="350"/>
      <c r="M175" s="350"/>
      <c r="N175" s="350"/>
      <c r="O175" s="350"/>
      <c r="P175" s="350"/>
      <c r="Q175" s="350"/>
      <c r="R175" s="350"/>
      <c r="S175" s="350"/>
      <c r="T175" s="350"/>
      <c r="U175" s="350"/>
      <c r="V175" s="350"/>
      <c r="W175" s="350"/>
      <c r="X175" s="350"/>
      <c r="Y175" s="350"/>
      <c r="Z175" s="350"/>
      <c r="AA175" s="350"/>
      <c r="AB175" s="350"/>
      <c r="AC175" s="350"/>
      <c r="AD175" s="350"/>
      <c r="AE175" s="350"/>
      <c r="AF175" s="350"/>
      <c r="AG175" s="350"/>
      <c r="AH175" s="350"/>
      <c r="AI175" s="350"/>
      <c r="AJ175" s="350"/>
      <c r="AK175" s="350"/>
      <c r="AL175" s="350"/>
      <c r="AM175" s="350"/>
      <c r="AN175" s="350"/>
      <c r="AO175" s="350"/>
      <c r="AP175" s="350"/>
      <c r="AQ175" s="350"/>
      <c r="AR175" s="350"/>
      <c r="AS175" s="350"/>
      <c r="AT175" s="350"/>
      <c r="AU175" s="350"/>
      <c r="AV175" s="350"/>
      <c r="AW175" s="350"/>
      <c r="AX175" s="350"/>
      <c r="AY175" s="350"/>
      <c r="AZ175" s="350"/>
      <c r="BA175" s="350"/>
      <c r="BB175" s="350"/>
      <c r="BC175" s="350"/>
      <c r="BD175" s="350"/>
      <c r="BE175" s="350"/>
      <c r="BF175" s="350"/>
      <c r="BG175" s="350"/>
      <c r="BH175" s="350"/>
      <c r="BI175" s="350"/>
      <c r="BJ175" s="350"/>
      <c r="BK175" s="350"/>
      <c r="BL175" s="350"/>
      <c r="BM175" s="350"/>
      <c r="BN175" s="350"/>
      <c r="BO175" s="350"/>
      <c r="BP175" s="350"/>
      <c r="BQ175" s="350"/>
      <c r="BR175" s="350"/>
      <c r="BS175" s="350"/>
      <c r="BT175" s="350"/>
      <c r="BU175" s="350"/>
      <c r="BV175" s="350"/>
    </row>
    <row r="176" spans="2:74" x14ac:dyDescent="0.2">
      <c r="B176" s="270"/>
      <c r="C176" s="263"/>
      <c r="D176" s="263"/>
      <c r="E176" s="349"/>
      <c r="F176" s="350"/>
      <c r="G176" s="350"/>
      <c r="H176" s="350"/>
      <c r="I176" s="350"/>
      <c r="J176" s="350"/>
      <c r="K176" s="350"/>
      <c r="L176" s="350"/>
      <c r="M176" s="350"/>
      <c r="N176" s="350"/>
      <c r="O176" s="350"/>
      <c r="P176" s="350"/>
      <c r="Q176" s="350"/>
      <c r="R176" s="350"/>
      <c r="S176" s="350"/>
      <c r="T176" s="350"/>
      <c r="U176" s="350"/>
      <c r="V176" s="350"/>
      <c r="W176" s="350"/>
      <c r="X176" s="350"/>
      <c r="Y176" s="350"/>
      <c r="Z176" s="350"/>
      <c r="AA176" s="350"/>
      <c r="AB176" s="350"/>
      <c r="AC176" s="350"/>
      <c r="AD176" s="350"/>
      <c r="AE176" s="350"/>
      <c r="AF176" s="350"/>
      <c r="AG176" s="350"/>
      <c r="AH176" s="350"/>
      <c r="AI176" s="350"/>
      <c r="AJ176" s="350"/>
      <c r="AK176" s="350"/>
      <c r="AL176" s="350"/>
      <c r="AM176" s="350"/>
      <c r="AN176" s="350"/>
      <c r="AO176" s="350"/>
      <c r="AP176" s="350"/>
      <c r="AQ176" s="350"/>
      <c r="AR176" s="350"/>
      <c r="AS176" s="350"/>
      <c r="AT176" s="350"/>
      <c r="AU176" s="350"/>
      <c r="AV176" s="350"/>
      <c r="AW176" s="350"/>
      <c r="AX176" s="350"/>
      <c r="AY176" s="350"/>
      <c r="AZ176" s="350"/>
      <c r="BA176" s="350"/>
      <c r="BB176" s="350"/>
      <c r="BC176" s="350"/>
      <c r="BD176" s="350"/>
      <c r="BE176" s="350"/>
      <c r="BF176" s="350"/>
      <c r="BG176" s="350"/>
      <c r="BH176" s="350"/>
      <c r="BI176" s="350"/>
      <c r="BJ176" s="350"/>
      <c r="BK176" s="350"/>
      <c r="BL176" s="350"/>
      <c r="BM176" s="350"/>
      <c r="BN176" s="350"/>
      <c r="BO176" s="350"/>
      <c r="BP176" s="350"/>
      <c r="BQ176" s="350"/>
      <c r="BR176" s="350"/>
      <c r="BS176" s="350"/>
      <c r="BT176" s="350"/>
      <c r="BU176" s="350"/>
      <c r="BV176" s="350"/>
    </row>
    <row r="177" spans="2:74" x14ac:dyDescent="0.2">
      <c r="B177" s="270"/>
      <c r="C177" s="270"/>
      <c r="D177" s="270"/>
      <c r="E177" s="349"/>
      <c r="F177" s="350"/>
      <c r="G177" s="350"/>
      <c r="H177" s="350"/>
      <c r="I177" s="350"/>
      <c r="J177" s="350"/>
      <c r="K177" s="350"/>
      <c r="L177" s="350"/>
      <c r="M177" s="350"/>
      <c r="N177" s="350"/>
      <c r="O177" s="350"/>
      <c r="P177" s="350"/>
      <c r="Q177" s="350"/>
      <c r="R177" s="350"/>
      <c r="S177" s="350"/>
      <c r="T177" s="350"/>
      <c r="U177" s="350"/>
      <c r="V177" s="350"/>
      <c r="W177" s="350"/>
      <c r="X177" s="350"/>
      <c r="Y177" s="350"/>
      <c r="Z177" s="350"/>
      <c r="AA177" s="350"/>
      <c r="AB177" s="350"/>
      <c r="AC177" s="350"/>
      <c r="AD177" s="350"/>
      <c r="AE177" s="350"/>
      <c r="AF177" s="350"/>
      <c r="AG177" s="350"/>
      <c r="AH177" s="350"/>
      <c r="AI177" s="350"/>
      <c r="AJ177" s="350"/>
      <c r="AK177" s="350"/>
      <c r="AL177" s="350"/>
      <c r="AM177" s="350"/>
      <c r="AN177" s="350"/>
      <c r="AO177" s="350"/>
      <c r="AP177" s="350"/>
      <c r="AQ177" s="350"/>
      <c r="AR177" s="350"/>
      <c r="AS177" s="350"/>
      <c r="AT177" s="350"/>
      <c r="AU177" s="350"/>
      <c r="AV177" s="350"/>
      <c r="AW177" s="350"/>
      <c r="AX177" s="350"/>
      <c r="AY177" s="350"/>
      <c r="AZ177" s="350"/>
      <c r="BA177" s="350"/>
      <c r="BB177" s="350"/>
      <c r="BC177" s="350"/>
      <c r="BD177" s="350"/>
      <c r="BE177" s="350"/>
      <c r="BF177" s="350"/>
      <c r="BG177" s="350"/>
      <c r="BH177" s="350"/>
      <c r="BI177" s="350"/>
      <c r="BJ177" s="350"/>
      <c r="BK177" s="350"/>
      <c r="BL177" s="350"/>
      <c r="BM177" s="350"/>
      <c r="BN177" s="350"/>
      <c r="BO177" s="350"/>
      <c r="BP177" s="350"/>
      <c r="BQ177" s="350"/>
      <c r="BR177" s="350"/>
      <c r="BS177" s="350"/>
      <c r="BT177" s="350"/>
      <c r="BU177" s="350"/>
      <c r="BV177" s="350"/>
    </row>
    <row r="178" spans="2:74" x14ac:dyDescent="0.2">
      <c r="B178" s="270"/>
      <c r="C178" s="263"/>
      <c r="D178" s="263"/>
      <c r="E178" s="349"/>
      <c r="F178" s="350"/>
      <c r="G178" s="350"/>
      <c r="H178" s="350"/>
      <c r="I178" s="350"/>
      <c r="J178" s="350"/>
      <c r="K178" s="350"/>
      <c r="L178" s="350"/>
      <c r="M178" s="350"/>
      <c r="N178" s="350"/>
      <c r="O178" s="350"/>
      <c r="P178" s="350"/>
      <c r="Q178" s="350"/>
      <c r="R178" s="350"/>
      <c r="S178" s="350"/>
      <c r="T178" s="350"/>
      <c r="U178" s="350"/>
      <c r="V178" s="350"/>
      <c r="W178" s="350"/>
      <c r="X178" s="350"/>
      <c r="Y178" s="350"/>
      <c r="Z178" s="350"/>
      <c r="AA178" s="350"/>
      <c r="AB178" s="350"/>
      <c r="AC178" s="350"/>
      <c r="AD178" s="350"/>
      <c r="AE178" s="350"/>
      <c r="AF178" s="350"/>
      <c r="AG178" s="350"/>
      <c r="AH178" s="350"/>
      <c r="AI178" s="350"/>
      <c r="AJ178" s="350"/>
      <c r="AK178" s="350"/>
      <c r="AL178" s="350"/>
      <c r="AM178" s="350"/>
      <c r="AN178" s="350"/>
      <c r="AO178" s="350"/>
      <c r="AP178" s="350"/>
      <c r="AQ178" s="350"/>
      <c r="AR178" s="350"/>
      <c r="AS178" s="350"/>
      <c r="AT178" s="350"/>
      <c r="AU178" s="350"/>
      <c r="AV178" s="350"/>
      <c r="AW178" s="350"/>
      <c r="AX178" s="350"/>
      <c r="AY178" s="350"/>
      <c r="AZ178" s="350"/>
      <c r="BA178" s="350"/>
      <c r="BB178" s="350"/>
      <c r="BC178" s="350"/>
      <c r="BD178" s="350"/>
      <c r="BE178" s="350"/>
      <c r="BF178" s="350"/>
      <c r="BG178" s="350"/>
      <c r="BH178" s="350"/>
      <c r="BI178" s="350"/>
      <c r="BJ178" s="350"/>
      <c r="BK178" s="350"/>
      <c r="BL178" s="350"/>
      <c r="BM178" s="350"/>
      <c r="BN178" s="350"/>
      <c r="BO178" s="350"/>
      <c r="BP178" s="350"/>
      <c r="BQ178" s="350"/>
      <c r="BR178" s="350"/>
      <c r="BS178" s="350"/>
      <c r="BT178" s="350"/>
      <c r="BU178" s="350"/>
      <c r="BV178" s="350"/>
    </row>
    <row r="179" spans="2:74" x14ac:dyDescent="0.2">
      <c r="C179" s="263"/>
      <c r="D179" s="263"/>
      <c r="E179" s="349"/>
      <c r="F179" s="350"/>
      <c r="G179" s="350"/>
      <c r="H179" s="350"/>
      <c r="I179" s="350"/>
      <c r="J179" s="350"/>
      <c r="K179" s="350"/>
      <c r="L179" s="350"/>
      <c r="M179" s="350"/>
      <c r="N179" s="350"/>
      <c r="O179" s="350"/>
      <c r="P179" s="350"/>
      <c r="Q179" s="350"/>
      <c r="R179" s="350"/>
      <c r="S179" s="350"/>
      <c r="T179" s="350"/>
      <c r="U179" s="350"/>
      <c r="V179" s="350"/>
      <c r="W179" s="350"/>
      <c r="X179" s="350"/>
      <c r="Y179" s="350"/>
      <c r="Z179" s="350"/>
      <c r="AA179" s="350"/>
      <c r="AB179" s="350"/>
      <c r="AC179" s="350"/>
      <c r="AD179" s="350"/>
      <c r="AE179" s="350"/>
      <c r="AF179" s="350"/>
      <c r="AG179" s="350"/>
      <c r="AH179" s="350"/>
      <c r="AI179" s="350"/>
      <c r="AJ179" s="350"/>
      <c r="AK179" s="350"/>
      <c r="AL179" s="350"/>
      <c r="AM179" s="350"/>
      <c r="AN179" s="350"/>
      <c r="AO179" s="350"/>
      <c r="AP179" s="350"/>
      <c r="AQ179" s="350"/>
      <c r="AR179" s="350"/>
      <c r="AS179" s="350"/>
      <c r="AT179" s="350"/>
      <c r="AU179" s="350"/>
      <c r="AV179" s="350"/>
      <c r="AW179" s="350"/>
      <c r="AX179" s="350"/>
      <c r="AY179" s="350"/>
      <c r="AZ179" s="350"/>
      <c r="BA179" s="350"/>
      <c r="BB179" s="350"/>
      <c r="BC179" s="350"/>
      <c r="BD179" s="350"/>
      <c r="BE179" s="350"/>
      <c r="BF179" s="350"/>
      <c r="BG179" s="350"/>
      <c r="BH179" s="350"/>
      <c r="BI179" s="350"/>
      <c r="BJ179" s="350"/>
      <c r="BK179" s="350"/>
      <c r="BL179" s="350"/>
      <c r="BM179" s="350"/>
      <c r="BN179" s="350"/>
      <c r="BO179" s="350"/>
      <c r="BP179" s="350"/>
      <c r="BQ179" s="350"/>
      <c r="BR179" s="350"/>
      <c r="BS179" s="350"/>
      <c r="BT179" s="350"/>
      <c r="BU179" s="350"/>
      <c r="BV179" s="350"/>
    </row>
    <row r="180" spans="2:74" x14ac:dyDescent="0.2">
      <c r="B180" s="270"/>
      <c r="C180" s="263"/>
      <c r="D180" s="263"/>
      <c r="E180" s="349"/>
      <c r="F180" s="350"/>
      <c r="G180" s="350"/>
      <c r="H180" s="350"/>
      <c r="I180" s="350"/>
      <c r="J180" s="350"/>
      <c r="K180" s="350"/>
      <c r="L180" s="350"/>
      <c r="M180" s="350"/>
      <c r="N180" s="350"/>
      <c r="O180" s="350"/>
      <c r="P180" s="350"/>
      <c r="Q180" s="350"/>
      <c r="R180" s="350"/>
      <c r="S180" s="350"/>
      <c r="T180" s="350"/>
      <c r="U180" s="350"/>
      <c r="V180" s="350"/>
      <c r="W180" s="350"/>
      <c r="X180" s="350"/>
      <c r="Y180" s="350"/>
      <c r="Z180" s="350"/>
      <c r="AA180" s="350"/>
      <c r="AB180" s="350"/>
      <c r="AC180" s="350"/>
      <c r="AD180" s="350"/>
      <c r="AE180" s="350"/>
      <c r="AF180" s="350"/>
      <c r="AG180" s="350"/>
      <c r="AH180" s="350"/>
      <c r="AI180" s="350"/>
      <c r="AJ180" s="350"/>
      <c r="AK180" s="350"/>
      <c r="AL180" s="350"/>
      <c r="AM180" s="350"/>
      <c r="AN180" s="350"/>
      <c r="AO180" s="350"/>
      <c r="AP180" s="350"/>
      <c r="AQ180" s="350"/>
      <c r="AR180" s="350"/>
      <c r="AS180" s="350"/>
      <c r="AT180" s="350"/>
      <c r="AU180" s="350"/>
      <c r="AV180" s="350"/>
      <c r="AW180" s="350"/>
      <c r="AX180" s="350"/>
      <c r="AY180" s="350"/>
      <c r="AZ180" s="350"/>
      <c r="BA180" s="350"/>
      <c r="BB180" s="350"/>
      <c r="BC180" s="350"/>
      <c r="BD180" s="350"/>
      <c r="BE180" s="350"/>
      <c r="BF180" s="350"/>
      <c r="BG180" s="350"/>
      <c r="BH180" s="350"/>
      <c r="BI180" s="350"/>
      <c r="BJ180" s="350"/>
      <c r="BK180" s="350"/>
      <c r="BL180" s="350"/>
      <c r="BM180" s="350"/>
      <c r="BN180" s="350"/>
      <c r="BO180" s="350"/>
      <c r="BP180" s="350"/>
      <c r="BQ180" s="350"/>
      <c r="BR180" s="350"/>
      <c r="BS180" s="350"/>
      <c r="BT180" s="350"/>
      <c r="BU180" s="350"/>
      <c r="BV180" s="350"/>
    </row>
    <row r="181" spans="2:74" x14ac:dyDescent="0.2">
      <c r="B181" s="270"/>
      <c r="C181" s="263"/>
      <c r="D181" s="263"/>
      <c r="E181" s="349"/>
      <c r="F181" s="350"/>
      <c r="G181" s="350"/>
      <c r="H181" s="350"/>
      <c r="I181" s="350"/>
      <c r="J181" s="350"/>
      <c r="K181" s="350"/>
      <c r="L181" s="350"/>
      <c r="M181" s="350"/>
      <c r="N181" s="350"/>
      <c r="O181" s="350"/>
      <c r="P181" s="350"/>
      <c r="Q181" s="350"/>
      <c r="R181" s="350"/>
      <c r="S181" s="350"/>
      <c r="T181" s="350"/>
      <c r="U181" s="350"/>
      <c r="V181" s="350"/>
      <c r="W181" s="350"/>
      <c r="X181" s="350"/>
      <c r="Y181" s="350"/>
      <c r="Z181" s="350"/>
      <c r="AA181" s="350"/>
      <c r="AB181" s="350"/>
      <c r="AC181" s="350"/>
      <c r="AD181" s="350"/>
      <c r="AE181" s="350"/>
      <c r="AF181" s="350"/>
      <c r="AG181" s="350"/>
      <c r="AH181" s="350"/>
      <c r="AI181" s="350"/>
      <c r="AJ181" s="350"/>
      <c r="AK181" s="350"/>
      <c r="AL181" s="350"/>
      <c r="AM181" s="350"/>
      <c r="AN181" s="350"/>
      <c r="AO181" s="350"/>
      <c r="AP181" s="350"/>
      <c r="AQ181" s="350"/>
      <c r="AR181" s="350"/>
      <c r="AS181" s="350"/>
      <c r="AT181" s="350"/>
      <c r="AU181" s="350"/>
      <c r="AV181" s="350"/>
      <c r="AW181" s="350"/>
      <c r="AX181" s="350"/>
      <c r="AY181" s="350"/>
      <c r="AZ181" s="350"/>
      <c r="BA181" s="350"/>
      <c r="BB181" s="350"/>
      <c r="BC181" s="350"/>
      <c r="BD181" s="350"/>
      <c r="BE181" s="350"/>
      <c r="BF181" s="350"/>
      <c r="BG181" s="350"/>
      <c r="BH181" s="350"/>
      <c r="BI181" s="350"/>
      <c r="BJ181" s="350"/>
      <c r="BK181" s="350"/>
      <c r="BL181" s="350"/>
      <c r="BM181" s="350"/>
      <c r="BN181" s="350"/>
      <c r="BO181" s="350"/>
      <c r="BP181" s="350"/>
      <c r="BQ181" s="350"/>
      <c r="BR181" s="350"/>
      <c r="BS181" s="350"/>
      <c r="BT181" s="350"/>
      <c r="BU181" s="350"/>
      <c r="BV181" s="350"/>
    </row>
    <row r="182" spans="2:74" x14ac:dyDescent="0.2">
      <c r="B182" s="270"/>
      <c r="C182" s="263"/>
      <c r="D182" s="263"/>
      <c r="E182" s="349"/>
      <c r="F182" s="350"/>
      <c r="G182" s="350"/>
      <c r="H182" s="350"/>
      <c r="I182" s="350"/>
      <c r="J182" s="350"/>
      <c r="K182" s="350"/>
      <c r="L182" s="350"/>
      <c r="M182" s="350"/>
      <c r="N182" s="350"/>
      <c r="O182" s="350"/>
      <c r="P182" s="350"/>
      <c r="Q182" s="350"/>
      <c r="R182" s="350"/>
      <c r="S182" s="350"/>
      <c r="T182" s="350"/>
      <c r="U182" s="350"/>
      <c r="V182" s="350"/>
      <c r="W182" s="350"/>
      <c r="X182" s="350"/>
      <c r="Y182" s="350"/>
      <c r="Z182" s="350"/>
      <c r="AA182" s="350"/>
      <c r="AB182" s="350"/>
      <c r="AC182" s="350"/>
      <c r="AD182" s="350"/>
      <c r="AE182" s="350"/>
      <c r="AF182" s="350"/>
      <c r="AG182" s="350"/>
      <c r="AH182" s="350"/>
      <c r="AI182" s="350"/>
      <c r="AJ182" s="350"/>
      <c r="AK182" s="350"/>
      <c r="AL182" s="350"/>
      <c r="AM182" s="350"/>
      <c r="AN182" s="350"/>
      <c r="AO182" s="350"/>
      <c r="AP182" s="350"/>
      <c r="AQ182" s="350"/>
      <c r="AR182" s="350"/>
      <c r="AS182" s="350"/>
      <c r="AT182" s="350"/>
      <c r="AU182" s="350"/>
      <c r="AV182" s="350"/>
      <c r="AW182" s="350"/>
      <c r="AX182" s="350"/>
      <c r="AY182" s="350"/>
      <c r="AZ182" s="350"/>
      <c r="BA182" s="350"/>
      <c r="BB182" s="350"/>
      <c r="BC182" s="350"/>
      <c r="BD182" s="350"/>
      <c r="BE182" s="350"/>
      <c r="BF182" s="350"/>
      <c r="BG182" s="350"/>
      <c r="BH182" s="350"/>
      <c r="BI182" s="350"/>
      <c r="BJ182" s="350"/>
      <c r="BK182" s="350"/>
      <c r="BL182" s="350"/>
      <c r="BM182" s="350"/>
      <c r="BN182" s="350"/>
      <c r="BO182" s="350"/>
      <c r="BP182" s="350"/>
      <c r="BQ182" s="350"/>
      <c r="BR182" s="350"/>
      <c r="BS182" s="350"/>
      <c r="BT182" s="350"/>
      <c r="BU182" s="350"/>
      <c r="BV182" s="350"/>
    </row>
    <row r="183" spans="2:74" x14ac:dyDescent="0.2">
      <c r="B183" s="270"/>
      <c r="C183" s="263"/>
      <c r="D183" s="263"/>
      <c r="E183" s="349"/>
      <c r="F183" s="350"/>
      <c r="G183" s="350"/>
      <c r="H183" s="350"/>
      <c r="I183" s="350"/>
      <c r="J183" s="350"/>
      <c r="K183" s="350"/>
      <c r="L183" s="350"/>
      <c r="M183" s="350"/>
      <c r="N183" s="350"/>
      <c r="O183" s="350"/>
      <c r="P183" s="350"/>
      <c r="Q183" s="350"/>
      <c r="R183" s="350"/>
      <c r="S183" s="350"/>
      <c r="T183" s="350"/>
      <c r="U183" s="350"/>
      <c r="V183" s="350"/>
      <c r="W183" s="350"/>
      <c r="X183" s="350"/>
      <c r="Y183" s="350"/>
      <c r="Z183" s="350"/>
      <c r="AA183" s="350"/>
      <c r="AB183" s="350"/>
      <c r="AC183" s="350"/>
      <c r="AD183" s="350"/>
      <c r="AE183" s="350"/>
      <c r="AF183" s="350"/>
      <c r="AG183" s="350"/>
      <c r="AH183" s="350"/>
      <c r="AI183" s="350"/>
      <c r="AJ183" s="350"/>
      <c r="AK183" s="350"/>
      <c r="AL183" s="350"/>
      <c r="AM183" s="350"/>
      <c r="AN183" s="350"/>
      <c r="AO183" s="350"/>
      <c r="AP183" s="350"/>
      <c r="AQ183" s="350"/>
      <c r="AR183" s="350"/>
      <c r="AS183" s="350"/>
      <c r="AT183" s="350"/>
      <c r="AU183" s="350"/>
      <c r="AV183" s="350"/>
      <c r="AW183" s="350"/>
      <c r="AX183" s="350"/>
      <c r="AY183" s="350"/>
      <c r="AZ183" s="350"/>
      <c r="BA183" s="350"/>
      <c r="BB183" s="350"/>
      <c r="BC183" s="350"/>
      <c r="BD183" s="350"/>
      <c r="BE183" s="350"/>
      <c r="BF183" s="350"/>
      <c r="BG183" s="350"/>
      <c r="BH183" s="350"/>
      <c r="BI183" s="350"/>
      <c r="BJ183" s="350"/>
      <c r="BK183" s="350"/>
      <c r="BL183" s="350"/>
      <c r="BM183" s="350"/>
      <c r="BN183" s="350"/>
      <c r="BO183" s="350"/>
      <c r="BP183" s="350"/>
      <c r="BQ183" s="350"/>
      <c r="BR183" s="350"/>
      <c r="BS183" s="350"/>
      <c r="BT183" s="350"/>
      <c r="BU183" s="350"/>
      <c r="BV183" s="350"/>
    </row>
    <row r="184" spans="2:74" x14ac:dyDescent="0.2">
      <c r="B184" s="270"/>
      <c r="C184" s="263"/>
      <c r="D184" s="263"/>
      <c r="E184" s="349"/>
      <c r="F184" s="350"/>
      <c r="G184" s="350"/>
      <c r="H184" s="350"/>
      <c r="I184" s="350"/>
      <c r="J184" s="350"/>
      <c r="K184" s="350"/>
      <c r="L184" s="350"/>
      <c r="M184" s="350"/>
      <c r="N184" s="350"/>
      <c r="O184" s="350"/>
      <c r="P184" s="350"/>
      <c r="Q184" s="350"/>
      <c r="R184" s="350"/>
      <c r="S184" s="350"/>
      <c r="T184" s="350"/>
      <c r="U184" s="350"/>
      <c r="V184" s="350"/>
      <c r="W184" s="350"/>
      <c r="X184" s="350"/>
      <c r="Y184" s="350"/>
      <c r="Z184" s="350"/>
      <c r="AA184" s="350"/>
      <c r="AB184" s="350"/>
      <c r="AC184" s="350"/>
      <c r="AD184" s="350"/>
      <c r="AE184" s="350"/>
      <c r="AF184" s="350"/>
      <c r="AG184" s="350"/>
      <c r="AH184" s="350"/>
      <c r="AI184" s="350"/>
      <c r="AJ184" s="350"/>
      <c r="AK184" s="350"/>
      <c r="AL184" s="350"/>
      <c r="AM184" s="350"/>
      <c r="AN184" s="350"/>
      <c r="AO184" s="350"/>
      <c r="AP184" s="350"/>
      <c r="AQ184" s="350"/>
      <c r="AR184" s="350"/>
      <c r="AS184" s="350"/>
      <c r="AT184" s="350"/>
      <c r="AU184" s="350"/>
      <c r="AV184" s="350"/>
      <c r="AW184" s="350"/>
      <c r="AX184" s="350"/>
      <c r="AY184" s="350"/>
      <c r="AZ184" s="350"/>
      <c r="BA184" s="350"/>
      <c r="BB184" s="350"/>
      <c r="BC184" s="350"/>
      <c r="BD184" s="350"/>
      <c r="BE184" s="350"/>
      <c r="BF184" s="350"/>
      <c r="BG184" s="350"/>
      <c r="BH184" s="350"/>
      <c r="BI184" s="350"/>
      <c r="BJ184" s="350"/>
      <c r="BK184" s="350"/>
      <c r="BL184" s="350"/>
      <c r="BM184" s="350"/>
      <c r="BN184" s="350"/>
      <c r="BO184" s="350"/>
      <c r="BP184" s="350"/>
      <c r="BQ184" s="350"/>
      <c r="BR184" s="350"/>
      <c r="BS184" s="350"/>
      <c r="BT184" s="350"/>
      <c r="BU184" s="350"/>
      <c r="BV184" s="350"/>
    </row>
    <row r="185" spans="2:74" x14ac:dyDescent="0.2">
      <c r="B185" s="270"/>
      <c r="C185" s="263"/>
      <c r="D185" s="263"/>
      <c r="E185" s="349"/>
      <c r="F185" s="350"/>
      <c r="G185" s="350"/>
      <c r="H185" s="350"/>
      <c r="I185" s="350"/>
      <c r="J185" s="350"/>
      <c r="K185" s="350"/>
      <c r="L185" s="350"/>
      <c r="M185" s="350"/>
      <c r="N185" s="350"/>
      <c r="O185" s="350"/>
      <c r="P185" s="350"/>
      <c r="Q185" s="350"/>
      <c r="R185" s="350"/>
      <c r="S185" s="350"/>
      <c r="T185" s="350"/>
      <c r="U185" s="350"/>
      <c r="V185" s="350"/>
      <c r="W185" s="350"/>
      <c r="X185" s="350"/>
      <c r="Y185" s="350"/>
      <c r="Z185" s="350"/>
      <c r="AA185" s="350"/>
      <c r="AB185" s="350"/>
      <c r="AC185" s="350"/>
      <c r="AD185" s="350"/>
      <c r="AE185" s="350"/>
      <c r="AF185" s="350"/>
      <c r="AG185" s="350"/>
      <c r="AH185" s="350"/>
      <c r="AI185" s="350"/>
      <c r="AJ185" s="350"/>
      <c r="AK185" s="350"/>
      <c r="AL185" s="350"/>
      <c r="AM185" s="350"/>
      <c r="AN185" s="350"/>
      <c r="AO185" s="350"/>
      <c r="AP185" s="350"/>
      <c r="AQ185" s="350"/>
      <c r="AR185" s="350"/>
      <c r="AS185" s="350"/>
      <c r="AT185" s="350"/>
      <c r="AU185" s="350"/>
      <c r="AV185" s="350"/>
      <c r="AW185" s="350"/>
      <c r="AX185" s="350"/>
      <c r="AY185" s="350"/>
      <c r="AZ185" s="350"/>
      <c r="BA185" s="350"/>
      <c r="BB185" s="350"/>
      <c r="BC185" s="350"/>
      <c r="BD185" s="350"/>
      <c r="BE185" s="350"/>
      <c r="BF185" s="350"/>
      <c r="BG185" s="350"/>
      <c r="BH185" s="350"/>
      <c r="BI185" s="350"/>
      <c r="BJ185" s="350"/>
      <c r="BK185" s="350"/>
      <c r="BL185" s="350"/>
      <c r="BM185" s="350"/>
      <c r="BN185" s="350"/>
      <c r="BO185" s="350"/>
      <c r="BP185" s="350"/>
      <c r="BQ185" s="350"/>
      <c r="BR185" s="350"/>
      <c r="BS185" s="350"/>
      <c r="BT185" s="350"/>
      <c r="BU185" s="350"/>
      <c r="BV185" s="350"/>
    </row>
    <row r="186" spans="2:74" x14ac:dyDescent="0.2">
      <c r="B186" s="270"/>
      <c r="C186" s="263"/>
      <c r="D186" s="263"/>
      <c r="E186" s="349"/>
      <c r="F186" s="350"/>
      <c r="G186" s="350"/>
      <c r="H186" s="350"/>
      <c r="I186" s="350"/>
      <c r="J186" s="350"/>
      <c r="K186" s="350"/>
      <c r="L186" s="350"/>
      <c r="M186" s="350"/>
      <c r="N186" s="350"/>
      <c r="O186" s="350"/>
      <c r="P186" s="350"/>
      <c r="Q186" s="350"/>
      <c r="R186" s="350"/>
      <c r="S186" s="350"/>
      <c r="T186" s="350"/>
      <c r="U186" s="350"/>
      <c r="V186" s="350"/>
      <c r="W186" s="350"/>
      <c r="X186" s="350"/>
      <c r="Y186" s="350"/>
      <c r="Z186" s="350"/>
      <c r="AA186" s="350"/>
      <c r="AB186" s="350"/>
      <c r="AC186" s="350"/>
      <c r="AD186" s="350"/>
      <c r="AE186" s="350"/>
      <c r="AF186" s="350"/>
      <c r="AG186" s="350"/>
      <c r="AH186" s="350"/>
      <c r="AI186" s="350"/>
      <c r="AJ186" s="350"/>
      <c r="AK186" s="350"/>
      <c r="AL186" s="350"/>
      <c r="AM186" s="350"/>
      <c r="AN186" s="350"/>
      <c r="AO186" s="350"/>
      <c r="AP186" s="350"/>
      <c r="AQ186" s="350"/>
      <c r="AR186" s="350"/>
      <c r="AS186" s="350"/>
      <c r="AT186" s="350"/>
      <c r="AU186" s="350"/>
      <c r="AV186" s="350"/>
      <c r="AW186" s="350"/>
      <c r="AX186" s="350"/>
      <c r="AY186" s="350"/>
      <c r="AZ186" s="350"/>
      <c r="BA186" s="350"/>
      <c r="BB186" s="350"/>
      <c r="BC186" s="350"/>
      <c r="BD186" s="350"/>
      <c r="BE186" s="350"/>
      <c r="BF186" s="350"/>
      <c r="BG186" s="350"/>
      <c r="BH186" s="350"/>
      <c r="BI186" s="350"/>
      <c r="BJ186" s="350"/>
      <c r="BK186" s="350"/>
      <c r="BL186" s="350"/>
      <c r="BM186" s="350"/>
      <c r="BN186" s="350"/>
      <c r="BO186" s="350"/>
      <c r="BP186" s="350"/>
      <c r="BQ186" s="350"/>
      <c r="BR186" s="350"/>
      <c r="BS186" s="350"/>
      <c r="BT186" s="350"/>
      <c r="BU186" s="350"/>
      <c r="BV186" s="350"/>
    </row>
    <row r="187" spans="2:74" x14ac:dyDescent="0.2">
      <c r="B187" s="270"/>
      <c r="C187" s="263"/>
      <c r="D187" s="263"/>
      <c r="E187" s="349"/>
      <c r="F187" s="350"/>
      <c r="G187" s="350"/>
      <c r="H187" s="350"/>
      <c r="I187" s="350"/>
      <c r="J187" s="350"/>
      <c r="K187" s="350"/>
      <c r="L187" s="350"/>
      <c r="M187" s="350"/>
      <c r="N187" s="350"/>
      <c r="O187" s="350"/>
      <c r="P187" s="350"/>
      <c r="Q187" s="350"/>
      <c r="R187" s="350"/>
      <c r="S187" s="350"/>
      <c r="T187" s="350"/>
      <c r="U187" s="350"/>
      <c r="V187" s="350"/>
      <c r="W187" s="350"/>
      <c r="X187" s="350"/>
      <c r="Y187" s="350"/>
      <c r="Z187" s="350"/>
      <c r="AA187" s="350"/>
      <c r="AB187" s="350"/>
      <c r="AC187" s="350"/>
      <c r="AD187" s="350"/>
      <c r="AE187" s="350"/>
      <c r="AF187" s="350"/>
      <c r="AG187" s="350"/>
      <c r="AH187" s="350"/>
      <c r="AI187" s="350"/>
      <c r="AJ187" s="350"/>
      <c r="AK187" s="350"/>
      <c r="AL187" s="350"/>
      <c r="AM187" s="350"/>
      <c r="AN187" s="350"/>
      <c r="AO187" s="350"/>
      <c r="AP187" s="350"/>
      <c r="AQ187" s="350"/>
      <c r="AR187" s="350"/>
      <c r="AS187" s="350"/>
      <c r="AT187" s="350"/>
      <c r="AU187" s="350"/>
      <c r="AV187" s="350"/>
      <c r="AW187" s="350"/>
      <c r="AX187" s="350"/>
      <c r="AY187" s="350"/>
      <c r="AZ187" s="350"/>
      <c r="BA187" s="350"/>
      <c r="BB187" s="350"/>
      <c r="BC187" s="350"/>
      <c r="BD187" s="350"/>
      <c r="BE187" s="350"/>
      <c r="BF187" s="350"/>
      <c r="BG187" s="350"/>
      <c r="BH187" s="350"/>
      <c r="BI187" s="350"/>
      <c r="BJ187" s="350"/>
      <c r="BK187" s="350"/>
      <c r="BL187" s="350"/>
      <c r="BM187" s="350"/>
      <c r="BN187" s="350"/>
      <c r="BO187" s="350"/>
      <c r="BP187" s="350"/>
      <c r="BQ187" s="350"/>
      <c r="BR187" s="350"/>
      <c r="BS187" s="350"/>
      <c r="BT187" s="350"/>
      <c r="BU187" s="350"/>
      <c r="BV187" s="350"/>
    </row>
    <row r="188" spans="2:74" x14ac:dyDescent="0.2">
      <c r="B188" s="270"/>
      <c r="C188" s="263"/>
      <c r="D188" s="263"/>
      <c r="E188" s="349"/>
      <c r="F188" s="350"/>
      <c r="G188" s="350"/>
      <c r="H188" s="350"/>
      <c r="I188" s="350"/>
      <c r="J188" s="350"/>
      <c r="K188" s="350"/>
      <c r="L188" s="350"/>
      <c r="M188" s="350"/>
      <c r="N188" s="350"/>
      <c r="O188" s="350"/>
      <c r="P188" s="350"/>
      <c r="Q188" s="350"/>
      <c r="R188" s="350"/>
      <c r="S188" s="350"/>
      <c r="T188" s="350"/>
      <c r="U188" s="350"/>
      <c r="V188" s="350"/>
      <c r="W188" s="350"/>
      <c r="X188" s="350"/>
      <c r="Y188" s="350"/>
      <c r="Z188" s="350"/>
      <c r="AA188" s="350"/>
      <c r="AB188" s="350"/>
      <c r="AC188" s="350"/>
      <c r="AD188" s="350"/>
      <c r="AE188" s="350"/>
      <c r="AF188" s="350"/>
      <c r="AG188" s="350"/>
      <c r="AH188" s="350"/>
      <c r="AI188" s="350"/>
      <c r="AJ188" s="350"/>
      <c r="AK188" s="350"/>
      <c r="AL188" s="350"/>
      <c r="AM188" s="350"/>
      <c r="AN188" s="350"/>
      <c r="AO188" s="350"/>
      <c r="AP188" s="350"/>
      <c r="AQ188" s="350"/>
      <c r="AR188" s="350"/>
      <c r="AS188" s="350"/>
      <c r="AT188" s="350"/>
      <c r="AU188" s="350"/>
      <c r="AV188" s="350"/>
      <c r="AW188" s="350"/>
      <c r="AX188" s="350"/>
      <c r="AY188" s="350"/>
      <c r="AZ188" s="350"/>
      <c r="BA188" s="350"/>
      <c r="BB188" s="350"/>
      <c r="BC188" s="350"/>
      <c r="BD188" s="350"/>
      <c r="BE188" s="350"/>
      <c r="BF188" s="350"/>
      <c r="BG188" s="350"/>
      <c r="BH188" s="350"/>
      <c r="BI188" s="350"/>
      <c r="BJ188" s="350"/>
      <c r="BK188" s="350"/>
      <c r="BL188" s="350"/>
      <c r="BM188" s="350"/>
      <c r="BN188" s="350"/>
      <c r="BO188" s="350"/>
      <c r="BP188" s="350"/>
      <c r="BQ188" s="350"/>
      <c r="BR188" s="350"/>
      <c r="BS188" s="350"/>
      <c r="BT188" s="350"/>
      <c r="BU188" s="350"/>
      <c r="BV188" s="350"/>
    </row>
    <row r="189" spans="2:74" x14ac:dyDescent="0.2">
      <c r="B189" s="270"/>
      <c r="C189" s="270"/>
      <c r="D189" s="270"/>
      <c r="E189" s="349"/>
      <c r="F189" s="350"/>
      <c r="G189" s="350"/>
      <c r="H189" s="350"/>
      <c r="I189" s="350"/>
      <c r="J189" s="350"/>
      <c r="K189" s="350"/>
      <c r="L189" s="350"/>
      <c r="M189" s="350"/>
      <c r="N189" s="350"/>
      <c r="O189" s="350"/>
      <c r="P189" s="350"/>
      <c r="Q189" s="350"/>
      <c r="R189" s="350"/>
      <c r="S189" s="350"/>
      <c r="T189" s="350"/>
      <c r="U189" s="350"/>
      <c r="V189" s="350"/>
      <c r="W189" s="350"/>
      <c r="X189" s="350"/>
      <c r="Y189" s="350"/>
      <c r="Z189" s="350"/>
      <c r="AA189" s="350"/>
      <c r="AB189" s="350"/>
      <c r="AC189" s="350"/>
      <c r="AD189" s="350"/>
      <c r="AE189" s="350"/>
      <c r="AF189" s="350"/>
      <c r="AG189" s="350"/>
      <c r="AH189" s="350"/>
      <c r="AI189" s="350"/>
      <c r="AJ189" s="350"/>
      <c r="AK189" s="350"/>
      <c r="AL189" s="350"/>
      <c r="AM189" s="350"/>
      <c r="AN189" s="350"/>
      <c r="AO189" s="350"/>
      <c r="AP189" s="350"/>
      <c r="AQ189" s="350"/>
      <c r="AR189" s="350"/>
      <c r="AS189" s="350"/>
      <c r="AT189" s="350"/>
      <c r="AU189" s="350"/>
      <c r="AV189" s="350"/>
      <c r="AW189" s="350"/>
      <c r="AX189" s="350"/>
      <c r="AY189" s="350"/>
      <c r="AZ189" s="350"/>
      <c r="BA189" s="350"/>
      <c r="BB189" s="350"/>
      <c r="BC189" s="350"/>
      <c r="BD189" s="350"/>
      <c r="BE189" s="350"/>
      <c r="BF189" s="350"/>
      <c r="BG189" s="350"/>
      <c r="BH189" s="350"/>
      <c r="BI189" s="350"/>
      <c r="BJ189" s="350"/>
      <c r="BK189" s="350"/>
      <c r="BL189" s="350"/>
      <c r="BM189" s="350"/>
      <c r="BN189" s="350"/>
      <c r="BO189" s="350"/>
      <c r="BP189" s="350"/>
      <c r="BQ189" s="350"/>
      <c r="BR189" s="350"/>
      <c r="BS189" s="350"/>
      <c r="BT189" s="350"/>
      <c r="BU189" s="350"/>
      <c r="BV189" s="350"/>
    </row>
    <row r="190" spans="2:74" x14ac:dyDescent="0.2">
      <c r="B190" s="270"/>
      <c r="C190" s="263"/>
      <c r="D190" s="263"/>
      <c r="E190" s="349"/>
      <c r="F190" s="350"/>
      <c r="G190" s="350"/>
      <c r="H190" s="350"/>
      <c r="I190" s="350"/>
      <c r="J190" s="350"/>
      <c r="K190" s="350"/>
      <c r="L190" s="350"/>
      <c r="M190" s="350"/>
      <c r="N190" s="350"/>
      <c r="O190" s="350"/>
      <c r="P190" s="350"/>
      <c r="Q190" s="350"/>
      <c r="R190" s="350"/>
      <c r="S190" s="350"/>
      <c r="T190" s="350"/>
      <c r="U190" s="350"/>
      <c r="V190" s="350"/>
      <c r="W190" s="350"/>
      <c r="X190" s="350"/>
      <c r="Y190" s="350"/>
      <c r="Z190" s="350"/>
      <c r="AA190" s="350"/>
      <c r="AB190" s="350"/>
      <c r="AC190" s="350"/>
      <c r="AD190" s="350"/>
      <c r="AE190" s="350"/>
      <c r="AF190" s="350"/>
      <c r="AG190" s="350"/>
      <c r="AH190" s="350"/>
      <c r="AI190" s="350"/>
      <c r="AJ190" s="350"/>
      <c r="AK190" s="350"/>
      <c r="AL190" s="350"/>
      <c r="AM190" s="350"/>
      <c r="AN190" s="350"/>
      <c r="AO190" s="350"/>
      <c r="AP190" s="350"/>
      <c r="AQ190" s="350"/>
      <c r="AR190" s="350"/>
      <c r="AS190" s="350"/>
      <c r="AT190" s="350"/>
      <c r="AU190" s="350"/>
      <c r="AV190" s="350"/>
      <c r="AW190" s="350"/>
      <c r="AX190" s="350"/>
      <c r="AY190" s="350"/>
      <c r="AZ190" s="350"/>
      <c r="BA190" s="350"/>
      <c r="BB190" s="350"/>
      <c r="BC190" s="350"/>
      <c r="BD190" s="350"/>
      <c r="BE190" s="350"/>
      <c r="BF190" s="350"/>
      <c r="BG190" s="350"/>
      <c r="BH190" s="350"/>
      <c r="BI190" s="350"/>
      <c r="BJ190" s="350"/>
      <c r="BK190" s="350"/>
      <c r="BL190" s="350"/>
      <c r="BM190" s="350"/>
      <c r="BN190" s="350"/>
      <c r="BO190" s="350"/>
      <c r="BP190" s="350"/>
      <c r="BQ190" s="350"/>
      <c r="BR190" s="350"/>
      <c r="BS190" s="350"/>
      <c r="BT190" s="350"/>
      <c r="BU190" s="350"/>
      <c r="BV190" s="350"/>
    </row>
    <row r="191" spans="2:74" x14ac:dyDescent="0.2">
      <c r="B191" s="270"/>
      <c r="C191" s="263"/>
      <c r="D191" s="263"/>
      <c r="E191" s="349"/>
      <c r="F191" s="350"/>
      <c r="G191" s="350"/>
      <c r="H191" s="350"/>
      <c r="I191" s="350"/>
      <c r="J191" s="350"/>
      <c r="K191" s="350"/>
      <c r="L191" s="350"/>
      <c r="M191" s="350"/>
      <c r="N191" s="350"/>
      <c r="O191" s="350"/>
      <c r="P191" s="350"/>
      <c r="Q191" s="350"/>
      <c r="R191" s="350"/>
      <c r="S191" s="350"/>
      <c r="T191" s="350"/>
      <c r="U191" s="350"/>
      <c r="V191" s="350"/>
      <c r="W191" s="350"/>
      <c r="X191" s="350"/>
      <c r="Y191" s="350"/>
      <c r="Z191" s="350"/>
      <c r="AA191" s="350"/>
      <c r="AB191" s="350"/>
      <c r="AC191" s="350"/>
      <c r="AD191" s="350"/>
      <c r="AE191" s="350"/>
      <c r="AF191" s="350"/>
      <c r="AG191" s="350"/>
      <c r="AH191" s="350"/>
      <c r="AI191" s="350"/>
      <c r="AJ191" s="350"/>
      <c r="AK191" s="350"/>
      <c r="AL191" s="350"/>
      <c r="AM191" s="350"/>
      <c r="AN191" s="350"/>
      <c r="AO191" s="350"/>
      <c r="AP191" s="350"/>
      <c r="AQ191" s="350"/>
      <c r="AR191" s="350"/>
      <c r="AS191" s="350"/>
      <c r="AT191" s="350"/>
      <c r="AU191" s="350"/>
      <c r="AV191" s="350"/>
      <c r="AW191" s="350"/>
      <c r="AX191" s="350"/>
      <c r="AY191" s="350"/>
      <c r="AZ191" s="350"/>
      <c r="BA191" s="350"/>
      <c r="BB191" s="350"/>
      <c r="BC191" s="350"/>
      <c r="BD191" s="350"/>
      <c r="BE191" s="350"/>
      <c r="BF191" s="350"/>
      <c r="BG191" s="350"/>
      <c r="BH191" s="350"/>
      <c r="BI191" s="350"/>
      <c r="BJ191" s="350"/>
      <c r="BK191" s="350"/>
      <c r="BL191" s="350"/>
      <c r="BM191" s="350"/>
      <c r="BN191" s="350"/>
      <c r="BO191" s="350"/>
      <c r="BP191" s="350"/>
      <c r="BQ191" s="350"/>
      <c r="BR191" s="350"/>
      <c r="BS191" s="350"/>
      <c r="BT191" s="350"/>
      <c r="BU191" s="350"/>
      <c r="BV191" s="350"/>
    </row>
    <row r="192" spans="2:74" x14ac:dyDescent="0.2">
      <c r="B192" s="270"/>
      <c r="C192" s="263"/>
      <c r="D192" s="263"/>
      <c r="E192" s="349"/>
      <c r="F192" s="350"/>
      <c r="G192" s="350"/>
      <c r="H192" s="350"/>
      <c r="I192" s="350"/>
      <c r="J192" s="350"/>
      <c r="K192" s="350"/>
      <c r="L192" s="350"/>
      <c r="M192" s="350"/>
      <c r="N192" s="350"/>
      <c r="O192" s="350"/>
      <c r="P192" s="350"/>
      <c r="Q192" s="350"/>
      <c r="R192" s="350"/>
      <c r="S192" s="350"/>
      <c r="T192" s="350"/>
      <c r="U192" s="350"/>
      <c r="V192" s="350"/>
      <c r="W192" s="350"/>
      <c r="X192" s="350"/>
      <c r="Y192" s="350"/>
      <c r="Z192" s="350"/>
      <c r="AA192" s="350"/>
      <c r="AB192" s="350"/>
      <c r="AC192" s="350"/>
      <c r="AD192" s="350"/>
      <c r="AE192" s="350"/>
      <c r="AF192" s="350"/>
      <c r="AG192" s="350"/>
      <c r="AH192" s="350"/>
      <c r="AI192" s="350"/>
      <c r="AJ192" s="350"/>
      <c r="AK192" s="350"/>
      <c r="AL192" s="350"/>
      <c r="AM192" s="350"/>
      <c r="AN192" s="350"/>
      <c r="AO192" s="350"/>
      <c r="AP192" s="350"/>
      <c r="AQ192" s="350"/>
      <c r="AR192" s="350"/>
      <c r="AS192" s="350"/>
      <c r="AT192" s="350"/>
      <c r="AU192" s="350"/>
      <c r="AV192" s="350"/>
      <c r="AW192" s="350"/>
      <c r="AX192" s="350"/>
      <c r="AY192" s="350"/>
      <c r="AZ192" s="350"/>
      <c r="BA192" s="350"/>
      <c r="BB192" s="350"/>
      <c r="BC192" s="350"/>
      <c r="BD192" s="350"/>
      <c r="BE192" s="350"/>
      <c r="BF192" s="350"/>
      <c r="BG192" s="350"/>
      <c r="BH192" s="350"/>
      <c r="BI192" s="350"/>
      <c r="BJ192" s="350"/>
      <c r="BK192" s="350"/>
      <c r="BL192" s="350"/>
      <c r="BM192" s="350"/>
      <c r="BN192" s="350"/>
      <c r="BO192" s="350"/>
      <c r="BP192" s="350"/>
      <c r="BQ192" s="350"/>
      <c r="BR192" s="350"/>
      <c r="BS192" s="350"/>
      <c r="BT192" s="350"/>
      <c r="BU192" s="350"/>
      <c r="BV192" s="350"/>
    </row>
    <row r="193" spans="2:74" x14ac:dyDescent="0.2">
      <c r="B193" s="270"/>
      <c r="C193" s="263"/>
      <c r="D193" s="263"/>
      <c r="E193" s="349"/>
      <c r="F193" s="350"/>
      <c r="G193" s="350"/>
      <c r="H193" s="350"/>
      <c r="I193" s="350"/>
      <c r="J193" s="350"/>
      <c r="K193" s="350"/>
      <c r="L193" s="350"/>
      <c r="M193" s="350"/>
      <c r="N193" s="350"/>
      <c r="O193" s="350"/>
      <c r="P193" s="350"/>
      <c r="Q193" s="350"/>
      <c r="R193" s="350"/>
      <c r="S193" s="350"/>
      <c r="T193" s="350"/>
      <c r="U193" s="350"/>
      <c r="V193" s="350"/>
      <c r="W193" s="350"/>
      <c r="X193" s="350"/>
      <c r="Y193" s="350"/>
      <c r="Z193" s="350"/>
      <c r="AA193" s="350"/>
      <c r="AB193" s="350"/>
      <c r="AC193" s="350"/>
      <c r="AD193" s="350"/>
      <c r="AE193" s="350"/>
      <c r="AF193" s="350"/>
      <c r="AG193" s="350"/>
      <c r="AH193" s="350"/>
      <c r="AI193" s="350"/>
      <c r="AJ193" s="350"/>
      <c r="AK193" s="350"/>
      <c r="AL193" s="350"/>
      <c r="AM193" s="350"/>
      <c r="AN193" s="350"/>
      <c r="AO193" s="350"/>
      <c r="AP193" s="350"/>
      <c r="AQ193" s="350"/>
      <c r="AR193" s="350"/>
      <c r="AS193" s="350"/>
      <c r="AT193" s="350"/>
      <c r="AU193" s="350"/>
      <c r="AV193" s="350"/>
      <c r="AW193" s="350"/>
      <c r="AX193" s="350"/>
      <c r="AY193" s="350"/>
      <c r="AZ193" s="350"/>
      <c r="BA193" s="350"/>
      <c r="BB193" s="350"/>
      <c r="BC193" s="350"/>
      <c r="BD193" s="350"/>
      <c r="BE193" s="350"/>
      <c r="BF193" s="350"/>
      <c r="BG193" s="350"/>
      <c r="BH193" s="350"/>
      <c r="BI193" s="350"/>
      <c r="BJ193" s="350"/>
      <c r="BK193" s="350"/>
      <c r="BL193" s="350"/>
      <c r="BM193" s="350"/>
      <c r="BN193" s="350"/>
      <c r="BO193" s="350"/>
      <c r="BP193" s="350"/>
      <c r="BQ193" s="350"/>
      <c r="BR193" s="350"/>
      <c r="BS193" s="350"/>
      <c r="BT193" s="350"/>
      <c r="BU193" s="350"/>
      <c r="BV193" s="350"/>
    </row>
    <row r="194" spans="2:74" x14ac:dyDescent="0.2">
      <c r="B194" s="270"/>
      <c r="C194" s="263"/>
      <c r="D194" s="263"/>
      <c r="E194" s="349"/>
      <c r="F194" s="350"/>
      <c r="G194" s="350"/>
      <c r="H194" s="350"/>
      <c r="I194" s="350"/>
      <c r="J194" s="350"/>
      <c r="K194" s="350"/>
      <c r="L194" s="350"/>
      <c r="M194" s="350"/>
      <c r="N194" s="350"/>
      <c r="O194" s="350"/>
      <c r="P194" s="350"/>
      <c r="Q194" s="350"/>
      <c r="R194" s="350"/>
      <c r="S194" s="350"/>
      <c r="T194" s="350"/>
      <c r="U194" s="350"/>
      <c r="V194" s="350"/>
      <c r="W194" s="350"/>
      <c r="X194" s="350"/>
      <c r="Y194" s="350"/>
      <c r="Z194" s="350"/>
      <c r="AA194" s="350"/>
      <c r="AB194" s="350"/>
      <c r="AC194" s="350"/>
      <c r="AD194" s="350"/>
      <c r="AE194" s="350"/>
      <c r="AF194" s="350"/>
      <c r="AG194" s="350"/>
      <c r="AH194" s="350"/>
      <c r="AI194" s="350"/>
      <c r="AJ194" s="350"/>
      <c r="AK194" s="350"/>
      <c r="AL194" s="350"/>
      <c r="AM194" s="350"/>
      <c r="AN194" s="350"/>
      <c r="AO194" s="350"/>
      <c r="AP194" s="350"/>
      <c r="AQ194" s="350"/>
      <c r="AR194" s="350"/>
      <c r="AS194" s="350"/>
      <c r="AT194" s="350"/>
      <c r="AU194" s="350"/>
      <c r="AV194" s="350"/>
      <c r="AW194" s="350"/>
      <c r="AX194" s="350"/>
      <c r="AY194" s="350"/>
      <c r="AZ194" s="350"/>
      <c r="BA194" s="350"/>
      <c r="BB194" s="350"/>
      <c r="BC194" s="350"/>
      <c r="BD194" s="350"/>
      <c r="BE194" s="350"/>
      <c r="BF194" s="350"/>
      <c r="BG194" s="350"/>
      <c r="BH194" s="350"/>
      <c r="BI194" s="350"/>
      <c r="BJ194" s="350"/>
      <c r="BK194" s="350"/>
      <c r="BL194" s="350"/>
      <c r="BM194" s="350"/>
      <c r="BN194" s="350"/>
      <c r="BO194" s="350"/>
      <c r="BP194" s="350"/>
      <c r="BQ194" s="350"/>
      <c r="BR194" s="350"/>
      <c r="BS194" s="350"/>
      <c r="BT194" s="350"/>
      <c r="BU194" s="350"/>
      <c r="BV194" s="350"/>
    </row>
    <row r="195" spans="2:74" x14ac:dyDescent="0.2">
      <c r="B195" s="270"/>
      <c r="C195" s="263"/>
      <c r="D195" s="263"/>
      <c r="E195" s="349"/>
      <c r="F195" s="350"/>
      <c r="G195" s="350"/>
      <c r="H195" s="350"/>
      <c r="I195" s="350"/>
      <c r="J195" s="350"/>
      <c r="K195" s="350"/>
      <c r="L195" s="350"/>
      <c r="M195" s="350"/>
      <c r="N195" s="350"/>
      <c r="O195" s="350"/>
      <c r="P195" s="350"/>
      <c r="Q195" s="350"/>
      <c r="R195" s="350"/>
      <c r="S195" s="350"/>
      <c r="T195" s="350"/>
      <c r="U195" s="350"/>
      <c r="V195" s="350"/>
      <c r="W195" s="350"/>
      <c r="X195" s="350"/>
      <c r="Y195" s="350"/>
      <c r="Z195" s="350"/>
      <c r="AA195" s="350"/>
      <c r="AB195" s="350"/>
      <c r="AC195" s="350"/>
      <c r="AD195" s="350"/>
      <c r="AE195" s="350"/>
      <c r="AF195" s="350"/>
      <c r="AG195" s="350"/>
      <c r="AH195" s="350"/>
      <c r="AI195" s="350"/>
      <c r="AJ195" s="350"/>
      <c r="AK195" s="350"/>
      <c r="AL195" s="350"/>
      <c r="AM195" s="350"/>
      <c r="AN195" s="350"/>
      <c r="AO195" s="350"/>
      <c r="AP195" s="350"/>
      <c r="AQ195" s="350"/>
      <c r="AR195" s="350"/>
      <c r="AS195" s="350"/>
      <c r="AT195" s="350"/>
      <c r="AU195" s="350"/>
      <c r="AV195" s="350"/>
      <c r="AW195" s="350"/>
      <c r="AX195" s="350"/>
      <c r="AY195" s="350"/>
      <c r="AZ195" s="350"/>
      <c r="BA195" s="350"/>
      <c r="BB195" s="350"/>
      <c r="BC195" s="350"/>
      <c r="BD195" s="350"/>
      <c r="BE195" s="350"/>
      <c r="BF195" s="350"/>
      <c r="BG195" s="350"/>
      <c r="BH195" s="350"/>
      <c r="BI195" s="350"/>
      <c r="BJ195" s="350"/>
      <c r="BK195" s="350"/>
      <c r="BL195" s="350"/>
      <c r="BM195" s="350"/>
      <c r="BN195" s="350"/>
      <c r="BO195" s="350"/>
      <c r="BP195" s="350"/>
      <c r="BQ195" s="350"/>
      <c r="BR195" s="350"/>
      <c r="BS195" s="350"/>
      <c r="BT195" s="350"/>
      <c r="BU195" s="350"/>
      <c r="BV195" s="350"/>
    </row>
    <row r="196" spans="2:74" x14ac:dyDescent="0.2">
      <c r="B196" s="270"/>
      <c r="C196" s="263"/>
      <c r="D196" s="263"/>
      <c r="E196" s="349"/>
      <c r="F196" s="350"/>
      <c r="G196" s="350"/>
      <c r="H196" s="350"/>
      <c r="I196" s="350"/>
      <c r="J196" s="350"/>
      <c r="K196" s="350"/>
      <c r="L196" s="350"/>
      <c r="M196" s="350"/>
      <c r="N196" s="350"/>
      <c r="O196" s="350"/>
      <c r="P196" s="350"/>
      <c r="Q196" s="350"/>
      <c r="R196" s="350"/>
      <c r="S196" s="350"/>
      <c r="T196" s="350"/>
      <c r="U196" s="350"/>
      <c r="V196" s="350"/>
      <c r="W196" s="350"/>
      <c r="X196" s="350"/>
      <c r="Y196" s="350"/>
      <c r="Z196" s="350"/>
      <c r="AA196" s="350"/>
      <c r="AB196" s="350"/>
      <c r="AC196" s="350"/>
      <c r="AD196" s="350"/>
      <c r="AE196" s="350"/>
      <c r="AF196" s="350"/>
      <c r="AG196" s="350"/>
      <c r="AH196" s="350"/>
      <c r="AI196" s="350"/>
      <c r="AJ196" s="350"/>
      <c r="AK196" s="350"/>
      <c r="AL196" s="350"/>
      <c r="AM196" s="350"/>
      <c r="AN196" s="350"/>
      <c r="AO196" s="350"/>
      <c r="AP196" s="350"/>
      <c r="AQ196" s="350"/>
      <c r="AR196" s="350"/>
      <c r="AS196" s="350"/>
      <c r="AT196" s="350"/>
      <c r="AU196" s="350"/>
      <c r="AV196" s="350"/>
      <c r="AW196" s="350"/>
      <c r="AX196" s="350"/>
      <c r="AY196" s="350"/>
      <c r="AZ196" s="350"/>
      <c r="BA196" s="350"/>
      <c r="BB196" s="350"/>
      <c r="BC196" s="350"/>
      <c r="BD196" s="350"/>
      <c r="BE196" s="350"/>
      <c r="BF196" s="350"/>
      <c r="BG196" s="350"/>
      <c r="BH196" s="350"/>
      <c r="BI196" s="350"/>
      <c r="BJ196" s="350"/>
      <c r="BK196" s="350"/>
      <c r="BL196" s="350"/>
      <c r="BM196" s="350"/>
      <c r="BN196" s="350"/>
      <c r="BO196" s="350"/>
      <c r="BP196" s="350"/>
      <c r="BQ196" s="350"/>
      <c r="BR196" s="350"/>
      <c r="BS196" s="350"/>
      <c r="BT196" s="350"/>
      <c r="BU196" s="350"/>
      <c r="BV196" s="350"/>
    </row>
    <row r="197" spans="2:74" x14ac:dyDescent="0.2">
      <c r="B197" s="270"/>
      <c r="C197" s="263"/>
      <c r="D197" s="263"/>
      <c r="E197" s="349"/>
      <c r="F197" s="350"/>
      <c r="G197" s="350"/>
      <c r="H197" s="350"/>
      <c r="I197" s="350"/>
      <c r="J197" s="350"/>
      <c r="K197" s="350"/>
      <c r="L197" s="350"/>
      <c r="M197" s="350"/>
      <c r="N197" s="350"/>
      <c r="O197" s="350"/>
      <c r="P197" s="350"/>
      <c r="Q197" s="350"/>
      <c r="R197" s="350"/>
      <c r="S197" s="350"/>
      <c r="T197" s="350"/>
      <c r="U197" s="350"/>
      <c r="V197" s="350"/>
      <c r="W197" s="350"/>
      <c r="X197" s="350"/>
      <c r="Y197" s="350"/>
      <c r="Z197" s="350"/>
      <c r="AA197" s="350"/>
      <c r="AB197" s="350"/>
      <c r="AC197" s="350"/>
      <c r="AD197" s="350"/>
      <c r="AE197" s="350"/>
      <c r="AF197" s="350"/>
      <c r="AG197" s="350"/>
      <c r="AH197" s="350"/>
      <c r="AI197" s="350"/>
      <c r="AJ197" s="350"/>
      <c r="AK197" s="350"/>
      <c r="AL197" s="350"/>
      <c r="AM197" s="350"/>
      <c r="AN197" s="350"/>
      <c r="AO197" s="350"/>
      <c r="AP197" s="350"/>
      <c r="AQ197" s="350"/>
      <c r="AR197" s="350"/>
      <c r="AS197" s="350"/>
      <c r="AT197" s="350"/>
      <c r="AU197" s="350"/>
      <c r="AV197" s="350"/>
      <c r="AW197" s="350"/>
      <c r="AX197" s="350"/>
      <c r="AY197" s="350"/>
      <c r="AZ197" s="350"/>
      <c r="BA197" s="350"/>
      <c r="BB197" s="350"/>
      <c r="BC197" s="350"/>
      <c r="BD197" s="350"/>
      <c r="BE197" s="350"/>
      <c r="BF197" s="350"/>
      <c r="BG197" s="350"/>
      <c r="BH197" s="350"/>
      <c r="BI197" s="350"/>
      <c r="BJ197" s="350"/>
      <c r="BK197" s="350"/>
      <c r="BL197" s="350"/>
      <c r="BM197" s="350"/>
      <c r="BN197" s="350"/>
      <c r="BO197" s="350"/>
      <c r="BP197" s="350"/>
      <c r="BQ197" s="350"/>
      <c r="BR197" s="350"/>
      <c r="BS197" s="350"/>
      <c r="BT197" s="350"/>
      <c r="BU197" s="350"/>
      <c r="BV197" s="350"/>
    </row>
    <row r="198" spans="2:74" x14ac:dyDescent="0.2">
      <c r="B198" s="270"/>
      <c r="C198" s="263"/>
      <c r="D198" s="263"/>
      <c r="E198" s="349"/>
      <c r="F198" s="350"/>
      <c r="G198" s="350"/>
      <c r="H198" s="350"/>
      <c r="I198" s="350"/>
      <c r="J198" s="350"/>
      <c r="K198" s="350"/>
      <c r="L198" s="350"/>
      <c r="M198" s="350"/>
      <c r="N198" s="350"/>
      <c r="O198" s="350"/>
      <c r="P198" s="350"/>
      <c r="Q198" s="350"/>
      <c r="R198" s="350"/>
      <c r="S198" s="350"/>
      <c r="T198" s="350"/>
      <c r="U198" s="350"/>
      <c r="V198" s="350"/>
      <c r="W198" s="350"/>
      <c r="X198" s="350"/>
      <c r="Y198" s="350"/>
      <c r="Z198" s="350"/>
      <c r="AA198" s="350"/>
      <c r="AB198" s="350"/>
      <c r="AC198" s="350"/>
      <c r="AD198" s="350"/>
      <c r="AE198" s="350"/>
      <c r="AF198" s="350"/>
      <c r="AG198" s="350"/>
      <c r="AH198" s="350"/>
      <c r="AI198" s="350"/>
      <c r="AJ198" s="350"/>
      <c r="AK198" s="350"/>
      <c r="AL198" s="350"/>
      <c r="AM198" s="350"/>
      <c r="AN198" s="350"/>
      <c r="AO198" s="350"/>
      <c r="AP198" s="350"/>
      <c r="AQ198" s="350"/>
      <c r="AR198" s="350"/>
      <c r="AS198" s="350"/>
      <c r="AT198" s="350"/>
      <c r="AU198" s="350"/>
      <c r="AV198" s="350"/>
      <c r="AW198" s="350"/>
      <c r="AX198" s="350"/>
      <c r="AY198" s="350"/>
      <c r="AZ198" s="350"/>
      <c r="BA198" s="350"/>
      <c r="BB198" s="350"/>
      <c r="BC198" s="350"/>
      <c r="BD198" s="350"/>
      <c r="BE198" s="350"/>
      <c r="BF198" s="350"/>
      <c r="BG198" s="350"/>
      <c r="BH198" s="350"/>
      <c r="BI198" s="350"/>
      <c r="BJ198" s="350"/>
      <c r="BK198" s="350"/>
      <c r="BL198" s="350"/>
      <c r="BM198" s="350"/>
      <c r="BN198" s="350"/>
      <c r="BO198" s="350"/>
      <c r="BP198" s="350"/>
      <c r="BQ198" s="350"/>
      <c r="BR198" s="350"/>
      <c r="BS198" s="350"/>
      <c r="BT198" s="350"/>
      <c r="BU198" s="350"/>
      <c r="BV198" s="350"/>
    </row>
    <row r="199" spans="2:74" x14ac:dyDescent="0.2">
      <c r="B199" s="270"/>
      <c r="C199" s="263"/>
      <c r="D199" s="263"/>
      <c r="E199" s="349"/>
      <c r="F199" s="350"/>
      <c r="G199" s="350"/>
      <c r="H199" s="350"/>
      <c r="I199" s="350"/>
      <c r="J199" s="350"/>
      <c r="K199" s="350"/>
      <c r="L199" s="350"/>
      <c r="M199" s="350"/>
      <c r="N199" s="350"/>
      <c r="O199" s="350"/>
      <c r="P199" s="350"/>
      <c r="Q199" s="350"/>
      <c r="R199" s="350"/>
      <c r="S199" s="350"/>
      <c r="T199" s="350"/>
      <c r="U199" s="350"/>
      <c r="V199" s="350"/>
      <c r="W199" s="350"/>
      <c r="X199" s="350"/>
      <c r="Y199" s="350"/>
      <c r="Z199" s="350"/>
      <c r="AA199" s="350"/>
      <c r="AB199" s="350"/>
      <c r="AC199" s="350"/>
      <c r="AD199" s="350"/>
      <c r="AE199" s="350"/>
      <c r="AF199" s="350"/>
      <c r="AG199" s="350"/>
      <c r="AH199" s="350"/>
      <c r="AI199" s="350"/>
      <c r="AJ199" s="350"/>
      <c r="AK199" s="350"/>
      <c r="AL199" s="350"/>
      <c r="AM199" s="350"/>
      <c r="AN199" s="350"/>
      <c r="AO199" s="350"/>
      <c r="AP199" s="350"/>
      <c r="AQ199" s="350"/>
      <c r="AR199" s="350"/>
      <c r="AS199" s="350"/>
      <c r="AT199" s="350"/>
      <c r="AU199" s="350"/>
      <c r="AV199" s="350"/>
      <c r="AW199" s="350"/>
      <c r="AX199" s="350"/>
      <c r="AY199" s="350"/>
      <c r="AZ199" s="350"/>
      <c r="BA199" s="350"/>
      <c r="BB199" s="350"/>
      <c r="BC199" s="350"/>
      <c r="BD199" s="350"/>
      <c r="BE199" s="350"/>
      <c r="BF199" s="350"/>
      <c r="BG199" s="350"/>
      <c r="BH199" s="350"/>
      <c r="BI199" s="350"/>
      <c r="BJ199" s="350"/>
      <c r="BK199" s="350"/>
      <c r="BL199" s="350"/>
      <c r="BM199" s="350"/>
      <c r="BN199" s="350"/>
      <c r="BO199" s="350"/>
      <c r="BP199" s="350"/>
      <c r="BQ199" s="350"/>
      <c r="BR199" s="350"/>
      <c r="BS199" s="350"/>
      <c r="BT199" s="350"/>
      <c r="BU199" s="350"/>
      <c r="BV199" s="350"/>
    </row>
    <row r="200" spans="2:74" x14ac:dyDescent="0.2">
      <c r="B200" s="270"/>
      <c r="C200" s="263"/>
      <c r="D200" s="263"/>
      <c r="E200" s="349"/>
      <c r="F200" s="350"/>
      <c r="G200" s="350"/>
      <c r="H200" s="350"/>
      <c r="I200" s="350"/>
      <c r="J200" s="350"/>
      <c r="K200" s="350"/>
      <c r="L200" s="350"/>
      <c r="M200" s="350"/>
      <c r="N200" s="350"/>
      <c r="O200" s="350"/>
      <c r="P200" s="350"/>
      <c r="Q200" s="350"/>
      <c r="R200" s="350"/>
      <c r="S200" s="350"/>
      <c r="T200" s="350"/>
      <c r="U200" s="350"/>
      <c r="V200" s="350"/>
      <c r="W200" s="350"/>
      <c r="X200" s="350"/>
      <c r="Y200" s="350"/>
      <c r="Z200" s="350"/>
      <c r="AA200" s="350"/>
      <c r="AB200" s="350"/>
      <c r="AC200" s="350"/>
      <c r="AD200" s="350"/>
      <c r="AE200" s="350"/>
      <c r="AF200" s="350"/>
      <c r="AG200" s="350"/>
      <c r="AH200" s="350"/>
      <c r="AI200" s="350"/>
      <c r="AJ200" s="350"/>
      <c r="AK200" s="350"/>
      <c r="AL200" s="350"/>
      <c r="AM200" s="350"/>
      <c r="AN200" s="350"/>
      <c r="AO200" s="350"/>
      <c r="AP200" s="350"/>
      <c r="AQ200" s="350"/>
      <c r="AR200" s="350"/>
      <c r="AS200" s="350"/>
      <c r="AT200" s="350"/>
      <c r="AU200" s="350"/>
      <c r="AV200" s="350"/>
      <c r="AW200" s="350"/>
      <c r="AX200" s="350"/>
      <c r="AY200" s="350"/>
      <c r="AZ200" s="350"/>
      <c r="BA200" s="350"/>
      <c r="BB200" s="350"/>
      <c r="BC200" s="350"/>
      <c r="BD200" s="350"/>
      <c r="BE200" s="350"/>
      <c r="BF200" s="350"/>
      <c r="BG200" s="350"/>
      <c r="BH200" s="350"/>
      <c r="BI200" s="350"/>
      <c r="BJ200" s="350"/>
      <c r="BK200" s="350"/>
      <c r="BL200" s="350"/>
      <c r="BM200" s="350"/>
      <c r="BN200" s="350"/>
      <c r="BO200" s="350"/>
      <c r="BP200" s="350"/>
      <c r="BQ200" s="350"/>
      <c r="BR200" s="350"/>
      <c r="BS200" s="350"/>
      <c r="BT200" s="350"/>
      <c r="BU200" s="350"/>
      <c r="BV200" s="350"/>
    </row>
    <row r="201" spans="2:74" x14ac:dyDescent="0.2">
      <c r="B201" s="270"/>
      <c r="C201" s="263"/>
      <c r="D201" s="263"/>
      <c r="E201" s="349"/>
      <c r="F201" s="350"/>
      <c r="G201" s="350"/>
      <c r="H201" s="350"/>
      <c r="I201" s="350"/>
      <c r="J201" s="350"/>
      <c r="K201" s="350"/>
      <c r="L201" s="350"/>
      <c r="M201" s="350"/>
      <c r="N201" s="350"/>
      <c r="O201" s="350"/>
      <c r="P201" s="350"/>
      <c r="Q201" s="350"/>
      <c r="R201" s="350"/>
      <c r="S201" s="350"/>
      <c r="T201" s="350"/>
      <c r="U201" s="350"/>
      <c r="V201" s="350"/>
      <c r="W201" s="350"/>
      <c r="X201" s="350"/>
      <c r="Y201" s="350"/>
      <c r="Z201" s="350"/>
      <c r="AA201" s="350"/>
      <c r="AB201" s="350"/>
      <c r="AC201" s="350"/>
      <c r="AD201" s="350"/>
      <c r="AE201" s="350"/>
      <c r="AF201" s="350"/>
      <c r="AG201" s="350"/>
      <c r="AH201" s="350"/>
      <c r="AI201" s="350"/>
      <c r="AJ201" s="350"/>
      <c r="AK201" s="350"/>
      <c r="AL201" s="350"/>
      <c r="AM201" s="350"/>
      <c r="AN201" s="350"/>
      <c r="AO201" s="350"/>
      <c r="AP201" s="350"/>
      <c r="AQ201" s="350"/>
      <c r="AR201" s="350"/>
      <c r="AS201" s="350"/>
      <c r="AT201" s="350"/>
      <c r="AU201" s="350"/>
      <c r="AV201" s="350"/>
      <c r="AW201" s="350"/>
      <c r="AX201" s="350"/>
      <c r="AY201" s="350"/>
      <c r="AZ201" s="350"/>
      <c r="BA201" s="350"/>
      <c r="BB201" s="350"/>
      <c r="BC201" s="350"/>
      <c r="BD201" s="350"/>
      <c r="BE201" s="350"/>
      <c r="BF201" s="350"/>
      <c r="BG201" s="350"/>
      <c r="BH201" s="350"/>
      <c r="BI201" s="350"/>
      <c r="BJ201" s="350"/>
      <c r="BK201" s="350"/>
      <c r="BL201" s="350"/>
      <c r="BM201" s="350"/>
      <c r="BN201" s="350"/>
      <c r="BO201" s="350"/>
      <c r="BP201" s="350"/>
      <c r="BQ201" s="350"/>
      <c r="BR201" s="350"/>
      <c r="BS201" s="350"/>
      <c r="BT201" s="350"/>
      <c r="BU201" s="350"/>
      <c r="BV201" s="350"/>
    </row>
    <row r="202" spans="2:74" x14ac:dyDescent="0.2">
      <c r="B202" s="270"/>
      <c r="C202" s="270"/>
      <c r="D202" s="270"/>
      <c r="E202" s="349"/>
      <c r="F202" s="350"/>
      <c r="G202" s="350"/>
      <c r="H202" s="350"/>
      <c r="I202" s="350"/>
      <c r="J202" s="350"/>
      <c r="K202" s="350"/>
      <c r="L202" s="350"/>
      <c r="M202" s="350"/>
      <c r="N202" s="350"/>
      <c r="O202" s="350"/>
      <c r="P202" s="350"/>
      <c r="Q202" s="350"/>
      <c r="R202" s="350"/>
      <c r="S202" s="350"/>
      <c r="T202" s="350"/>
      <c r="U202" s="350"/>
      <c r="V202" s="350"/>
      <c r="W202" s="350"/>
      <c r="X202" s="350"/>
      <c r="Y202" s="350"/>
      <c r="Z202" s="350"/>
      <c r="AA202" s="350"/>
      <c r="AB202" s="350"/>
      <c r="AC202" s="350"/>
      <c r="AD202" s="350"/>
      <c r="AE202" s="350"/>
      <c r="AF202" s="350"/>
      <c r="AG202" s="350"/>
      <c r="AH202" s="350"/>
      <c r="AI202" s="350"/>
      <c r="AJ202" s="350"/>
      <c r="AK202" s="350"/>
      <c r="AL202" s="350"/>
      <c r="AM202" s="350"/>
      <c r="AN202" s="350"/>
      <c r="AO202" s="350"/>
      <c r="AP202" s="350"/>
      <c r="AQ202" s="350"/>
      <c r="AR202" s="350"/>
      <c r="AS202" s="350"/>
      <c r="AT202" s="350"/>
      <c r="AU202" s="350"/>
      <c r="AV202" s="350"/>
      <c r="AW202" s="350"/>
      <c r="AX202" s="350"/>
      <c r="AY202" s="350"/>
      <c r="AZ202" s="350"/>
      <c r="BA202" s="350"/>
      <c r="BB202" s="350"/>
      <c r="BC202" s="350"/>
      <c r="BD202" s="350"/>
      <c r="BE202" s="350"/>
      <c r="BF202" s="350"/>
      <c r="BG202" s="350"/>
      <c r="BH202" s="350"/>
      <c r="BI202" s="350"/>
      <c r="BJ202" s="350"/>
      <c r="BK202" s="350"/>
      <c r="BL202" s="350"/>
      <c r="BM202" s="350"/>
      <c r="BN202" s="350"/>
      <c r="BO202" s="350"/>
      <c r="BP202" s="350"/>
      <c r="BQ202" s="350"/>
      <c r="BR202" s="350"/>
      <c r="BS202" s="350"/>
      <c r="BT202" s="350"/>
      <c r="BU202" s="350"/>
      <c r="BV202" s="350"/>
    </row>
    <row r="203" spans="2:74" x14ac:dyDescent="0.2">
      <c r="B203" s="270"/>
      <c r="C203" s="270"/>
      <c r="D203" s="270"/>
      <c r="E203" s="349"/>
      <c r="F203" s="350"/>
      <c r="G203" s="350"/>
      <c r="H203" s="350"/>
      <c r="I203" s="350"/>
      <c r="J203" s="350"/>
      <c r="K203" s="350"/>
      <c r="L203" s="350"/>
      <c r="M203" s="350"/>
      <c r="N203" s="350"/>
      <c r="O203" s="350"/>
      <c r="P203" s="350"/>
      <c r="Q203" s="350"/>
      <c r="R203" s="350"/>
      <c r="S203" s="350"/>
      <c r="T203" s="350"/>
      <c r="U203" s="350"/>
      <c r="V203" s="350"/>
      <c r="W203" s="350"/>
      <c r="X203" s="350"/>
      <c r="Y203" s="350"/>
      <c r="Z203" s="350"/>
      <c r="AA203" s="350"/>
      <c r="AB203" s="350"/>
      <c r="AC203" s="350"/>
      <c r="AD203" s="350"/>
      <c r="AE203" s="350"/>
      <c r="AF203" s="350"/>
      <c r="AG203" s="350"/>
      <c r="AH203" s="350"/>
      <c r="AI203" s="350"/>
      <c r="AJ203" s="350"/>
      <c r="AK203" s="350"/>
      <c r="AL203" s="350"/>
      <c r="AM203" s="350"/>
      <c r="AN203" s="350"/>
      <c r="AO203" s="350"/>
      <c r="AP203" s="350"/>
      <c r="AQ203" s="350"/>
      <c r="AR203" s="350"/>
      <c r="AS203" s="350"/>
      <c r="AT203" s="350"/>
      <c r="AU203" s="350"/>
      <c r="AV203" s="350"/>
      <c r="AW203" s="350"/>
      <c r="AX203" s="350"/>
      <c r="AY203" s="350"/>
      <c r="AZ203" s="350"/>
      <c r="BA203" s="350"/>
      <c r="BB203" s="350"/>
      <c r="BC203" s="350"/>
      <c r="BD203" s="350"/>
      <c r="BE203" s="350"/>
      <c r="BF203" s="350"/>
      <c r="BG203" s="350"/>
      <c r="BH203" s="350"/>
      <c r="BI203" s="350"/>
      <c r="BJ203" s="350"/>
      <c r="BK203" s="350"/>
      <c r="BL203" s="350"/>
      <c r="BM203" s="350"/>
      <c r="BN203" s="350"/>
      <c r="BO203" s="350"/>
      <c r="BP203" s="350"/>
      <c r="BQ203" s="350"/>
      <c r="BR203" s="350"/>
      <c r="BS203" s="350"/>
      <c r="BT203" s="350"/>
      <c r="BU203" s="350"/>
      <c r="BV203" s="350"/>
    </row>
    <row r="204" spans="2:74" x14ac:dyDescent="0.2">
      <c r="B204" s="270"/>
      <c r="C204" s="263"/>
      <c r="D204" s="263"/>
      <c r="E204" s="349"/>
      <c r="F204" s="350"/>
      <c r="G204" s="350"/>
      <c r="H204" s="350"/>
      <c r="I204" s="350"/>
      <c r="J204" s="350"/>
      <c r="K204" s="350"/>
      <c r="L204" s="350"/>
      <c r="M204" s="350"/>
      <c r="N204" s="350"/>
      <c r="O204" s="350"/>
      <c r="P204" s="350"/>
      <c r="Q204" s="350"/>
      <c r="R204" s="350"/>
      <c r="S204" s="350"/>
      <c r="T204" s="350"/>
      <c r="U204" s="350"/>
      <c r="V204" s="350"/>
      <c r="W204" s="350"/>
      <c r="X204" s="350"/>
      <c r="Y204" s="350"/>
      <c r="Z204" s="350"/>
      <c r="AA204" s="350"/>
      <c r="AB204" s="350"/>
      <c r="AC204" s="350"/>
      <c r="AD204" s="350"/>
      <c r="AE204" s="350"/>
      <c r="AF204" s="350"/>
      <c r="AG204" s="350"/>
      <c r="AH204" s="350"/>
      <c r="AI204" s="350"/>
      <c r="AJ204" s="350"/>
      <c r="AK204" s="350"/>
      <c r="AL204" s="350"/>
      <c r="AM204" s="350"/>
      <c r="AN204" s="350"/>
      <c r="AO204" s="350"/>
      <c r="AP204" s="350"/>
      <c r="AQ204" s="350"/>
      <c r="AR204" s="350"/>
      <c r="AS204" s="350"/>
      <c r="AT204" s="350"/>
      <c r="AU204" s="350"/>
      <c r="AV204" s="350"/>
      <c r="AW204" s="350"/>
      <c r="AX204" s="350"/>
      <c r="AY204" s="350"/>
      <c r="AZ204" s="350"/>
      <c r="BA204" s="350"/>
      <c r="BB204" s="350"/>
      <c r="BC204" s="350"/>
      <c r="BD204" s="350"/>
      <c r="BE204" s="350"/>
      <c r="BF204" s="350"/>
      <c r="BG204" s="350"/>
      <c r="BH204" s="350"/>
      <c r="BI204" s="350"/>
      <c r="BJ204" s="350"/>
      <c r="BK204" s="350"/>
      <c r="BL204" s="350"/>
      <c r="BM204" s="350"/>
      <c r="BN204" s="350"/>
      <c r="BO204" s="350"/>
      <c r="BP204" s="350"/>
      <c r="BQ204" s="350"/>
      <c r="BR204" s="350"/>
      <c r="BS204" s="350"/>
      <c r="BT204" s="350"/>
      <c r="BU204" s="350"/>
      <c r="BV204" s="350"/>
    </row>
    <row r="205" spans="2:74" x14ac:dyDescent="0.2">
      <c r="B205" s="270"/>
      <c r="C205" s="263"/>
      <c r="D205" s="263"/>
      <c r="E205" s="349"/>
      <c r="F205" s="350"/>
      <c r="G205" s="350"/>
      <c r="H205" s="350"/>
      <c r="I205" s="350"/>
      <c r="J205" s="350"/>
      <c r="K205" s="350"/>
      <c r="L205" s="350"/>
      <c r="M205" s="350"/>
      <c r="N205" s="350"/>
      <c r="O205" s="350"/>
      <c r="P205" s="350"/>
      <c r="Q205" s="350"/>
      <c r="R205" s="350"/>
      <c r="S205" s="350"/>
      <c r="T205" s="350"/>
      <c r="U205" s="350"/>
      <c r="V205" s="350"/>
      <c r="W205" s="350"/>
      <c r="X205" s="350"/>
      <c r="Y205" s="350"/>
      <c r="Z205" s="350"/>
      <c r="AA205" s="350"/>
      <c r="AB205" s="350"/>
      <c r="AC205" s="350"/>
      <c r="AD205" s="350"/>
      <c r="AE205" s="350"/>
      <c r="AF205" s="350"/>
      <c r="AG205" s="350"/>
      <c r="AH205" s="350"/>
      <c r="AI205" s="350"/>
      <c r="AJ205" s="350"/>
      <c r="AK205" s="350"/>
      <c r="AL205" s="350"/>
      <c r="AM205" s="350"/>
      <c r="AN205" s="350"/>
      <c r="AO205" s="350"/>
      <c r="AP205" s="350"/>
      <c r="AQ205" s="350"/>
      <c r="AR205" s="350"/>
      <c r="AS205" s="350"/>
      <c r="AT205" s="350"/>
      <c r="AU205" s="350"/>
      <c r="AV205" s="350"/>
      <c r="AW205" s="350"/>
      <c r="AX205" s="350"/>
      <c r="AY205" s="350"/>
      <c r="AZ205" s="350"/>
      <c r="BA205" s="350"/>
      <c r="BB205" s="350"/>
      <c r="BC205" s="350"/>
      <c r="BD205" s="350"/>
      <c r="BE205" s="350"/>
      <c r="BF205" s="350"/>
      <c r="BG205" s="350"/>
      <c r="BH205" s="350"/>
      <c r="BI205" s="350"/>
      <c r="BJ205" s="350"/>
      <c r="BK205" s="350"/>
      <c r="BL205" s="350"/>
      <c r="BM205" s="350"/>
      <c r="BN205" s="350"/>
      <c r="BO205" s="350"/>
      <c r="BP205" s="350"/>
      <c r="BQ205" s="350"/>
      <c r="BR205" s="350"/>
      <c r="BS205" s="350"/>
      <c r="BT205" s="350"/>
      <c r="BU205" s="350"/>
      <c r="BV205" s="350"/>
    </row>
    <row r="206" spans="2:74" x14ac:dyDescent="0.2">
      <c r="B206" s="270"/>
      <c r="C206" s="263"/>
      <c r="D206" s="263"/>
      <c r="E206" s="349"/>
      <c r="F206" s="350"/>
      <c r="G206" s="350"/>
      <c r="H206" s="350"/>
      <c r="I206" s="350"/>
      <c r="J206" s="350"/>
      <c r="K206" s="350"/>
      <c r="L206" s="350"/>
      <c r="M206" s="350"/>
      <c r="N206" s="350"/>
      <c r="O206" s="350"/>
      <c r="P206" s="350"/>
      <c r="Q206" s="350"/>
      <c r="R206" s="350"/>
      <c r="S206" s="350"/>
      <c r="T206" s="350"/>
      <c r="U206" s="350"/>
      <c r="V206" s="350"/>
      <c r="W206" s="350"/>
      <c r="X206" s="350"/>
      <c r="Y206" s="350"/>
      <c r="Z206" s="350"/>
      <c r="AA206" s="350"/>
      <c r="AB206" s="350"/>
      <c r="AC206" s="350"/>
      <c r="AD206" s="350"/>
      <c r="AE206" s="350"/>
      <c r="AF206" s="350"/>
      <c r="AG206" s="350"/>
      <c r="AH206" s="350"/>
      <c r="AI206" s="350"/>
      <c r="AJ206" s="350"/>
      <c r="AK206" s="350"/>
      <c r="AL206" s="350"/>
      <c r="AM206" s="350"/>
      <c r="AN206" s="350"/>
      <c r="AO206" s="350"/>
      <c r="AP206" s="350"/>
      <c r="AQ206" s="350"/>
      <c r="AR206" s="350"/>
      <c r="AS206" s="350"/>
      <c r="AT206" s="350"/>
      <c r="AU206" s="350"/>
      <c r="AV206" s="350"/>
      <c r="AW206" s="350"/>
      <c r="AX206" s="350"/>
      <c r="AY206" s="350"/>
      <c r="AZ206" s="350"/>
      <c r="BA206" s="350"/>
      <c r="BB206" s="350"/>
      <c r="BC206" s="350"/>
      <c r="BD206" s="350"/>
      <c r="BE206" s="350"/>
      <c r="BF206" s="350"/>
      <c r="BG206" s="350"/>
      <c r="BH206" s="350"/>
      <c r="BI206" s="350"/>
      <c r="BJ206" s="350"/>
      <c r="BK206" s="350"/>
      <c r="BL206" s="350"/>
      <c r="BM206" s="350"/>
      <c r="BN206" s="350"/>
      <c r="BO206" s="350"/>
      <c r="BP206" s="350"/>
      <c r="BQ206" s="350"/>
      <c r="BR206" s="350"/>
      <c r="BS206" s="350"/>
      <c r="BT206" s="350"/>
      <c r="BU206" s="350"/>
      <c r="BV206" s="350"/>
    </row>
    <row r="222" spans="2:74" x14ac:dyDescent="0.2">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c r="BJ222" s="323"/>
      <c r="BK222" s="323"/>
      <c r="BL222" s="323"/>
      <c r="BM222" s="323"/>
      <c r="BN222" s="323"/>
      <c r="BO222" s="323"/>
      <c r="BP222" s="323"/>
      <c r="BQ222" s="323"/>
      <c r="BR222" s="323"/>
      <c r="BS222" s="323"/>
      <c r="BT222" s="323"/>
      <c r="BU222" s="323"/>
      <c r="BV222" s="323"/>
    </row>
    <row r="223" spans="2:74" x14ac:dyDescent="0.2">
      <c r="B223" s="270"/>
      <c r="C223" s="263"/>
      <c r="D223" s="263"/>
      <c r="E223" s="349"/>
      <c r="F223" s="350"/>
      <c r="G223" s="350"/>
      <c r="H223" s="350"/>
      <c r="I223" s="350"/>
      <c r="J223" s="350"/>
      <c r="K223" s="350"/>
      <c r="L223" s="350"/>
      <c r="M223" s="350"/>
      <c r="N223" s="350"/>
      <c r="O223" s="350"/>
      <c r="P223" s="350"/>
      <c r="Q223" s="350"/>
      <c r="R223" s="350"/>
      <c r="S223" s="350"/>
      <c r="T223" s="350"/>
      <c r="U223" s="350"/>
      <c r="V223" s="350"/>
      <c r="W223" s="350"/>
      <c r="X223" s="350"/>
      <c r="Y223" s="350"/>
      <c r="Z223" s="350"/>
      <c r="AA223" s="350"/>
      <c r="AB223" s="350"/>
      <c r="AC223" s="350"/>
      <c r="AD223" s="350"/>
      <c r="AE223" s="350"/>
      <c r="AF223" s="350"/>
      <c r="AG223" s="350"/>
      <c r="AH223" s="350"/>
      <c r="AI223" s="350"/>
      <c r="AJ223" s="350"/>
      <c r="AK223" s="350"/>
      <c r="AL223" s="350"/>
      <c r="AM223" s="350"/>
      <c r="AN223" s="350"/>
      <c r="AO223" s="350"/>
      <c r="AP223" s="350"/>
      <c r="AQ223" s="350"/>
      <c r="AR223" s="350"/>
      <c r="AS223" s="350"/>
      <c r="AT223" s="350"/>
      <c r="AU223" s="350"/>
      <c r="AV223" s="350"/>
      <c r="AW223" s="350"/>
      <c r="AX223" s="350"/>
      <c r="AY223" s="350"/>
      <c r="AZ223" s="350"/>
      <c r="BA223" s="350"/>
      <c r="BB223" s="350"/>
      <c r="BC223" s="350"/>
      <c r="BD223" s="350"/>
      <c r="BE223" s="350"/>
      <c r="BF223" s="350"/>
      <c r="BG223" s="350"/>
      <c r="BH223" s="350"/>
      <c r="BI223" s="350"/>
      <c r="BJ223" s="350"/>
      <c r="BK223" s="350"/>
      <c r="BL223" s="350"/>
      <c r="BM223" s="350"/>
      <c r="BN223" s="350"/>
      <c r="BO223" s="350"/>
      <c r="BP223" s="350"/>
      <c r="BQ223" s="350"/>
      <c r="BR223" s="350"/>
      <c r="BS223" s="350"/>
      <c r="BT223" s="350"/>
      <c r="BU223" s="350"/>
      <c r="BV223" s="350"/>
    </row>
    <row r="224" spans="2:74" x14ac:dyDescent="0.2">
      <c r="B224" s="270"/>
      <c r="C224" s="263"/>
      <c r="D224" s="263"/>
      <c r="E224" s="349"/>
      <c r="F224" s="350"/>
      <c r="G224" s="350"/>
      <c r="H224" s="350"/>
      <c r="I224" s="350"/>
      <c r="J224" s="350"/>
      <c r="K224" s="350"/>
      <c r="L224" s="350"/>
      <c r="M224" s="350"/>
      <c r="N224" s="350"/>
      <c r="O224" s="350"/>
      <c r="P224" s="350"/>
      <c r="Q224" s="350"/>
      <c r="R224" s="350"/>
      <c r="S224" s="350"/>
      <c r="T224" s="350"/>
      <c r="U224" s="350"/>
      <c r="V224" s="350"/>
      <c r="W224" s="350"/>
      <c r="X224" s="350"/>
      <c r="Y224" s="350"/>
      <c r="Z224" s="350"/>
      <c r="AA224" s="350"/>
      <c r="AB224" s="350"/>
      <c r="AC224" s="350"/>
      <c r="AD224" s="350"/>
      <c r="AE224" s="350"/>
      <c r="AF224" s="350"/>
      <c r="AG224" s="350"/>
      <c r="AH224" s="350"/>
      <c r="AI224" s="350"/>
      <c r="AJ224" s="350"/>
      <c r="AK224" s="350"/>
      <c r="AL224" s="350"/>
      <c r="AM224" s="350"/>
      <c r="AN224" s="350"/>
      <c r="AO224" s="350"/>
      <c r="AP224" s="350"/>
      <c r="AQ224" s="350"/>
      <c r="AR224" s="350"/>
      <c r="AS224" s="350"/>
      <c r="AT224" s="350"/>
      <c r="AU224" s="350"/>
      <c r="AV224" s="350"/>
      <c r="AW224" s="350"/>
      <c r="AX224" s="350"/>
      <c r="AY224" s="350"/>
      <c r="AZ224" s="350"/>
      <c r="BA224" s="350"/>
      <c r="BB224" s="350"/>
      <c r="BC224" s="350"/>
      <c r="BD224" s="350"/>
      <c r="BE224" s="350"/>
      <c r="BF224" s="350"/>
      <c r="BG224" s="350"/>
      <c r="BH224" s="350"/>
      <c r="BI224" s="350"/>
      <c r="BJ224" s="350"/>
      <c r="BK224" s="350"/>
      <c r="BL224" s="350"/>
      <c r="BM224" s="350"/>
      <c r="BN224" s="350"/>
      <c r="BO224" s="350"/>
      <c r="BP224" s="350"/>
      <c r="BQ224" s="350"/>
      <c r="BR224" s="350"/>
      <c r="BS224" s="350"/>
      <c r="BT224" s="350"/>
      <c r="BU224" s="350"/>
      <c r="BV224" s="350"/>
    </row>
    <row r="225" spans="2:74" x14ac:dyDescent="0.2">
      <c r="B225" s="270"/>
      <c r="C225" s="263"/>
      <c r="D225" s="263"/>
      <c r="E225" s="349"/>
      <c r="F225" s="350"/>
      <c r="G225" s="350"/>
      <c r="H225" s="350"/>
      <c r="I225" s="350"/>
      <c r="J225" s="350"/>
      <c r="K225" s="350"/>
      <c r="L225" s="350"/>
      <c r="M225" s="350"/>
      <c r="N225" s="350"/>
      <c r="O225" s="350"/>
      <c r="P225" s="350"/>
      <c r="Q225" s="350"/>
      <c r="R225" s="350"/>
      <c r="S225" s="350"/>
      <c r="T225" s="350"/>
      <c r="U225" s="350"/>
      <c r="V225" s="350"/>
      <c r="W225" s="350"/>
      <c r="X225" s="350"/>
      <c r="Y225" s="350"/>
      <c r="Z225" s="350"/>
      <c r="AA225" s="350"/>
      <c r="AB225" s="350"/>
      <c r="AC225" s="350"/>
      <c r="AD225" s="350"/>
      <c r="AE225" s="350"/>
      <c r="AF225" s="350"/>
      <c r="AG225" s="350"/>
      <c r="AH225" s="350"/>
      <c r="AI225" s="350"/>
      <c r="AJ225" s="350"/>
      <c r="AK225" s="350"/>
      <c r="AL225" s="350"/>
      <c r="AM225" s="350"/>
      <c r="AN225" s="350"/>
      <c r="AO225" s="350"/>
      <c r="AP225" s="350"/>
      <c r="AQ225" s="350"/>
      <c r="AR225" s="350"/>
      <c r="AS225" s="350"/>
      <c r="AT225" s="350"/>
      <c r="AU225" s="350"/>
      <c r="AV225" s="350"/>
      <c r="AW225" s="350"/>
      <c r="AX225" s="350"/>
      <c r="AY225" s="350"/>
      <c r="AZ225" s="350"/>
      <c r="BA225" s="350"/>
      <c r="BB225" s="350"/>
      <c r="BC225" s="350"/>
      <c r="BD225" s="350"/>
      <c r="BE225" s="350"/>
      <c r="BF225" s="350"/>
      <c r="BG225" s="350"/>
      <c r="BH225" s="350"/>
      <c r="BI225" s="350"/>
      <c r="BJ225" s="350"/>
      <c r="BK225" s="350"/>
      <c r="BL225" s="350"/>
      <c r="BM225" s="350"/>
      <c r="BN225" s="350"/>
      <c r="BO225" s="350"/>
      <c r="BP225" s="350"/>
      <c r="BQ225" s="350"/>
      <c r="BR225" s="350"/>
      <c r="BS225" s="350"/>
      <c r="BT225" s="350"/>
      <c r="BU225" s="350"/>
      <c r="BV225" s="350"/>
    </row>
    <row r="226" spans="2:74" x14ac:dyDescent="0.2">
      <c r="B226" s="270"/>
      <c r="C226" s="263"/>
      <c r="D226" s="263"/>
      <c r="E226" s="349"/>
      <c r="F226" s="350"/>
      <c r="G226" s="350"/>
      <c r="H226" s="350"/>
      <c r="I226" s="350"/>
      <c r="J226" s="350"/>
      <c r="K226" s="350"/>
      <c r="L226" s="350"/>
      <c r="M226" s="350"/>
      <c r="N226" s="350"/>
      <c r="O226" s="350"/>
      <c r="P226" s="350"/>
      <c r="Q226" s="350"/>
      <c r="R226" s="350"/>
      <c r="S226" s="350"/>
      <c r="T226" s="350"/>
      <c r="U226" s="350"/>
      <c r="V226" s="350"/>
      <c r="W226" s="350"/>
      <c r="X226" s="350"/>
      <c r="Y226" s="350"/>
      <c r="Z226" s="350"/>
      <c r="AA226" s="350"/>
      <c r="AB226" s="350"/>
      <c r="AC226" s="350"/>
      <c r="AD226" s="350"/>
      <c r="AE226" s="350"/>
      <c r="AF226" s="350"/>
      <c r="AG226" s="350"/>
      <c r="AH226" s="350"/>
      <c r="AI226" s="350"/>
      <c r="AJ226" s="350"/>
      <c r="AK226" s="350"/>
      <c r="AL226" s="350"/>
      <c r="AM226" s="350"/>
      <c r="AN226" s="350"/>
      <c r="AO226" s="350"/>
      <c r="AP226" s="350"/>
      <c r="AQ226" s="350"/>
      <c r="AR226" s="350"/>
      <c r="AS226" s="350"/>
      <c r="AT226" s="350"/>
      <c r="AU226" s="350"/>
      <c r="AV226" s="350"/>
      <c r="AW226" s="350"/>
      <c r="AX226" s="350"/>
      <c r="AY226" s="350"/>
      <c r="AZ226" s="350"/>
      <c r="BA226" s="350"/>
      <c r="BB226" s="350"/>
      <c r="BC226" s="350"/>
      <c r="BD226" s="350"/>
      <c r="BE226" s="350"/>
      <c r="BF226" s="350"/>
      <c r="BG226" s="350"/>
      <c r="BH226" s="350"/>
      <c r="BI226" s="350"/>
      <c r="BJ226" s="350"/>
      <c r="BK226" s="350"/>
      <c r="BL226" s="350"/>
      <c r="BM226" s="350"/>
      <c r="BN226" s="350"/>
      <c r="BO226" s="350"/>
      <c r="BP226" s="350"/>
      <c r="BQ226" s="350"/>
      <c r="BR226" s="350"/>
      <c r="BS226" s="350"/>
      <c r="BT226" s="350"/>
      <c r="BU226" s="350"/>
      <c r="BV226" s="350"/>
    </row>
    <row r="227" spans="2:74" x14ac:dyDescent="0.2">
      <c r="B227" s="270"/>
      <c r="C227" s="263"/>
      <c r="D227" s="263"/>
      <c r="E227" s="349"/>
      <c r="F227" s="350"/>
      <c r="G227" s="350"/>
      <c r="H227" s="350"/>
      <c r="I227" s="350"/>
      <c r="J227" s="350"/>
      <c r="K227" s="350"/>
      <c r="L227" s="350"/>
      <c r="M227" s="350"/>
      <c r="N227" s="350"/>
      <c r="O227" s="350"/>
      <c r="P227" s="350"/>
      <c r="Q227" s="350"/>
      <c r="R227" s="350"/>
      <c r="S227" s="350"/>
      <c r="T227" s="350"/>
      <c r="U227" s="350"/>
      <c r="V227" s="350"/>
      <c r="W227" s="350"/>
      <c r="X227" s="350"/>
      <c r="Y227" s="350"/>
      <c r="Z227" s="350"/>
      <c r="AA227" s="350"/>
      <c r="AB227" s="350"/>
      <c r="AC227" s="350"/>
      <c r="AD227" s="350"/>
      <c r="AE227" s="350"/>
      <c r="AF227" s="350"/>
      <c r="AG227" s="350"/>
      <c r="AH227" s="350"/>
      <c r="AI227" s="350"/>
      <c r="AJ227" s="350"/>
      <c r="AK227" s="350"/>
      <c r="AL227" s="350"/>
      <c r="AM227" s="350"/>
      <c r="AN227" s="350"/>
      <c r="AO227" s="350"/>
      <c r="AP227" s="350"/>
      <c r="AQ227" s="350"/>
      <c r="AR227" s="350"/>
      <c r="AS227" s="350"/>
      <c r="AT227" s="350"/>
      <c r="AU227" s="350"/>
      <c r="AV227" s="350"/>
      <c r="AW227" s="350"/>
      <c r="AX227" s="350"/>
      <c r="AY227" s="350"/>
      <c r="AZ227" s="350"/>
      <c r="BA227" s="350"/>
      <c r="BB227" s="350"/>
      <c r="BC227" s="350"/>
      <c r="BD227" s="350"/>
      <c r="BE227" s="350"/>
      <c r="BF227" s="350"/>
      <c r="BG227" s="350"/>
      <c r="BH227" s="350"/>
      <c r="BI227" s="350"/>
      <c r="BJ227" s="350"/>
      <c r="BK227" s="350"/>
      <c r="BL227" s="350"/>
      <c r="BM227" s="350"/>
      <c r="BN227" s="350"/>
      <c r="BO227" s="350"/>
      <c r="BP227" s="350"/>
      <c r="BQ227" s="350"/>
      <c r="BR227" s="350"/>
      <c r="BS227" s="350"/>
      <c r="BT227" s="350"/>
      <c r="BU227" s="350"/>
      <c r="BV227" s="350"/>
    </row>
    <row r="228" spans="2:74" x14ac:dyDescent="0.2">
      <c r="B228" s="270"/>
      <c r="C228" s="263"/>
      <c r="D228" s="263"/>
      <c r="E228" s="349"/>
      <c r="F228" s="350"/>
      <c r="G228" s="350"/>
      <c r="H228" s="350"/>
      <c r="I228" s="350"/>
      <c r="J228" s="350"/>
      <c r="K228" s="350"/>
      <c r="L228" s="350"/>
      <c r="M228" s="350"/>
      <c r="N228" s="350"/>
      <c r="O228" s="350"/>
      <c r="P228" s="350"/>
      <c r="Q228" s="350"/>
      <c r="R228" s="350"/>
      <c r="S228" s="350"/>
      <c r="T228" s="350"/>
      <c r="U228" s="350"/>
      <c r="V228" s="350"/>
      <c r="W228" s="350"/>
      <c r="X228" s="350"/>
      <c r="Y228" s="350"/>
      <c r="Z228" s="350"/>
      <c r="AA228" s="350"/>
      <c r="AB228" s="350"/>
      <c r="AC228" s="350"/>
      <c r="AD228" s="350"/>
      <c r="AE228" s="350"/>
      <c r="AF228" s="350"/>
      <c r="AG228" s="350"/>
      <c r="AH228" s="350"/>
      <c r="AI228" s="350"/>
      <c r="AJ228" s="350"/>
      <c r="AK228" s="350"/>
      <c r="AL228" s="350"/>
      <c r="AM228" s="350"/>
      <c r="AN228" s="350"/>
      <c r="AO228" s="350"/>
      <c r="AP228" s="350"/>
      <c r="AQ228" s="350"/>
      <c r="AR228" s="350"/>
      <c r="AS228" s="350"/>
      <c r="AT228" s="350"/>
      <c r="AU228" s="350"/>
      <c r="AV228" s="350"/>
      <c r="AW228" s="350"/>
      <c r="AX228" s="350"/>
      <c r="AY228" s="350"/>
      <c r="AZ228" s="350"/>
      <c r="BA228" s="350"/>
      <c r="BB228" s="350"/>
      <c r="BC228" s="350"/>
      <c r="BD228" s="350"/>
      <c r="BE228" s="350"/>
      <c r="BF228" s="350"/>
      <c r="BG228" s="350"/>
      <c r="BH228" s="350"/>
      <c r="BI228" s="350"/>
      <c r="BJ228" s="350"/>
      <c r="BK228" s="350"/>
      <c r="BL228" s="350"/>
      <c r="BM228" s="350"/>
      <c r="BN228" s="350"/>
      <c r="BO228" s="350"/>
      <c r="BP228" s="350"/>
      <c r="BQ228" s="350"/>
      <c r="BR228" s="350"/>
      <c r="BS228" s="350"/>
      <c r="BT228" s="350"/>
      <c r="BU228" s="350"/>
      <c r="BV228" s="350"/>
    </row>
    <row r="229" spans="2:74" x14ac:dyDescent="0.2">
      <c r="B229" s="270"/>
      <c r="C229" s="263"/>
      <c r="D229" s="263"/>
      <c r="E229" s="349"/>
      <c r="F229" s="350"/>
      <c r="G229" s="350"/>
      <c r="H229" s="350"/>
      <c r="I229" s="350"/>
      <c r="J229" s="350"/>
      <c r="K229" s="350"/>
      <c r="L229" s="350"/>
      <c r="M229" s="350"/>
      <c r="N229" s="350"/>
      <c r="O229" s="350"/>
      <c r="P229" s="350"/>
      <c r="Q229" s="350"/>
      <c r="R229" s="350"/>
      <c r="S229" s="350"/>
      <c r="T229" s="350"/>
      <c r="U229" s="350"/>
      <c r="V229" s="350"/>
      <c r="W229" s="350"/>
      <c r="X229" s="350"/>
      <c r="Y229" s="350"/>
      <c r="Z229" s="350"/>
      <c r="AA229" s="350"/>
      <c r="AB229" s="350"/>
      <c r="AC229" s="350"/>
      <c r="AD229" s="350"/>
      <c r="AE229" s="350"/>
      <c r="AF229" s="350"/>
      <c r="AG229" s="350"/>
      <c r="AH229" s="350"/>
      <c r="AI229" s="350"/>
      <c r="AJ229" s="350"/>
      <c r="AK229" s="350"/>
      <c r="AL229" s="350"/>
      <c r="AM229" s="350"/>
      <c r="AN229" s="350"/>
      <c r="AO229" s="350"/>
      <c r="AP229" s="350"/>
      <c r="AQ229" s="350"/>
      <c r="AR229" s="350"/>
      <c r="AS229" s="350"/>
      <c r="AT229" s="350"/>
      <c r="AU229" s="350"/>
      <c r="AV229" s="350"/>
      <c r="AW229" s="350"/>
      <c r="AX229" s="350"/>
      <c r="AY229" s="350"/>
      <c r="AZ229" s="350"/>
      <c r="BA229" s="350"/>
      <c r="BB229" s="350"/>
      <c r="BC229" s="350"/>
      <c r="BD229" s="350"/>
      <c r="BE229" s="350"/>
      <c r="BF229" s="350"/>
      <c r="BG229" s="350"/>
      <c r="BH229" s="350"/>
      <c r="BI229" s="350"/>
      <c r="BJ229" s="350"/>
      <c r="BK229" s="350"/>
      <c r="BL229" s="350"/>
      <c r="BM229" s="350"/>
      <c r="BN229" s="350"/>
      <c r="BO229" s="350"/>
      <c r="BP229" s="350"/>
      <c r="BQ229" s="350"/>
      <c r="BR229" s="350"/>
      <c r="BS229" s="350"/>
      <c r="BT229" s="350"/>
      <c r="BU229" s="350"/>
      <c r="BV229" s="350"/>
    </row>
    <row r="230" spans="2:74" x14ac:dyDescent="0.2">
      <c r="B230" s="270"/>
      <c r="C230" s="263"/>
      <c r="D230" s="263"/>
      <c r="E230" s="349"/>
      <c r="F230" s="350"/>
      <c r="G230" s="350"/>
      <c r="H230" s="350"/>
      <c r="I230" s="350"/>
      <c r="J230" s="350"/>
      <c r="K230" s="350"/>
      <c r="L230" s="350"/>
      <c r="M230" s="350"/>
      <c r="N230" s="350"/>
      <c r="O230" s="350"/>
      <c r="P230" s="350"/>
      <c r="Q230" s="350"/>
      <c r="R230" s="350"/>
      <c r="S230" s="350"/>
      <c r="T230" s="350"/>
      <c r="U230" s="350"/>
      <c r="V230" s="350"/>
      <c r="W230" s="350"/>
      <c r="X230" s="350"/>
      <c r="Y230" s="350"/>
      <c r="Z230" s="350"/>
      <c r="AA230" s="350"/>
      <c r="AB230" s="350"/>
      <c r="AC230" s="350"/>
      <c r="AD230" s="350"/>
      <c r="AE230" s="350"/>
      <c r="AF230" s="350"/>
      <c r="AG230" s="350"/>
      <c r="AH230" s="350"/>
      <c r="AI230" s="350"/>
      <c r="AJ230" s="350"/>
      <c r="AK230" s="350"/>
      <c r="AL230" s="350"/>
      <c r="AM230" s="350"/>
      <c r="AN230" s="350"/>
      <c r="AO230" s="350"/>
      <c r="AP230" s="350"/>
      <c r="AQ230" s="350"/>
      <c r="AR230" s="350"/>
      <c r="AS230" s="350"/>
      <c r="AT230" s="350"/>
      <c r="AU230" s="350"/>
      <c r="AV230" s="350"/>
      <c r="AW230" s="350"/>
      <c r="AX230" s="350"/>
      <c r="AY230" s="350"/>
      <c r="AZ230" s="350"/>
      <c r="BA230" s="350"/>
      <c r="BB230" s="350"/>
      <c r="BC230" s="350"/>
      <c r="BD230" s="350"/>
      <c r="BE230" s="350"/>
      <c r="BF230" s="350"/>
      <c r="BG230" s="350"/>
      <c r="BH230" s="350"/>
      <c r="BI230" s="350"/>
      <c r="BJ230" s="350"/>
      <c r="BK230" s="350"/>
      <c r="BL230" s="350"/>
      <c r="BM230" s="350"/>
      <c r="BN230" s="350"/>
      <c r="BO230" s="350"/>
      <c r="BP230" s="350"/>
      <c r="BQ230" s="350"/>
      <c r="BR230" s="350"/>
      <c r="BS230" s="350"/>
      <c r="BT230" s="350"/>
      <c r="BU230" s="350"/>
      <c r="BV230" s="350"/>
    </row>
    <row r="231" spans="2:74" x14ac:dyDescent="0.2">
      <c r="B231" s="270"/>
      <c r="C231" s="263"/>
      <c r="D231" s="263"/>
      <c r="E231" s="349"/>
      <c r="F231" s="350"/>
      <c r="G231" s="350"/>
      <c r="H231" s="350"/>
      <c r="I231" s="350"/>
      <c r="J231" s="350"/>
      <c r="K231" s="350"/>
      <c r="L231" s="350"/>
      <c r="M231" s="350"/>
      <c r="N231" s="350"/>
      <c r="O231" s="350"/>
      <c r="P231" s="350"/>
      <c r="Q231" s="350"/>
      <c r="R231" s="350"/>
      <c r="S231" s="350"/>
      <c r="T231" s="350"/>
      <c r="U231" s="350"/>
      <c r="V231" s="350"/>
      <c r="W231" s="350"/>
      <c r="X231" s="350"/>
      <c r="Y231" s="350"/>
      <c r="Z231" s="350"/>
      <c r="AA231" s="350"/>
      <c r="AB231" s="350"/>
      <c r="AC231" s="350"/>
      <c r="AD231" s="350"/>
      <c r="AE231" s="350"/>
      <c r="AF231" s="350"/>
      <c r="AG231" s="350"/>
      <c r="AH231" s="350"/>
      <c r="AI231" s="350"/>
      <c r="AJ231" s="350"/>
      <c r="AK231" s="350"/>
      <c r="AL231" s="350"/>
      <c r="AM231" s="350"/>
      <c r="AN231" s="350"/>
      <c r="AO231" s="350"/>
      <c r="AP231" s="350"/>
      <c r="AQ231" s="350"/>
      <c r="AR231" s="350"/>
      <c r="AS231" s="350"/>
      <c r="AT231" s="350"/>
      <c r="AU231" s="350"/>
      <c r="AV231" s="350"/>
      <c r="AW231" s="350"/>
      <c r="AX231" s="350"/>
      <c r="AY231" s="350"/>
      <c r="AZ231" s="350"/>
      <c r="BA231" s="350"/>
      <c r="BB231" s="350"/>
      <c r="BC231" s="350"/>
      <c r="BD231" s="350"/>
      <c r="BE231" s="350"/>
      <c r="BF231" s="350"/>
      <c r="BG231" s="350"/>
      <c r="BH231" s="350"/>
      <c r="BI231" s="350"/>
      <c r="BJ231" s="350"/>
      <c r="BK231" s="350"/>
      <c r="BL231" s="350"/>
      <c r="BM231" s="350"/>
      <c r="BN231" s="350"/>
      <c r="BO231" s="350"/>
      <c r="BP231" s="350"/>
      <c r="BQ231" s="350"/>
      <c r="BR231" s="350"/>
      <c r="BS231" s="350"/>
      <c r="BT231" s="350"/>
      <c r="BU231" s="350"/>
      <c r="BV231" s="350"/>
    </row>
    <row r="232" spans="2:74" x14ac:dyDescent="0.2">
      <c r="B232" s="270"/>
      <c r="C232" s="263"/>
      <c r="D232" s="263"/>
      <c r="E232" s="349"/>
      <c r="F232" s="350"/>
      <c r="G232" s="350"/>
      <c r="H232" s="350"/>
      <c r="I232" s="350"/>
      <c r="J232" s="350"/>
      <c r="K232" s="350"/>
      <c r="L232" s="350"/>
      <c r="M232" s="350"/>
      <c r="N232" s="350"/>
      <c r="O232" s="350"/>
      <c r="P232" s="350"/>
      <c r="Q232" s="350"/>
      <c r="R232" s="350"/>
      <c r="S232" s="350"/>
      <c r="T232" s="350"/>
      <c r="U232" s="350"/>
      <c r="V232" s="350"/>
      <c r="W232" s="350"/>
      <c r="X232" s="350"/>
      <c r="Y232" s="350"/>
      <c r="Z232" s="350"/>
      <c r="AA232" s="350"/>
      <c r="AB232" s="350"/>
      <c r="AC232" s="350"/>
      <c r="AD232" s="350"/>
      <c r="AE232" s="350"/>
      <c r="AF232" s="350"/>
      <c r="AG232" s="350"/>
      <c r="AH232" s="350"/>
      <c r="AI232" s="350"/>
      <c r="AJ232" s="350"/>
      <c r="AK232" s="350"/>
      <c r="AL232" s="350"/>
      <c r="AM232" s="350"/>
      <c r="AN232" s="350"/>
      <c r="AO232" s="350"/>
      <c r="AP232" s="350"/>
      <c r="AQ232" s="350"/>
      <c r="AR232" s="350"/>
      <c r="AS232" s="350"/>
      <c r="AT232" s="350"/>
      <c r="AU232" s="350"/>
      <c r="AV232" s="350"/>
      <c r="AW232" s="350"/>
      <c r="AX232" s="350"/>
      <c r="AY232" s="350"/>
      <c r="AZ232" s="350"/>
      <c r="BA232" s="350"/>
      <c r="BB232" s="350"/>
      <c r="BC232" s="350"/>
      <c r="BD232" s="350"/>
      <c r="BE232" s="350"/>
      <c r="BF232" s="350"/>
      <c r="BG232" s="350"/>
      <c r="BH232" s="350"/>
      <c r="BI232" s="350"/>
      <c r="BJ232" s="350"/>
      <c r="BK232" s="350"/>
      <c r="BL232" s="350"/>
      <c r="BM232" s="350"/>
      <c r="BN232" s="350"/>
      <c r="BO232" s="350"/>
      <c r="BP232" s="350"/>
      <c r="BQ232" s="350"/>
      <c r="BR232" s="350"/>
      <c r="BS232" s="350"/>
      <c r="BT232" s="350"/>
      <c r="BU232" s="350"/>
      <c r="BV232" s="350"/>
    </row>
    <row r="233" spans="2:74" x14ac:dyDescent="0.2">
      <c r="B233" s="270"/>
      <c r="C233" s="263"/>
      <c r="D233" s="263"/>
      <c r="E233" s="349"/>
      <c r="F233" s="350"/>
      <c r="G233" s="350"/>
      <c r="H233" s="350"/>
      <c r="I233" s="350"/>
      <c r="J233" s="350"/>
      <c r="K233" s="350"/>
      <c r="L233" s="350"/>
      <c r="M233" s="350"/>
      <c r="N233" s="350"/>
      <c r="O233" s="350"/>
      <c r="P233" s="350"/>
      <c r="Q233" s="350"/>
      <c r="R233" s="350"/>
      <c r="S233" s="350"/>
      <c r="T233" s="350"/>
      <c r="U233" s="350"/>
      <c r="V233" s="350"/>
      <c r="W233" s="350"/>
      <c r="X233" s="350"/>
      <c r="Y233" s="350"/>
      <c r="Z233" s="350"/>
      <c r="AA233" s="350"/>
      <c r="AB233" s="350"/>
      <c r="AC233" s="350"/>
      <c r="AD233" s="350"/>
      <c r="AE233" s="350"/>
      <c r="AF233" s="350"/>
      <c r="AG233" s="350"/>
      <c r="AH233" s="350"/>
      <c r="AI233" s="350"/>
      <c r="AJ233" s="350"/>
      <c r="AK233" s="350"/>
      <c r="AL233" s="350"/>
      <c r="AM233" s="350"/>
      <c r="AN233" s="350"/>
      <c r="AO233" s="350"/>
      <c r="AP233" s="350"/>
      <c r="AQ233" s="350"/>
      <c r="AR233" s="350"/>
      <c r="AS233" s="350"/>
      <c r="AT233" s="350"/>
      <c r="AU233" s="350"/>
      <c r="AV233" s="350"/>
      <c r="AW233" s="350"/>
      <c r="AX233" s="350"/>
      <c r="AY233" s="350"/>
      <c r="AZ233" s="350"/>
      <c r="BA233" s="350"/>
      <c r="BB233" s="350"/>
      <c r="BC233" s="350"/>
      <c r="BD233" s="350"/>
      <c r="BE233" s="350"/>
      <c r="BF233" s="350"/>
      <c r="BG233" s="350"/>
      <c r="BH233" s="350"/>
      <c r="BI233" s="350"/>
      <c r="BJ233" s="350"/>
      <c r="BK233" s="350"/>
      <c r="BL233" s="350"/>
      <c r="BM233" s="350"/>
      <c r="BN233" s="350"/>
      <c r="BO233" s="350"/>
      <c r="BP233" s="350"/>
      <c r="BQ233" s="350"/>
      <c r="BR233" s="350"/>
      <c r="BS233" s="350"/>
      <c r="BT233" s="350"/>
      <c r="BU233" s="350"/>
      <c r="BV233" s="350"/>
    </row>
    <row r="234" spans="2:74" x14ac:dyDescent="0.2">
      <c r="B234" s="270"/>
      <c r="C234" s="263"/>
      <c r="D234" s="263"/>
      <c r="E234" s="349"/>
      <c r="F234" s="350"/>
      <c r="G234" s="350"/>
      <c r="H234" s="350"/>
      <c r="I234" s="350"/>
      <c r="J234" s="350"/>
      <c r="K234" s="350"/>
      <c r="L234" s="350"/>
      <c r="M234" s="350"/>
      <c r="N234" s="350"/>
      <c r="O234" s="350"/>
      <c r="P234" s="350"/>
      <c r="Q234" s="350"/>
      <c r="R234" s="350"/>
      <c r="S234" s="350"/>
      <c r="T234" s="350"/>
      <c r="U234" s="350"/>
      <c r="V234" s="350"/>
      <c r="W234" s="350"/>
      <c r="X234" s="350"/>
      <c r="Y234" s="350"/>
      <c r="Z234" s="350"/>
      <c r="AA234" s="350"/>
      <c r="AB234" s="350"/>
      <c r="AC234" s="350"/>
      <c r="AD234" s="350"/>
      <c r="AE234" s="350"/>
      <c r="AF234" s="350"/>
      <c r="AG234" s="350"/>
      <c r="AH234" s="350"/>
      <c r="AI234" s="350"/>
      <c r="AJ234" s="350"/>
      <c r="AK234" s="350"/>
      <c r="AL234" s="350"/>
      <c r="AM234" s="350"/>
      <c r="AN234" s="350"/>
      <c r="AO234" s="350"/>
      <c r="AP234" s="350"/>
      <c r="AQ234" s="350"/>
      <c r="AR234" s="350"/>
      <c r="AS234" s="350"/>
      <c r="AT234" s="350"/>
      <c r="AU234" s="350"/>
      <c r="AV234" s="350"/>
      <c r="AW234" s="350"/>
      <c r="AX234" s="350"/>
      <c r="AY234" s="350"/>
      <c r="AZ234" s="350"/>
      <c r="BA234" s="350"/>
      <c r="BB234" s="350"/>
      <c r="BC234" s="350"/>
      <c r="BD234" s="350"/>
      <c r="BE234" s="350"/>
      <c r="BF234" s="350"/>
      <c r="BG234" s="350"/>
      <c r="BH234" s="350"/>
      <c r="BI234" s="350"/>
      <c r="BJ234" s="350"/>
      <c r="BK234" s="350"/>
      <c r="BL234" s="350"/>
      <c r="BM234" s="350"/>
      <c r="BN234" s="350"/>
      <c r="BO234" s="350"/>
      <c r="BP234" s="350"/>
      <c r="BQ234" s="350"/>
      <c r="BR234" s="350"/>
      <c r="BS234" s="350"/>
      <c r="BT234" s="350"/>
      <c r="BU234" s="350"/>
      <c r="BV234" s="350"/>
    </row>
    <row r="235" spans="2:74" x14ac:dyDescent="0.2">
      <c r="B235" s="270"/>
      <c r="C235" s="263"/>
      <c r="D235" s="263"/>
      <c r="E235" s="349"/>
      <c r="F235" s="350"/>
      <c r="G235" s="350"/>
      <c r="H235" s="350"/>
      <c r="I235" s="350"/>
      <c r="J235" s="350"/>
      <c r="K235" s="350"/>
      <c r="L235" s="350"/>
      <c r="M235" s="350"/>
      <c r="N235" s="350"/>
      <c r="O235" s="350"/>
      <c r="P235" s="350"/>
      <c r="Q235" s="350"/>
      <c r="R235" s="350"/>
      <c r="S235" s="350"/>
      <c r="T235" s="350"/>
      <c r="U235" s="350"/>
      <c r="V235" s="350"/>
      <c r="W235" s="350"/>
      <c r="X235" s="350"/>
      <c r="Y235" s="350"/>
      <c r="Z235" s="350"/>
      <c r="AA235" s="350"/>
      <c r="AB235" s="350"/>
      <c r="AC235" s="350"/>
      <c r="AD235" s="350"/>
      <c r="AE235" s="350"/>
      <c r="AF235" s="350"/>
      <c r="AG235" s="350"/>
      <c r="AH235" s="350"/>
      <c r="AI235" s="350"/>
      <c r="AJ235" s="350"/>
      <c r="AK235" s="350"/>
      <c r="AL235" s="350"/>
      <c r="AM235" s="350"/>
      <c r="AN235" s="350"/>
      <c r="AO235" s="350"/>
      <c r="AP235" s="350"/>
      <c r="AQ235" s="350"/>
      <c r="AR235" s="350"/>
      <c r="AS235" s="350"/>
      <c r="AT235" s="350"/>
      <c r="AU235" s="350"/>
      <c r="AV235" s="350"/>
      <c r="AW235" s="350"/>
      <c r="AX235" s="350"/>
      <c r="AY235" s="350"/>
      <c r="AZ235" s="350"/>
      <c r="BA235" s="350"/>
      <c r="BB235" s="350"/>
      <c r="BC235" s="350"/>
      <c r="BD235" s="350"/>
      <c r="BE235" s="350"/>
      <c r="BF235" s="350"/>
      <c r="BG235" s="350"/>
      <c r="BH235" s="350"/>
      <c r="BI235" s="350"/>
      <c r="BJ235" s="350"/>
      <c r="BK235" s="350"/>
      <c r="BL235" s="350"/>
      <c r="BM235" s="350"/>
      <c r="BN235" s="350"/>
      <c r="BO235" s="350"/>
      <c r="BP235" s="350"/>
      <c r="BQ235" s="350"/>
      <c r="BR235" s="350"/>
      <c r="BS235" s="350"/>
      <c r="BT235" s="350"/>
      <c r="BU235" s="350"/>
      <c r="BV235" s="350"/>
    </row>
    <row r="236" spans="2:74" x14ac:dyDescent="0.2">
      <c r="B236" s="270"/>
      <c r="C236" s="263"/>
      <c r="D236" s="263"/>
      <c r="E236" s="349"/>
      <c r="F236" s="350"/>
      <c r="G236" s="350"/>
      <c r="H236" s="350"/>
      <c r="I236" s="350"/>
      <c r="J236" s="350"/>
      <c r="K236" s="350"/>
      <c r="L236" s="350"/>
      <c r="M236" s="350"/>
      <c r="N236" s="350"/>
      <c r="O236" s="350"/>
      <c r="P236" s="350"/>
      <c r="Q236" s="350"/>
      <c r="R236" s="350"/>
      <c r="S236" s="350"/>
      <c r="T236" s="350"/>
      <c r="U236" s="350"/>
      <c r="V236" s="350"/>
      <c r="W236" s="350"/>
      <c r="X236" s="350"/>
      <c r="Y236" s="350"/>
      <c r="Z236" s="350"/>
      <c r="AA236" s="350"/>
      <c r="AB236" s="350"/>
      <c r="AC236" s="350"/>
      <c r="AD236" s="350"/>
      <c r="AE236" s="350"/>
      <c r="AF236" s="350"/>
      <c r="AG236" s="350"/>
      <c r="AH236" s="350"/>
      <c r="AI236" s="350"/>
      <c r="AJ236" s="350"/>
      <c r="AK236" s="350"/>
      <c r="AL236" s="350"/>
      <c r="AM236" s="350"/>
      <c r="AN236" s="350"/>
      <c r="AO236" s="350"/>
      <c r="AP236" s="350"/>
      <c r="AQ236" s="350"/>
      <c r="AR236" s="350"/>
      <c r="AS236" s="350"/>
      <c r="AT236" s="350"/>
      <c r="AU236" s="350"/>
      <c r="AV236" s="350"/>
      <c r="AW236" s="350"/>
      <c r="AX236" s="350"/>
      <c r="AY236" s="350"/>
      <c r="AZ236" s="350"/>
      <c r="BA236" s="350"/>
      <c r="BB236" s="350"/>
      <c r="BC236" s="350"/>
      <c r="BD236" s="350"/>
      <c r="BE236" s="350"/>
      <c r="BF236" s="350"/>
      <c r="BG236" s="350"/>
      <c r="BH236" s="350"/>
      <c r="BI236" s="350"/>
      <c r="BJ236" s="350"/>
      <c r="BK236" s="350"/>
      <c r="BL236" s="350"/>
      <c r="BM236" s="350"/>
      <c r="BN236" s="350"/>
      <c r="BO236" s="350"/>
      <c r="BP236" s="350"/>
      <c r="BQ236" s="350"/>
      <c r="BR236" s="350"/>
      <c r="BS236" s="350"/>
      <c r="BT236" s="350"/>
      <c r="BU236" s="350"/>
      <c r="BV236" s="350"/>
    </row>
    <row r="237" spans="2:74" x14ac:dyDescent="0.2">
      <c r="B237" s="270"/>
      <c r="C237" s="263"/>
      <c r="D237" s="263"/>
      <c r="E237" s="349"/>
      <c r="F237" s="350"/>
      <c r="G237" s="350"/>
      <c r="H237" s="350"/>
      <c r="I237" s="350"/>
      <c r="J237" s="350"/>
      <c r="K237" s="350"/>
      <c r="L237" s="350"/>
      <c r="M237" s="350"/>
      <c r="N237" s="350"/>
      <c r="O237" s="350"/>
      <c r="P237" s="350"/>
      <c r="Q237" s="350"/>
      <c r="R237" s="350"/>
      <c r="S237" s="350"/>
      <c r="T237" s="350"/>
      <c r="U237" s="350"/>
      <c r="V237" s="350"/>
      <c r="W237" s="350"/>
      <c r="X237" s="350"/>
      <c r="Y237" s="350"/>
      <c r="Z237" s="350"/>
      <c r="AA237" s="350"/>
      <c r="AB237" s="350"/>
      <c r="AC237" s="350"/>
      <c r="AD237" s="350"/>
      <c r="AE237" s="350"/>
      <c r="AF237" s="350"/>
      <c r="AG237" s="350"/>
      <c r="AH237" s="350"/>
      <c r="AI237" s="350"/>
      <c r="AJ237" s="350"/>
      <c r="AK237" s="350"/>
      <c r="AL237" s="350"/>
      <c r="AM237" s="350"/>
      <c r="AN237" s="350"/>
      <c r="AO237" s="350"/>
      <c r="AP237" s="350"/>
      <c r="AQ237" s="350"/>
      <c r="AR237" s="350"/>
      <c r="AS237" s="350"/>
      <c r="AT237" s="350"/>
      <c r="AU237" s="350"/>
      <c r="AV237" s="350"/>
      <c r="AW237" s="350"/>
      <c r="AX237" s="350"/>
      <c r="AY237" s="350"/>
      <c r="AZ237" s="350"/>
      <c r="BA237" s="350"/>
      <c r="BB237" s="350"/>
      <c r="BC237" s="350"/>
      <c r="BD237" s="350"/>
      <c r="BE237" s="350"/>
      <c r="BF237" s="350"/>
      <c r="BG237" s="350"/>
      <c r="BH237" s="350"/>
      <c r="BI237" s="350"/>
      <c r="BJ237" s="350"/>
      <c r="BK237" s="350"/>
      <c r="BL237" s="350"/>
      <c r="BM237" s="350"/>
      <c r="BN237" s="350"/>
      <c r="BO237" s="350"/>
      <c r="BP237" s="350"/>
      <c r="BQ237" s="350"/>
      <c r="BR237" s="350"/>
      <c r="BS237" s="350"/>
      <c r="BT237" s="350"/>
      <c r="BU237" s="350"/>
      <c r="BV237" s="350"/>
    </row>
    <row r="238" spans="2:74" x14ac:dyDescent="0.2">
      <c r="B238" s="270"/>
      <c r="C238" s="263"/>
      <c r="D238" s="263"/>
      <c r="E238" s="349"/>
      <c r="F238" s="350"/>
      <c r="G238" s="350"/>
      <c r="H238" s="350"/>
      <c r="I238" s="350"/>
      <c r="J238" s="350"/>
      <c r="K238" s="350"/>
      <c r="L238" s="350"/>
      <c r="M238" s="350"/>
      <c r="N238" s="350"/>
      <c r="O238" s="350"/>
      <c r="P238" s="350"/>
      <c r="Q238" s="350"/>
      <c r="R238" s="350"/>
      <c r="S238" s="350"/>
      <c r="T238" s="350"/>
      <c r="U238" s="350"/>
      <c r="V238" s="350"/>
      <c r="W238" s="350"/>
      <c r="X238" s="350"/>
      <c r="Y238" s="350"/>
      <c r="Z238" s="350"/>
      <c r="AA238" s="350"/>
      <c r="AB238" s="350"/>
      <c r="AC238" s="350"/>
      <c r="AD238" s="350"/>
      <c r="AE238" s="350"/>
      <c r="AF238" s="350"/>
      <c r="AG238" s="350"/>
      <c r="AH238" s="350"/>
      <c r="AI238" s="350"/>
      <c r="AJ238" s="350"/>
      <c r="AK238" s="350"/>
      <c r="AL238" s="350"/>
      <c r="AM238" s="350"/>
      <c r="AN238" s="350"/>
      <c r="AO238" s="350"/>
      <c r="AP238" s="350"/>
      <c r="AQ238" s="350"/>
      <c r="AR238" s="350"/>
      <c r="AS238" s="350"/>
      <c r="AT238" s="350"/>
      <c r="AU238" s="350"/>
      <c r="AV238" s="350"/>
      <c r="AW238" s="350"/>
      <c r="AX238" s="350"/>
      <c r="AY238" s="350"/>
      <c r="AZ238" s="350"/>
      <c r="BA238" s="350"/>
      <c r="BB238" s="350"/>
      <c r="BC238" s="350"/>
      <c r="BD238" s="350"/>
      <c r="BE238" s="350"/>
      <c r="BF238" s="350"/>
      <c r="BG238" s="350"/>
      <c r="BH238" s="350"/>
      <c r="BI238" s="350"/>
      <c r="BJ238" s="350"/>
      <c r="BK238" s="350"/>
      <c r="BL238" s="350"/>
      <c r="BM238" s="350"/>
      <c r="BN238" s="350"/>
      <c r="BO238" s="350"/>
      <c r="BP238" s="350"/>
      <c r="BQ238" s="350"/>
      <c r="BR238" s="350"/>
      <c r="BS238" s="350"/>
      <c r="BT238" s="350"/>
      <c r="BU238" s="350"/>
      <c r="BV238" s="350"/>
    </row>
    <row r="239" spans="2:74" x14ac:dyDescent="0.2">
      <c r="B239" s="270"/>
      <c r="C239" s="263"/>
      <c r="D239" s="263"/>
      <c r="E239" s="349"/>
      <c r="F239" s="350"/>
      <c r="G239" s="350"/>
      <c r="H239" s="350"/>
      <c r="I239" s="350"/>
      <c r="J239" s="350"/>
      <c r="K239" s="350"/>
      <c r="L239" s="350"/>
      <c r="M239" s="350"/>
      <c r="N239" s="350"/>
      <c r="O239" s="350"/>
      <c r="P239" s="350"/>
      <c r="Q239" s="350"/>
      <c r="R239" s="350"/>
      <c r="S239" s="350"/>
      <c r="T239" s="350"/>
      <c r="U239" s="350"/>
      <c r="V239" s="350"/>
      <c r="W239" s="350"/>
      <c r="X239" s="350"/>
      <c r="Y239" s="350"/>
      <c r="Z239" s="350"/>
      <c r="AA239" s="350"/>
      <c r="AB239" s="350"/>
      <c r="AC239" s="350"/>
      <c r="AD239" s="350"/>
      <c r="AE239" s="350"/>
      <c r="AF239" s="350"/>
      <c r="AG239" s="350"/>
      <c r="AH239" s="350"/>
      <c r="AI239" s="350"/>
      <c r="AJ239" s="350"/>
      <c r="AK239" s="350"/>
      <c r="AL239" s="350"/>
      <c r="AM239" s="350"/>
      <c r="AN239" s="350"/>
      <c r="AO239" s="350"/>
      <c r="AP239" s="350"/>
      <c r="AQ239" s="350"/>
      <c r="AR239" s="350"/>
      <c r="AS239" s="350"/>
      <c r="AT239" s="350"/>
      <c r="AU239" s="350"/>
      <c r="AV239" s="350"/>
      <c r="AW239" s="350"/>
      <c r="AX239" s="350"/>
      <c r="AY239" s="350"/>
      <c r="AZ239" s="350"/>
      <c r="BA239" s="350"/>
      <c r="BB239" s="350"/>
      <c r="BC239" s="350"/>
      <c r="BD239" s="350"/>
      <c r="BE239" s="350"/>
      <c r="BF239" s="350"/>
      <c r="BG239" s="350"/>
      <c r="BH239" s="350"/>
      <c r="BI239" s="350"/>
      <c r="BJ239" s="350"/>
      <c r="BK239" s="350"/>
      <c r="BL239" s="350"/>
      <c r="BM239" s="350"/>
      <c r="BN239" s="350"/>
      <c r="BO239" s="350"/>
      <c r="BP239" s="350"/>
      <c r="BQ239" s="350"/>
      <c r="BR239" s="350"/>
      <c r="BS239" s="350"/>
      <c r="BT239" s="350"/>
      <c r="BU239" s="350"/>
      <c r="BV239" s="350"/>
    </row>
    <row r="240" spans="2:74" x14ac:dyDescent="0.2">
      <c r="B240" s="270"/>
      <c r="C240" s="263"/>
      <c r="D240" s="263"/>
      <c r="E240" s="349"/>
      <c r="F240" s="350"/>
      <c r="G240" s="350"/>
      <c r="H240" s="350"/>
      <c r="I240" s="350"/>
      <c r="J240" s="350"/>
      <c r="K240" s="350"/>
      <c r="L240" s="350"/>
      <c r="M240" s="350"/>
      <c r="N240" s="350"/>
      <c r="O240" s="350"/>
      <c r="P240" s="350"/>
      <c r="Q240" s="350"/>
      <c r="R240" s="350"/>
      <c r="S240" s="350"/>
      <c r="T240" s="350"/>
      <c r="U240" s="350"/>
      <c r="V240" s="350"/>
      <c r="W240" s="350"/>
      <c r="X240" s="350"/>
      <c r="Y240" s="350"/>
      <c r="Z240" s="350"/>
      <c r="AA240" s="350"/>
      <c r="AB240" s="350"/>
      <c r="AC240" s="350"/>
      <c r="AD240" s="350"/>
      <c r="AE240" s="350"/>
      <c r="AF240" s="350"/>
      <c r="AG240" s="350"/>
      <c r="AH240" s="350"/>
      <c r="AI240" s="350"/>
      <c r="AJ240" s="350"/>
      <c r="AK240" s="350"/>
      <c r="AL240" s="350"/>
      <c r="AM240" s="350"/>
      <c r="AN240" s="350"/>
      <c r="AO240" s="350"/>
      <c r="AP240" s="350"/>
      <c r="AQ240" s="350"/>
      <c r="AR240" s="350"/>
      <c r="AS240" s="350"/>
      <c r="AT240" s="350"/>
      <c r="AU240" s="350"/>
      <c r="AV240" s="350"/>
      <c r="AW240" s="350"/>
      <c r="AX240" s="350"/>
      <c r="AY240" s="350"/>
      <c r="AZ240" s="350"/>
      <c r="BA240" s="350"/>
      <c r="BB240" s="350"/>
      <c r="BC240" s="350"/>
      <c r="BD240" s="350"/>
      <c r="BE240" s="350"/>
      <c r="BF240" s="350"/>
      <c r="BG240" s="350"/>
      <c r="BH240" s="350"/>
      <c r="BI240" s="350"/>
      <c r="BJ240" s="350"/>
      <c r="BK240" s="350"/>
      <c r="BL240" s="350"/>
      <c r="BM240" s="350"/>
      <c r="BN240" s="350"/>
      <c r="BO240" s="350"/>
      <c r="BP240" s="350"/>
      <c r="BQ240" s="350"/>
      <c r="BR240" s="350"/>
      <c r="BS240" s="350"/>
      <c r="BT240" s="350"/>
      <c r="BU240" s="350"/>
      <c r="BV240" s="350"/>
    </row>
    <row r="241" spans="2:74" x14ac:dyDescent="0.2">
      <c r="B241" s="270"/>
      <c r="C241" s="263"/>
      <c r="D241" s="263"/>
      <c r="E241" s="349"/>
      <c r="F241" s="350"/>
      <c r="G241" s="350"/>
      <c r="H241" s="350"/>
      <c r="I241" s="350"/>
      <c r="J241" s="350"/>
      <c r="K241" s="350"/>
      <c r="L241" s="350"/>
      <c r="M241" s="350"/>
      <c r="N241" s="350"/>
      <c r="O241" s="350"/>
      <c r="P241" s="350"/>
      <c r="Q241" s="350"/>
      <c r="R241" s="350"/>
      <c r="S241" s="350"/>
      <c r="T241" s="350"/>
      <c r="U241" s="350"/>
      <c r="V241" s="350"/>
      <c r="W241" s="350"/>
      <c r="X241" s="350"/>
      <c r="Y241" s="350"/>
      <c r="Z241" s="350"/>
      <c r="AA241" s="350"/>
      <c r="AB241" s="350"/>
      <c r="AC241" s="350"/>
      <c r="AD241" s="350"/>
      <c r="AE241" s="350"/>
      <c r="AF241" s="350"/>
      <c r="AG241" s="350"/>
      <c r="AH241" s="350"/>
      <c r="AI241" s="350"/>
      <c r="AJ241" s="350"/>
      <c r="AK241" s="350"/>
      <c r="AL241" s="350"/>
      <c r="AM241" s="350"/>
      <c r="AN241" s="350"/>
      <c r="AO241" s="350"/>
      <c r="AP241" s="350"/>
      <c r="AQ241" s="350"/>
      <c r="AR241" s="350"/>
      <c r="AS241" s="350"/>
      <c r="AT241" s="350"/>
      <c r="AU241" s="350"/>
      <c r="AV241" s="350"/>
      <c r="AW241" s="350"/>
      <c r="AX241" s="350"/>
      <c r="AY241" s="350"/>
      <c r="AZ241" s="350"/>
      <c r="BA241" s="350"/>
      <c r="BB241" s="350"/>
      <c r="BC241" s="350"/>
      <c r="BD241" s="350"/>
      <c r="BE241" s="350"/>
      <c r="BF241" s="350"/>
      <c r="BG241" s="350"/>
      <c r="BH241" s="350"/>
      <c r="BI241" s="350"/>
      <c r="BJ241" s="350"/>
      <c r="BK241" s="350"/>
      <c r="BL241" s="350"/>
      <c r="BM241" s="350"/>
      <c r="BN241" s="350"/>
      <c r="BO241" s="350"/>
      <c r="BP241" s="350"/>
      <c r="BQ241" s="350"/>
      <c r="BR241" s="350"/>
      <c r="BS241" s="350"/>
      <c r="BT241" s="350"/>
      <c r="BU241" s="350"/>
      <c r="BV241" s="350"/>
    </row>
    <row r="242" spans="2:74" x14ac:dyDescent="0.2">
      <c r="B242" s="270"/>
      <c r="C242" s="263"/>
      <c r="D242" s="263"/>
      <c r="E242" s="349"/>
      <c r="F242" s="350"/>
      <c r="G242" s="350"/>
      <c r="H242" s="350"/>
      <c r="I242" s="350"/>
      <c r="J242" s="350"/>
      <c r="K242" s="350"/>
      <c r="L242" s="350"/>
      <c r="M242" s="350"/>
      <c r="N242" s="350"/>
      <c r="O242" s="350"/>
      <c r="P242" s="350"/>
      <c r="Q242" s="350"/>
      <c r="R242" s="350"/>
      <c r="S242" s="350"/>
      <c r="T242" s="350"/>
      <c r="U242" s="350"/>
      <c r="V242" s="350"/>
      <c r="W242" s="350"/>
      <c r="X242" s="350"/>
      <c r="Y242" s="350"/>
      <c r="Z242" s="350"/>
      <c r="AA242" s="350"/>
      <c r="AB242" s="350"/>
      <c r="AC242" s="350"/>
      <c r="AD242" s="350"/>
      <c r="AE242" s="350"/>
      <c r="AF242" s="350"/>
      <c r="AG242" s="350"/>
      <c r="AH242" s="350"/>
      <c r="AI242" s="350"/>
      <c r="AJ242" s="350"/>
      <c r="AK242" s="350"/>
      <c r="AL242" s="350"/>
      <c r="AM242" s="350"/>
      <c r="AN242" s="350"/>
      <c r="AO242" s="350"/>
      <c r="AP242" s="350"/>
      <c r="AQ242" s="350"/>
      <c r="AR242" s="350"/>
      <c r="AS242" s="350"/>
      <c r="AT242" s="350"/>
      <c r="AU242" s="350"/>
      <c r="AV242" s="350"/>
      <c r="AW242" s="350"/>
      <c r="AX242" s="350"/>
      <c r="AY242" s="350"/>
      <c r="AZ242" s="350"/>
      <c r="BA242" s="350"/>
      <c r="BB242" s="350"/>
      <c r="BC242" s="350"/>
      <c r="BD242" s="350"/>
      <c r="BE242" s="350"/>
      <c r="BF242" s="350"/>
      <c r="BG242" s="350"/>
      <c r="BH242" s="350"/>
      <c r="BI242" s="350"/>
      <c r="BJ242" s="350"/>
      <c r="BK242" s="350"/>
      <c r="BL242" s="350"/>
      <c r="BM242" s="350"/>
      <c r="BN242" s="350"/>
      <c r="BO242" s="350"/>
      <c r="BP242" s="350"/>
      <c r="BQ242" s="350"/>
      <c r="BR242" s="350"/>
      <c r="BS242" s="350"/>
      <c r="BT242" s="350"/>
      <c r="BU242" s="350"/>
      <c r="BV242" s="350"/>
    </row>
    <row r="243" spans="2:74" x14ac:dyDescent="0.2">
      <c r="B243" s="270"/>
      <c r="C243" s="263"/>
      <c r="D243" s="263"/>
      <c r="E243" s="349"/>
      <c r="F243" s="350"/>
      <c r="G243" s="350"/>
      <c r="H243" s="350"/>
      <c r="I243" s="350"/>
      <c r="J243" s="350"/>
      <c r="K243" s="350"/>
      <c r="L243" s="350"/>
      <c r="M243" s="350"/>
      <c r="N243" s="350"/>
      <c r="O243" s="350"/>
      <c r="P243" s="350"/>
      <c r="Q243" s="350"/>
      <c r="R243" s="350"/>
      <c r="S243" s="350"/>
      <c r="T243" s="350"/>
      <c r="U243" s="350"/>
      <c r="V243" s="350"/>
      <c r="W243" s="350"/>
      <c r="X243" s="350"/>
      <c r="Y243" s="350"/>
      <c r="Z243" s="350"/>
      <c r="AA243" s="350"/>
      <c r="AB243" s="350"/>
      <c r="AC243" s="350"/>
      <c r="AD243" s="350"/>
      <c r="AE243" s="350"/>
      <c r="AF243" s="350"/>
      <c r="AG243" s="350"/>
      <c r="AH243" s="350"/>
      <c r="AI243" s="350"/>
      <c r="AJ243" s="350"/>
      <c r="AK243" s="350"/>
      <c r="AL243" s="350"/>
      <c r="AM243" s="350"/>
      <c r="AN243" s="350"/>
      <c r="AO243" s="350"/>
      <c r="AP243" s="350"/>
      <c r="AQ243" s="350"/>
      <c r="AR243" s="350"/>
      <c r="AS243" s="350"/>
      <c r="AT243" s="350"/>
      <c r="AU243" s="350"/>
      <c r="AV243" s="350"/>
      <c r="AW243" s="350"/>
      <c r="AX243" s="350"/>
      <c r="AY243" s="350"/>
      <c r="AZ243" s="350"/>
      <c r="BA243" s="350"/>
      <c r="BB243" s="350"/>
      <c r="BC243" s="350"/>
      <c r="BD243" s="350"/>
      <c r="BE243" s="350"/>
      <c r="BF243" s="350"/>
      <c r="BG243" s="350"/>
      <c r="BH243" s="350"/>
      <c r="BI243" s="350"/>
      <c r="BJ243" s="350"/>
      <c r="BK243" s="350"/>
      <c r="BL243" s="350"/>
      <c r="BM243" s="350"/>
      <c r="BN243" s="350"/>
      <c r="BO243" s="350"/>
      <c r="BP243" s="350"/>
      <c r="BQ243" s="350"/>
      <c r="BR243" s="350"/>
      <c r="BS243" s="350"/>
      <c r="BT243" s="350"/>
      <c r="BU243" s="350"/>
      <c r="BV243" s="350"/>
    </row>
    <row r="244" spans="2:74" x14ac:dyDescent="0.2">
      <c r="B244" s="270"/>
      <c r="C244" s="263"/>
      <c r="D244" s="263"/>
      <c r="E244" s="349"/>
      <c r="F244" s="350"/>
      <c r="G244" s="350"/>
      <c r="H244" s="350"/>
      <c r="I244" s="350"/>
      <c r="J244" s="350"/>
      <c r="K244" s="350"/>
      <c r="L244" s="350"/>
      <c r="M244" s="350"/>
      <c r="N244" s="350"/>
      <c r="O244" s="350"/>
      <c r="P244" s="350"/>
      <c r="Q244" s="350"/>
      <c r="R244" s="350"/>
      <c r="S244" s="350"/>
      <c r="T244" s="350"/>
      <c r="U244" s="350"/>
      <c r="V244" s="350"/>
      <c r="W244" s="350"/>
      <c r="X244" s="350"/>
      <c r="Y244" s="350"/>
      <c r="Z244" s="350"/>
      <c r="AA244" s="350"/>
      <c r="AB244" s="350"/>
      <c r="AC244" s="350"/>
      <c r="AD244" s="350"/>
      <c r="AE244" s="350"/>
      <c r="AF244" s="350"/>
      <c r="AG244" s="350"/>
      <c r="AH244" s="350"/>
      <c r="AI244" s="350"/>
      <c r="AJ244" s="350"/>
      <c r="AK244" s="350"/>
      <c r="AL244" s="350"/>
      <c r="AM244" s="350"/>
      <c r="AN244" s="350"/>
      <c r="AO244" s="350"/>
      <c r="AP244" s="350"/>
      <c r="AQ244" s="350"/>
      <c r="AR244" s="350"/>
      <c r="AS244" s="350"/>
      <c r="AT244" s="350"/>
      <c r="AU244" s="350"/>
      <c r="AV244" s="350"/>
      <c r="AW244" s="350"/>
      <c r="AX244" s="350"/>
      <c r="AY244" s="350"/>
      <c r="AZ244" s="350"/>
      <c r="BA244" s="350"/>
      <c r="BB244" s="350"/>
      <c r="BC244" s="350"/>
      <c r="BD244" s="350"/>
      <c r="BE244" s="350"/>
      <c r="BF244" s="350"/>
      <c r="BG244" s="350"/>
      <c r="BH244" s="350"/>
      <c r="BI244" s="350"/>
      <c r="BJ244" s="350"/>
      <c r="BK244" s="350"/>
      <c r="BL244" s="350"/>
      <c r="BM244" s="350"/>
      <c r="BN244" s="350"/>
      <c r="BO244" s="350"/>
      <c r="BP244" s="350"/>
      <c r="BQ244" s="350"/>
      <c r="BR244" s="350"/>
      <c r="BS244" s="350"/>
      <c r="BT244" s="350"/>
      <c r="BU244" s="350"/>
      <c r="BV244" s="350"/>
    </row>
    <row r="245" spans="2:74" x14ac:dyDescent="0.2">
      <c r="B245" s="270"/>
      <c r="C245" s="263"/>
      <c r="D245" s="263"/>
      <c r="E245" s="349"/>
      <c r="F245" s="350"/>
      <c r="G245" s="350"/>
      <c r="H245" s="350"/>
      <c r="I245" s="350"/>
      <c r="J245" s="350"/>
      <c r="K245" s="350"/>
      <c r="L245" s="350"/>
      <c r="M245" s="350"/>
      <c r="N245" s="350"/>
      <c r="O245" s="350"/>
      <c r="P245" s="350"/>
      <c r="Q245" s="350"/>
      <c r="R245" s="350"/>
      <c r="S245" s="350"/>
      <c r="T245" s="350"/>
      <c r="U245" s="350"/>
      <c r="V245" s="350"/>
      <c r="W245" s="350"/>
      <c r="X245" s="350"/>
      <c r="Y245" s="350"/>
      <c r="Z245" s="350"/>
      <c r="AA245" s="350"/>
      <c r="AB245" s="350"/>
      <c r="AC245" s="350"/>
      <c r="AD245" s="350"/>
      <c r="AE245" s="350"/>
      <c r="AF245" s="350"/>
      <c r="AG245" s="350"/>
      <c r="AH245" s="350"/>
      <c r="AI245" s="350"/>
      <c r="AJ245" s="350"/>
      <c r="AK245" s="350"/>
      <c r="AL245" s="350"/>
      <c r="AM245" s="350"/>
      <c r="AN245" s="350"/>
      <c r="AO245" s="350"/>
      <c r="AP245" s="350"/>
      <c r="AQ245" s="350"/>
      <c r="AR245" s="350"/>
      <c r="AS245" s="350"/>
      <c r="AT245" s="350"/>
      <c r="AU245" s="350"/>
      <c r="AV245" s="350"/>
      <c r="AW245" s="350"/>
      <c r="AX245" s="350"/>
      <c r="AY245" s="350"/>
      <c r="AZ245" s="350"/>
      <c r="BA245" s="350"/>
      <c r="BB245" s="350"/>
      <c r="BC245" s="350"/>
      <c r="BD245" s="350"/>
      <c r="BE245" s="350"/>
      <c r="BF245" s="350"/>
      <c r="BG245" s="350"/>
      <c r="BH245" s="350"/>
      <c r="BI245" s="350"/>
      <c r="BJ245" s="350"/>
      <c r="BK245" s="350"/>
      <c r="BL245" s="350"/>
      <c r="BM245" s="350"/>
      <c r="BN245" s="350"/>
      <c r="BO245" s="350"/>
      <c r="BP245" s="350"/>
      <c r="BQ245" s="350"/>
      <c r="BR245" s="350"/>
      <c r="BS245" s="350"/>
      <c r="BT245" s="350"/>
      <c r="BU245" s="350"/>
      <c r="BV245" s="350"/>
    </row>
    <row r="246" spans="2:74" x14ac:dyDescent="0.2">
      <c r="B246" s="270"/>
      <c r="C246" s="263"/>
      <c r="D246" s="263"/>
      <c r="E246" s="349"/>
      <c r="F246" s="350"/>
      <c r="G246" s="350"/>
      <c r="H246" s="350"/>
      <c r="I246" s="350"/>
      <c r="J246" s="350"/>
      <c r="K246" s="350"/>
      <c r="L246" s="350"/>
      <c r="M246" s="350"/>
      <c r="N246" s="350"/>
      <c r="O246" s="350"/>
      <c r="P246" s="350"/>
      <c r="Q246" s="350"/>
      <c r="R246" s="350"/>
      <c r="S246" s="350"/>
      <c r="T246" s="350"/>
      <c r="U246" s="350"/>
      <c r="V246" s="350"/>
      <c r="W246" s="350"/>
      <c r="X246" s="350"/>
      <c r="Y246" s="350"/>
      <c r="Z246" s="350"/>
      <c r="AA246" s="350"/>
      <c r="AB246" s="350"/>
      <c r="AC246" s="350"/>
      <c r="AD246" s="350"/>
      <c r="AE246" s="350"/>
      <c r="AF246" s="350"/>
      <c r="AG246" s="350"/>
      <c r="AH246" s="350"/>
      <c r="AI246" s="350"/>
      <c r="AJ246" s="350"/>
      <c r="AK246" s="350"/>
      <c r="AL246" s="350"/>
      <c r="AM246" s="350"/>
      <c r="AN246" s="350"/>
      <c r="AO246" s="350"/>
      <c r="AP246" s="350"/>
      <c r="AQ246" s="350"/>
      <c r="AR246" s="350"/>
      <c r="AS246" s="350"/>
      <c r="AT246" s="350"/>
      <c r="AU246" s="350"/>
      <c r="AV246" s="350"/>
      <c r="AW246" s="350"/>
      <c r="AX246" s="350"/>
      <c r="AY246" s="350"/>
      <c r="AZ246" s="350"/>
      <c r="BA246" s="350"/>
      <c r="BB246" s="350"/>
      <c r="BC246" s="350"/>
      <c r="BD246" s="350"/>
      <c r="BE246" s="350"/>
      <c r="BF246" s="350"/>
      <c r="BG246" s="350"/>
      <c r="BH246" s="350"/>
      <c r="BI246" s="350"/>
      <c r="BJ246" s="350"/>
      <c r="BK246" s="350"/>
      <c r="BL246" s="350"/>
      <c r="BM246" s="350"/>
      <c r="BN246" s="350"/>
      <c r="BO246" s="350"/>
      <c r="BP246" s="350"/>
      <c r="BQ246" s="350"/>
      <c r="BR246" s="350"/>
      <c r="BS246" s="350"/>
      <c r="BT246" s="350"/>
      <c r="BU246" s="350"/>
      <c r="BV246" s="350"/>
    </row>
    <row r="247" spans="2:74" x14ac:dyDescent="0.2">
      <c r="B247" s="270"/>
      <c r="C247" s="263"/>
      <c r="D247" s="263"/>
      <c r="E247" s="349"/>
      <c r="F247" s="350"/>
      <c r="G247" s="350"/>
      <c r="H247" s="350"/>
      <c r="I247" s="350"/>
      <c r="J247" s="350"/>
      <c r="K247" s="350"/>
      <c r="L247" s="350"/>
      <c r="M247" s="350"/>
      <c r="N247" s="350"/>
      <c r="O247" s="350"/>
      <c r="P247" s="350"/>
      <c r="Q247" s="350"/>
      <c r="R247" s="350"/>
      <c r="S247" s="350"/>
      <c r="T247" s="350"/>
      <c r="U247" s="350"/>
      <c r="V247" s="350"/>
      <c r="W247" s="350"/>
      <c r="X247" s="350"/>
      <c r="Y247" s="350"/>
      <c r="Z247" s="350"/>
      <c r="AA247" s="350"/>
      <c r="AB247" s="350"/>
      <c r="AC247" s="350"/>
      <c r="AD247" s="350"/>
      <c r="AE247" s="350"/>
      <c r="AF247" s="350"/>
      <c r="AG247" s="350"/>
      <c r="AH247" s="350"/>
      <c r="AI247" s="350"/>
      <c r="AJ247" s="350"/>
      <c r="AK247" s="350"/>
      <c r="AL247" s="350"/>
      <c r="AM247" s="350"/>
      <c r="AN247" s="350"/>
      <c r="AO247" s="350"/>
      <c r="AP247" s="350"/>
      <c r="AQ247" s="350"/>
      <c r="AR247" s="350"/>
      <c r="AS247" s="350"/>
      <c r="AT247" s="350"/>
      <c r="AU247" s="350"/>
      <c r="AV247" s="350"/>
      <c r="AW247" s="350"/>
      <c r="AX247" s="350"/>
      <c r="AY247" s="350"/>
      <c r="AZ247" s="350"/>
      <c r="BA247" s="350"/>
      <c r="BB247" s="350"/>
      <c r="BC247" s="350"/>
      <c r="BD247" s="350"/>
      <c r="BE247" s="350"/>
      <c r="BF247" s="350"/>
      <c r="BG247" s="350"/>
      <c r="BH247" s="350"/>
      <c r="BI247" s="350"/>
      <c r="BJ247" s="350"/>
      <c r="BK247" s="350"/>
      <c r="BL247" s="350"/>
      <c r="BM247" s="350"/>
      <c r="BN247" s="350"/>
      <c r="BO247" s="350"/>
      <c r="BP247" s="350"/>
      <c r="BQ247" s="350"/>
      <c r="BR247" s="350"/>
      <c r="BS247" s="350"/>
      <c r="BT247" s="350"/>
      <c r="BU247" s="350"/>
      <c r="BV247" s="350"/>
    </row>
    <row r="248" spans="2:74" x14ac:dyDescent="0.2">
      <c r="B248" s="270"/>
      <c r="C248" s="263"/>
      <c r="D248" s="263"/>
      <c r="E248" s="349"/>
      <c r="F248" s="350"/>
      <c r="G248" s="350"/>
      <c r="H248" s="350"/>
      <c r="I248" s="350"/>
      <c r="J248" s="350"/>
      <c r="K248" s="350"/>
      <c r="L248" s="350"/>
      <c r="M248" s="350"/>
      <c r="N248" s="350"/>
      <c r="O248" s="350"/>
      <c r="P248" s="350"/>
      <c r="Q248" s="350"/>
      <c r="R248" s="350"/>
      <c r="S248" s="350"/>
      <c r="T248" s="350"/>
      <c r="U248" s="350"/>
      <c r="V248" s="350"/>
      <c r="W248" s="350"/>
      <c r="X248" s="350"/>
      <c r="Y248" s="350"/>
      <c r="Z248" s="350"/>
      <c r="AA248" s="350"/>
      <c r="AB248" s="350"/>
      <c r="AC248" s="350"/>
      <c r="AD248" s="350"/>
      <c r="AE248" s="350"/>
      <c r="AF248" s="350"/>
      <c r="AG248" s="350"/>
      <c r="AH248" s="350"/>
      <c r="AI248" s="350"/>
      <c r="AJ248" s="350"/>
      <c r="AK248" s="350"/>
      <c r="AL248" s="350"/>
      <c r="AM248" s="350"/>
      <c r="AN248" s="350"/>
      <c r="AO248" s="350"/>
      <c r="AP248" s="350"/>
      <c r="AQ248" s="350"/>
      <c r="AR248" s="350"/>
      <c r="AS248" s="350"/>
      <c r="AT248" s="350"/>
      <c r="AU248" s="350"/>
      <c r="AV248" s="350"/>
      <c r="AW248" s="350"/>
      <c r="AX248" s="350"/>
      <c r="AY248" s="350"/>
      <c r="AZ248" s="350"/>
      <c r="BA248" s="350"/>
      <c r="BB248" s="350"/>
      <c r="BC248" s="350"/>
      <c r="BD248" s="350"/>
      <c r="BE248" s="350"/>
      <c r="BF248" s="350"/>
      <c r="BG248" s="350"/>
      <c r="BH248" s="350"/>
      <c r="BI248" s="350"/>
      <c r="BJ248" s="350"/>
      <c r="BK248" s="350"/>
      <c r="BL248" s="350"/>
      <c r="BM248" s="350"/>
      <c r="BN248" s="350"/>
      <c r="BO248" s="350"/>
      <c r="BP248" s="350"/>
      <c r="BQ248" s="350"/>
      <c r="BR248" s="350"/>
      <c r="BS248" s="350"/>
      <c r="BT248" s="350"/>
      <c r="BU248" s="350"/>
      <c r="BV248" s="350"/>
    </row>
    <row r="249" spans="2:74" x14ac:dyDescent="0.2">
      <c r="B249" s="270"/>
      <c r="C249" s="263"/>
      <c r="D249" s="263"/>
      <c r="E249" s="349"/>
      <c r="F249" s="350"/>
      <c r="G249" s="350"/>
      <c r="H249" s="350"/>
      <c r="I249" s="350"/>
      <c r="J249" s="350"/>
      <c r="K249" s="350"/>
      <c r="L249" s="350"/>
      <c r="M249" s="350"/>
      <c r="N249" s="350"/>
      <c r="O249" s="350"/>
      <c r="P249" s="350"/>
      <c r="Q249" s="350"/>
      <c r="R249" s="350"/>
      <c r="S249" s="350"/>
      <c r="T249" s="350"/>
      <c r="U249" s="350"/>
      <c r="V249" s="350"/>
      <c r="W249" s="350"/>
      <c r="X249" s="350"/>
      <c r="Y249" s="350"/>
      <c r="Z249" s="350"/>
      <c r="AA249" s="350"/>
      <c r="AB249" s="350"/>
      <c r="AC249" s="350"/>
      <c r="AD249" s="350"/>
      <c r="AE249" s="350"/>
      <c r="AF249" s="350"/>
      <c r="AG249" s="350"/>
      <c r="AH249" s="350"/>
      <c r="AI249" s="350"/>
      <c r="AJ249" s="350"/>
      <c r="AK249" s="350"/>
      <c r="AL249" s="350"/>
      <c r="AM249" s="350"/>
      <c r="AN249" s="350"/>
      <c r="AO249" s="350"/>
      <c r="AP249" s="350"/>
      <c r="AQ249" s="350"/>
      <c r="AR249" s="350"/>
      <c r="AS249" s="350"/>
      <c r="AT249" s="350"/>
      <c r="AU249" s="350"/>
      <c r="AV249" s="350"/>
      <c r="AW249" s="350"/>
      <c r="AX249" s="350"/>
      <c r="AY249" s="350"/>
      <c r="AZ249" s="350"/>
      <c r="BA249" s="350"/>
      <c r="BB249" s="350"/>
      <c r="BC249" s="350"/>
      <c r="BD249" s="350"/>
      <c r="BE249" s="350"/>
      <c r="BF249" s="350"/>
      <c r="BG249" s="350"/>
      <c r="BH249" s="350"/>
      <c r="BI249" s="350"/>
      <c r="BJ249" s="350"/>
      <c r="BK249" s="350"/>
      <c r="BL249" s="350"/>
      <c r="BM249" s="350"/>
      <c r="BN249" s="350"/>
      <c r="BO249" s="350"/>
      <c r="BP249" s="350"/>
      <c r="BQ249" s="350"/>
      <c r="BR249" s="350"/>
      <c r="BS249" s="350"/>
      <c r="BT249" s="350"/>
      <c r="BU249" s="350"/>
      <c r="BV249" s="350"/>
    </row>
    <row r="250" spans="2:74" x14ac:dyDescent="0.2">
      <c r="B250" s="270"/>
      <c r="C250" s="263"/>
      <c r="D250" s="263"/>
      <c r="E250" s="349"/>
      <c r="F250" s="350"/>
      <c r="G250" s="350"/>
      <c r="H250" s="350"/>
      <c r="I250" s="350"/>
      <c r="J250" s="350"/>
      <c r="K250" s="350"/>
      <c r="L250" s="350"/>
      <c r="M250" s="350"/>
      <c r="N250" s="350"/>
      <c r="O250" s="350"/>
      <c r="P250" s="350"/>
      <c r="Q250" s="350"/>
      <c r="R250" s="350"/>
      <c r="S250" s="350"/>
      <c r="T250" s="350"/>
      <c r="U250" s="350"/>
      <c r="V250" s="350"/>
      <c r="W250" s="350"/>
      <c r="X250" s="350"/>
      <c r="Y250" s="350"/>
      <c r="Z250" s="350"/>
      <c r="AA250" s="350"/>
      <c r="AB250" s="350"/>
      <c r="AC250" s="350"/>
      <c r="AD250" s="350"/>
      <c r="AE250" s="350"/>
      <c r="AF250" s="350"/>
      <c r="AG250" s="350"/>
      <c r="AH250" s="350"/>
      <c r="AI250" s="350"/>
      <c r="AJ250" s="350"/>
      <c r="AK250" s="350"/>
      <c r="AL250" s="350"/>
      <c r="AM250" s="350"/>
      <c r="AN250" s="350"/>
      <c r="AO250" s="350"/>
      <c r="AP250" s="350"/>
      <c r="AQ250" s="350"/>
      <c r="AR250" s="350"/>
      <c r="AS250" s="350"/>
      <c r="AT250" s="350"/>
      <c r="AU250" s="350"/>
      <c r="AV250" s="350"/>
      <c r="AW250" s="350"/>
      <c r="AX250" s="350"/>
      <c r="AY250" s="350"/>
      <c r="AZ250" s="350"/>
      <c r="BA250" s="350"/>
      <c r="BB250" s="350"/>
      <c r="BC250" s="350"/>
      <c r="BD250" s="350"/>
      <c r="BE250" s="350"/>
      <c r="BF250" s="350"/>
      <c r="BG250" s="350"/>
      <c r="BH250" s="350"/>
      <c r="BI250" s="350"/>
      <c r="BJ250" s="350"/>
      <c r="BK250" s="350"/>
      <c r="BL250" s="350"/>
      <c r="BM250" s="350"/>
      <c r="BN250" s="350"/>
      <c r="BO250" s="350"/>
      <c r="BP250" s="350"/>
      <c r="BQ250" s="350"/>
      <c r="BR250" s="350"/>
      <c r="BS250" s="350"/>
      <c r="BT250" s="350"/>
      <c r="BU250" s="350"/>
      <c r="BV250" s="350"/>
    </row>
    <row r="251" spans="2:74" x14ac:dyDescent="0.2">
      <c r="B251" s="270"/>
      <c r="C251" s="263"/>
      <c r="D251" s="263"/>
      <c r="E251" s="349"/>
      <c r="F251" s="350"/>
      <c r="G251" s="350"/>
      <c r="H251" s="350"/>
      <c r="I251" s="350"/>
      <c r="J251" s="350"/>
      <c r="K251" s="350"/>
      <c r="L251" s="350"/>
      <c r="M251" s="350"/>
      <c r="N251" s="350"/>
      <c r="O251" s="350"/>
      <c r="P251" s="350"/>
      <c r="Q251" s="350"/>
      <c r="R251" s="350"/>
      <c r="S251" s="350"/>
      <c r="T251" s="350"/>
      <c r="U251" s="350"/>
      <c r="V251" s="350"/>
      <c r="W251" s="350"/>
      <c r="X251" s="350"/>
      <c r="Y251" s="350"/>
      <c r="Z251" s="350"/>
      <c r="AA251" s="350"/>
      <c r="AB251" s="350"/>
      <c r="AC251" s="350"/>
      <c r="AD251" s="350"/>
      <c r="AE251" s="350"/>
      <c r="AF251" s="350"/>
      <c r="AG251" s="350"/>
      <c r="AH251" s="350"/>
      <c r="AI251" s="350"/>
      <c r="AJ251" s="350"/>
      <c r="AK251" s="350"/>
      <c r="AL251" s="350"/>
      <c r="AM251" s="350"/>
      <c r="AN251" s="350"/>
      <c r="AO251" s="350"/>
      <c r="AP251" s="350"/>
      <c r="AQ251" s="350"/>
      <c r="AR251" s="350"/>
      <c r="AS251" s="350"/>
      <c r="AT251" s="350"/>
      <c r="AU251" s="350"/>
      <c r="AV251" s="350"/>
      <c r="AW251" s="350"/>
      <c r="AX251" s="350"/>
      <c r="AY251" s="350"/>
      <c r="AZ251" s="350"/>
      <c r="BA251" s="350"/>
      <c r="BB251" s="350"/>
      <c r="BC251" s="350"/>
      <c r="BD251" s="350"/>
      <c r="BE251" s="350"/>
      <c r="BF251" s="350"/>
      <c r="BG251" s="350"/>
      <c r="BH251" s="350"/>
      <c r="BI251" s="350"/>
      <c r="BJ251" s="350"/>
      <c r="BK251" s="350"/>
      <c r="BL251" s="350"/>
      <c r="BM251" s="350"/>
      <c r="BN251" s="350"/>
      <c r="BO251" s="350"/>
      <c r="BP251" s="350"/>
      <c r="BQ251" s="350"/>
      <c r="BR251" s="350"/>
      <c r="BS251" s="350"/>
      <c r="BT251" s="350"/>
      <c r="BU251" s="350"/>
      <c r="BV251" s="350"/>
    </row>
    <row r="252" spans="2:74" x14ac:dyDescent="0.2">
      <c r="B252" s="270"/>
      <c r="C252" s="263"/>
      <c r="D252" s="263"/>
      <c r="E252" s="349"/>
      <c r="F252" s="350"/>
      <c r="G252" s="350"/>
      <c r="H252" s="350"/>
      <c r="I252" s="350"/>
      <c r="J252" s="350"/>
      <c r="K252" s="350"/>
      <c r="L252" s="350"/>
      <c r="M252" s="350"/>
      <c r="N252" s="350"/>
      <c r="O252" s="350"/>
      <c r="P252" s="350"/>
      <c r="Q252" s="350"/>
      <c r="R252" s="350"/>
      <c r="S252" s="350"/>
      <c r="T252" s="350"/>
      <c r="U252" s="350"/>
      <c r="V252" s="350"/>
      <c r="W252" s="350"/>
      <c r="X252" s="350"/>
      <c r="Y252" s="350"/>
      <c r="Z252" s="350"/>
      <c r="AA252" s="350"/>
      <c r="AB252" s="350"/>
      <c r="AC252" s="350"/>
      <c r="AD252" s="350"/>
      <c r="AE252" s="350"/>
      <c r="AF252" s="350"/>
      <c r="AG252" s="350"/>
      <c r="AH252" s="350"/>
      <c r="AI252" s="350"/>
      <c r="AJ252" s="350"/>
      <c r="AK252" s="350"/>
      <c r="AL252" s="350"/>
      <c r="AM252" s="350"/>
      <c r="AN252" s="350"/>
      <c r="AO252" s="350"/>
      <c r="AP252" s="350"/>
      <c r="AQ252" s="350"/>
      <c r="AR252" s="350"/>
      <c r="AS252" s="350"/>
      <c r="AT252" s="350"/>
      <c r="AU252" s="350"/>
      <c r="AV252" s="350"/>
      <c r="AW252" s="350"/>
      <c r="AX252" s="350"/>
      <c r="AY252" s="350"/>
      <c r="AZ252" s="350"/>
      <c r="BA252" s="350"/>
      <c r="BB252" s="350"/>
      <c r="BC252" s="350"/>
      <c r="BD252" s="350"/>
      <c r="BE252" s="350"/>
      <c r="BF252" s="350"/>
      <c r="BG252" s="350"/>
      <c r="BH252" s="350"/>
      <c r="BI252" s="350"/>
      <c r="BJ252" s="350"/>
      <c r="BK252" s="350"/>
      <c r="BL252" s="350"/>
      <c r="BM252" s="350"/>
      <c r="BN252" s="350"/>
      <c r="BO252" s="350"/>
      <c r="BP252" s="350"/>
      <c r="BQ252" s="350"/>
      <c r="BR252" s="350"/>
      <c r="BS252" s="350"/>
      <c r="BT252" s="350"/>
      <c r="BU252" s="350"/>
      <c r="BV252" s="350"/>
    </row>
    <row r="253" spans="2:74" x14ac:dyDescent="0.2">
      <c r="B253" s="270"/>
      <c r="C253" s="263"/>
      <c r="D253" s="263"/>
      <c r="E253" s="349"/>
      <c r="F253" s="350"/>
      <c r="G253" s="350"/>
      <c r="H253" s="350"/>
      <c r="I253" s="350"/>
      <c r="J253" s="350"/>
      <c r="K253" s="350"/>
      <c r="L253" s="350"/>
      <c r="M253" s="350"/>
      <c r="N253" s="350"/>
      <c r="O253" s="350"/>
      <c r="P253" s="350"/>
      <c r="Q253" s="350"/>
      <c r="R253" s="350"/>
      <c r="S253" s="350"/>
      <c r="T253" s="350"/>
      <c r="U253" s="350"/>
      <c r="V253" s="350"/>
      <c r="W253" s="350"/>
      <c r="X253" s="350"/>
      <c r="Y253" s="350"/>
      <c r="Z253" s="350"/>
      <c r="AA253" s="350"/>
      <c r="AB253" s="350"/>
      <c r="AC253" s="350"/>
      <c r="AD253" s="350"/>
      <c r="AE253" s="350"/>
      <c r="AF253" s="350"/>
      <c r="AG253" s="350"/>
      <c r="AH253" s="350"/>
      <c r="AI253" s="350"/>
      <c r="AJ253" s="350"/>
      <c r="AK253" s="350"/>
      <c r="AL253" s="350"/>
      <c r="AM253" s="350"/>
      <c r="AN253" s="350"/>
      <c r="AO253" s="350"/>
      <c r="AP253" s="350"/>
      <c r="AQ253" s="350"/>
      <c r="AR253" s="350"/>
      <c r="AS253" s="350"/>
      <c r="AT253" s="350"/>
      <c r="AU253" s="350"/>
      <c r="AV253" s="350"/>
      <c r="AW253" s="350"/>
      <c r="AX253" s="350"/>
      <c r="AY253" s="350"/>
      <c r="AZ253" s="350"/>
      <c r="BA253" s="350"/>
      <c r="BB253" s="350"/>
      <c r="BC253" s="350"/>
      <c r="BD253" s="350"/>
      <c r="BE253" s="350"/>
      <c r="BF253" s="350"/>
      <c r="BG253" s="350"/>
      <c r="BH253" s="350"/>
      <c r="BI253" s="350"/>
      <c r="BJ253" s="350"/>
      <c r="BK253" s="350"/>
      <c r="BL253" s="350"/>
      <c r="BM253" s="350"/>
      <c r="BN253" s="350"/>
      <c r="BO253" s="350"/>
      <c r="BP253" s="350"/>
      <c r="BQ253" s="350"/>
      <c r="BR253" s="350"/>
      <c r="BS253" s="350"/>
      <c r="BT253" s="350"/>
      <c r="BU253" s="350"/>
      <c r="BV253" s="350"/>
    </row>
    <row r="254" spans="2:74" x14ac:dyDescent="0.2">
      <c r="B254" s="270"/>
      <c r="C254" s="263"/>
      <c r="D254" s="263"/>
      <c r="E254" s="349"/>
      <c r="F254" s="350"/>
      <c r="G254" s="350"/>
      <c r="H254" s="350"/>
      <c r="I254" s="350"/>
      <c r="J254" s="350"/>
      <c r="K254" s="350"/>
      <c r="L254" s="350"/>
      <c r="M254" s="350"/>
      <c r="N254" s="350"/>
      <c r="O254" s="350"/>
      <c r="P254" s="350"/>
      <c r="Q254" s="350"/>
      <c r="R254" s="350"/>
      <c r="S254" s="350"/>
      <c r="T254" s="350"/>
      <c r="U254" s="350"/>
      <c r="V254" s="350"/>
      <c r="W254" s="350"/>
      <c r="X254" s="350"/>
      <c r="Y254" s="350"/>
      <c r="Z254" s="350"/>
      <c r="AA254" s="350"/>
      <c r="AB254" s="350"/>
      <c r="AC254" s="350"/>
      <c r="AD254" s="350"/>
      <c r="AE254" s="350"/>
      <c r="AF254" s="350"/>
      <c r="AG254" s="350"/>
      <c r="AH254" s="350"/>
      <c r="AI254" s="350"/>
      <c r="AJ254" s="350"/>
      <c r="AK254" s="350"/>
      <c r="AL254" s="350"/>
      <c r="AM254" s="350"/>
      <c r="AN254" s="350"/>
      <c r="AO254" s="350"/>
      <c r="AP254" s="350"/>
      <c r="AQ254" s="350"/>
      <c r="AR254" s="350"/>
      <c r="AS254" s="350"/>
      <c r="AT254" s="350"/>
      <c r="AU254" s="350"/>
      <c r="AV254" s="350"/>
      <c r="AW254" s="350"/>
      <c r="AX254" s="350"/>
      <c r="AY254" s="350"/>
      <c r="AZ254" s="350"/>
      <c r="BA254" s="350"/>
      <c r="BB254" s="350"/>
      <c r="BC254" s="350"/>
      <c r="BD254" s="350"/>
      <c r="BE254" s="350"/>
      <c r="BF254" s="350"/>
      <c r="BG254" s="350"/>
      <c r="BH254" s="350"/>
      <c r="BI254" s="350"/>
      <c r="BJ254" s="350"/>
      <c r="BK254" s="350"/>
      <c r="BL254" s="350"/>
      <c r="BM254" s="350"/>
      <c r="BN254" s="350"/>
      <c r="BO254" s="350"/>
      <c r="BP254" s="350"/>
      <c r="BQ254" s="350"/>
      <c r="BR254" s="350"/>
      <c r="BS254" s="350"/>
      <c r="BT254" s="350"/>
      <c r="BU254" s="350"/>
      <c r="BV254" s="350"/>
    </row>
    <row r="255" spans="2:74" x14ac:dyDescent="0.2">
      <c r="B255" s="270"/>
      <c r="C255" s="263"/>
      <c r="D255" s="263"/>
      <c r="E255" s="349"/>
      <c r="F255" s="350"/>
      <c r="G255" s="350"/>
      <c r="H255" s="350"/>
      <c r="I255" s="350"/>
      <c r="J255" s="350"/>
      <c r="K255" s="350"/>
      <c r="L255" s="350"/>
      <c r="M255" s="350"/>
      <c r="N255" s="350"/>
      <c r="O255" s="350"/>
      <c r="P255" s="350"/>
      <c r="Q255" s="350"/>
      <c r="R255" s="350"/>
      <c r="S255" s="350"/>
      <c r="T255" s="350"/>
      <c r="U255" s="350"/>
      <c r="V255" s="350"/>
      <c r="W255" s="350"/>
      <c r="X255" s="350"/>
      <c r="Y255" s="350"/>
      <c r="Z255" s="350"/>
      <c r="AA255" s="350"/>
      <c r="AB255" s="350"/>
      <c r="AC255" s="350"/>
      <c r="AD255" s="350"/>
      <c r="AE255" s="350"/>
      <c r="AF255" s="350"/>
      <c r="AG255" s="350"/>
      <c r="AH255" s="350"/>
      <c r="AI255" s="350"/>
      <c r="AJ255" s="350"/>
      <c r="AK255" s="350"/>
      <c r="AL255" s="350"/>
      <c r="AM255" s="350"/>
      <c r="AN255" s="350"/>
      <c r="AO255" s="350"/>
      <c r="AP255" s="350"/>
      <c r="AQ255" s="350"/>
      <c r="AR255" s="350"/>
      <c r="AS255" s="350"/>
      <c r="AT255" s="350"/>
      <c r="AU255" s="350"/>
      <c r="AV255" s="350"/>
      <c r="AW255" s="350"/>
      <c r="AX255" s="350"/>
      <c r="AY255" s="350"/>
      <c r="AZ255" s="350"/>
      <c r="BA255" s="350"/>
      <c r="BB255" s="350"/>
      <c r="BC255" s="350"/>
      <c r="BD255" s="350"/>
      <c r="BE255" s="350"/>
      <c r="BF255" s="350"/>
      <c r="BG255" s="350"/>
      <c r="BH255" s="350"/>
      <c r="BI255" s="350"/>
      <c r="BJ255" s="350"/>
      <c r="BK255" s="350"/>
      <c r="BL255" s="350"/>
      <c r="BM255" s="350"/>
      <c r="BN255" s="350"/>
      <c r="BO255" s="350"/>
      <c r="BP255" s="350"/>
      <c r="BQ255" s="350"/>
      <c r="BR255" s="350"/>
      <c r="BS255" s="350"/>
      <c r="BT255" s="350"/>
      <c r="BU255" s="350"/>
      <c r="BV255" s="350"/>
    </row>
    <row r="256" spans="2:74" x14ac:dyDescent="0.2">
      <c r="B256" s="270"/>
      <c r="C256" s="263"/>
      <c r="D256" s="263"/>
      <c r="E256" s="349"/>
      <c r="F256" s="350"/>
      <c r="G256" s="350"/>
      <c r="H256" s="350"/>
      <c r="I256" s="350"/>
      <c r="J256" s="350"/>
      <c r="K256" s="350"/>
      <c r="L256" s="350"/>
      <c r="M256" s="350"/>
      <c r="N256" s="350"/>
      <c r="O256" s="350"/>
      <c r="P256" s="350"/>
      <c r="Q256" s="350"/>
      <c r="R256" s="350"/>
      <c r="S256" s="350"/>
      <c r="T256" s="350"/>
      <c r="U256" s="350"/>
      <c r="V256" s="350"/>
      <c r="W256" s="350"/>
      <c r="X256" s="350"/>
      <c r="Y256" s="350"/>
      <c r="Z256" s="350"/>
      <c r="AA256" s="350"/>
      <c r="AB256" s="350"/>
      <c r="AC256" s="350"/>
      <c r="AD256" s="350"/>
      <c r="AE256" s="350"/>
      <c r="AF256" s="350"/>
      <c r="AG256" s="350"/>
      <c r="AH256" s="350"/>
      <c r="AI256" s="350"/>
      <c r="AJ256" s="350"/>
      <c r="AK256" s="350"/>
      <c r="AL256" s="350"/>
      <c r="AM256" s="350"/>
      <c r="AN256" s="350"/>
      <c r="AO256" s="350"/>
      <c r="AP256" s="350"/>
      <c r="AQ256" s="350"/>
      <c r="AR256" s="350"/>
      <c r="AS256" s="350"/>
      <c r="AT256" s="350"/>
      <c r="AU256" s="350"/>
      <c r="AV256" s="350"/>
      <c r="AW256" s="350"/>
      <c r="AX256" s="350"/>
      <c r="AY256" s="350"/>
      <c r="AZ256" s="350"/>
      <c r="BA256" s="350"/>
      <c r="BB256" s="350"/>
      <c r="BC256" s="350"/>
      <c r="BD256" s="350"/>
      <c r="BE256" s="350"/>
      <c r="BF256" s="350"/>
      <c r="BG256" s="350"/>
      <c r="BH256" s="350"/>
      <c r="BI256" s="350"/>
      <c r="BJ256" s="350"/>
      <c r="BK256" s="350"/>
      <c r="BL256" s="350"/>
      <c r="BM256" s="350"/>
      <c r="BN256" s="350"/>
      <c r="BO256" s="350"/>
      <c r="BP256" s="350"/>
      <c r="BQ256" s="350"/>
      <c r="BR256" s="350"/>
      <c r="BS256" s="350"/>
      <c r="BT256" s="350"/>
      <c r="BU256" s="350"/>
      <c r="BV256" s="350"/>
    </row>
    <row r="257" spans="2:74" x14ac:dyDescent="0.2">
      <c r="B257" s="270"/>
      <c r="C257" s="263"/>
      <c r="D257" s="263"/>
      <c r="E257" s="349"/>
      <c r="F257" s="350"/>
      <c r="G257" s="350"/>
      <c r="H257" s="350"/>
      <c r="I257" s="350"/>
      <c r="J257" s="350"/>
      <c r="K257" s="350"/>
      <c r="L257" s="350"/>
      <c r="M257" s="350"/>
      <c r="N257" s="350"/>
      <c r="O257" s="350"/>
      <c r="P257" s="350"/>
      <c r="Q257" s="350"/>
      <c r="R257" s="350"/>
      <c r="S257" s="350"/>
      <c r="T257" s="350"/>
      <c r="U257" s="350"/>
      <c r="V257" s="350"/>
      <c r="W257" s="350"/>
      <c r="X257" s="350"/>
      <c r="Y257" s="350"/>
      <c r="Z257" s="350"/>
      <c r="AA257" s="350"/>
      <c r="AB257" s="350"/>
      <c r="AC257" s="350"/>
      <c r="AD257" s="350"/>
      <c r="AE257" s="350"/>
      <c r="AF257" s="350"/>
      <c r="AG257" s="350"/>
      <c r="AH257" s="350"/>
      <c r="AI257" s="350"/>
      <c r="AJ257" s="350"/>
      <c r="AK257" s="350"/>
      <c r="AL257" s="350"/>
      <c r="AM257" s="350"/>
      <c r="AN257" s="350"/>
      <c r="AO257" s="350"/>
      <c r="AP257" s="350"/>
      <c r="AQ257" s="350"/>
      <c r="AR257" s="350"/>
      <c r="AS257" s="350"/>
      <c r="AT257" s="350"/>
      <c r="AU257" s="350"/>
      <c r="AV257" s="350"/>
      <c r="AW257" s="350"/>
      <c r="AX257" s="350"/>
      <c r="AY257" s="350"/>
      <c r="AZ257" s="350"/>
      <c r="BA257" s="350"/>
      <c r="BB257" s="350"/>
      <c r="BC257" s="350"/>
      <c r="BD257" s="350"/>
      <c r="BE257" s="350"/>
      <c r="BF257" s="350"/>
      <c r="BG257" s="350"/>
      <c r="BH257" s="350"/>
      <c r="BI257" s="350"/>
      <c r="BJ257" s="350"/>
      <c r="BK257" s="350"/>
      <c r="BL257" s="350"/>
      <c r="BM257" s="350"/>
      <c r="BN257" s="350"/>
      <c r="BO257" s="350"/>
      <c r="BP257" s="350"/>
      <c r="BQ257" s="350"/>
      <c r="BR257" s="350"/>
      <c r="BS257" s="350"/>
      <c r="BT257" s="350"/>
      <c r="BU257" s="350"/>
      <c r="BV257" s="350"/>
    </row>
    <row r="258" spans="2:74" x14ac:dyDescent="0.2">
      <c r="B258" s="270"/>
      <c r="C258" s="263"/>
      <c r="D258" s="263"/>
      <c r="E258" s="349"/>
      <c r="F258" s="350"/>
      <c r="G258" s="350"/>
      <c r="H258" s="350"/>
      <c r="I258" s="350"/>
      <c r="J258" s="350"/>
      <c r="K258" s="350"/>
      <c r="L258" s="350"/>
      <c r="M258" s="350"/>
      <c r="N258" s="350"/>
      <c r="O258" s="350"/>
      <c r="P258" s="350"/>
      <c r="Q258" s="350"/>
      <c r="R258" s="350"/>
      <c r="S258" s="350"/>
      <c r="T258" s="350"/>
      <c r="U258" s="350"/>
      <c r="V258" s="350"/>
      <c r="W258" s="350"/>
      <c r="X258" s="350"/>
      <c r="Y258" s="350"/>
      <c r="Z258" s="350"/>
      <c r="AA258" s="350"/>
      <c r="AB258" s="350"/>
      <c r="AC258" s="350"/>
      <c r="AD258" s="350"/>
      <c r="AE258" s="350"/>
      <c r="AF258" s="350"/>
      <c r="AG258" s="350"/>
      <c r="AH258" s="350"/>
      <c r="AI258" s="350"/>
      <c r="AJ258" s="350"/>
      <c r="AK258" s="350"/>
      <c r="AL258" s="350"/>
      <c r="AM258" s="350"/>
      <c r="AN258" s="350"/>
      <c r="AO258" s="350"/>
      <c r="AP258" s="350"/>
      <c r="AQ258" s="350"/>
      <c r="AR258" s="350"/>
      <c r="AS258" s="350"/>
      <c r="AT258" s="350"/>
      <c r="AU258" s="350"/>
      <c r="AV258" s="350"/>
      <c r="AW258" s="350"/>
      <c r="AX258" s="350"/>
      <c r="AY258" s="350"/>
      <c r="AZ258" s="350"/>
      <c r="BA258" s="350"/>
      <c r="BB258" s="350"/>
      <c r="BC258" s="350"/>
      <c r="BD258" s="350"/>
      <c r="BE258" s="350"/>
      <c r="BF258" s="350"/>
      <c r="BG258" s="350"/>
      <c r="BH258" s="350"/>
      <c r="BI258" s="350"/>
      <c r="BJ258" s="350"/>
      <c r="BK258" s="350"/>
      <c r="BL258" s="350"/>
      <c r="BM258" s="350"/>
      <c r="BN258" s="350"/>
      <c r="BO258" s="350"/>
      <c r="BP258" s="350"/>
      <c r="BQ258" s="350"/>
      <c r="BR258" s="350"/>
      <c r="BS258" s="350"/>
      <c r="BT258" s="350"/>
      <c r="BU258" s="350"/>
      <c r="BV258" s="350"/>
    </row>
    <row r="259" spans="2:74" x14ac:dyDescent="0.2">
      <c r="B259" s="270"/>
      <c r="C259" s="263"/>
      <c r="D259" s="263"/>
      <c r="E259" s="349"/>
      <c r="F259" s="350"/>
      <c r="G259" s="350"/>
      <c r="H259" s="350"/>
      <c r="I259" s="350"/>
      <c r="J259" s="350"/>
      <c r="K259" s="350"/>
      <c r="L259" s="350"/>
      <c r="M259" s="350"/>
      <c r="N259" s="350"/>
      <c r="O259" s="350"/>
      <c r="P259" s="350"/>
      <c r="Q259" s="350"/>
      <c r="R259" s="350"/>
      <c r="S259" s="350"/>
      <c r="T259" s="350"/>
      <c r="U259" s="350"/>
      <c r="V259" s="350"/>
      <c r="W259" s="350"/>
      <c r="X259" s="350"/>
      <c r="Y259" s="350"/>
      <c r="Z259" s="350"/>
      <c r="AA259" s="350"/>
      <c r="AB259" s="350"/>
      <c r="AC259" s="350"/>
      <c r="AD259" s="350"/>
      <c r="AE259" s="350"/>
      <c r="AF259" s="350"/>
      <c r="AG259" s="350"/>
      <c r="AH259" s="350"/>
      <c r="AI259" s="350"/>
      <c r="AJ259" s="350"/>
      <c r="AK259" s="350"/>
      <c r="AL259" s="350"/>
      <c r="AM259" s="350"/>
      <c r="AN259" s="350"/>
      <c r="AO259" s="350"/>
      <c r="AP259" s="350"/>
      <c r="AQ259" s="350"/>
      <c r="AR259" s="350"/>
      <c r="AS259" s="350"/>
      <c r="AT259" s="350"/>
      <c r="AU259" s="350"/>
      <c r="AV259" s="350"/>
      <c r="AW259" s="350"/>
      <c r="AX259" s="350"/>
      <c r="AY259" s="350"/>
      <c r="AZ259" s="350"/>
      <c r="BA259" s="350"/>
      <c r="BB259" s="350"/>
      <c r="BC259" s="350"/>
      <c r="BD259" s="350"/>
      <c r="BE259" s="350"/>
      <c r="BF259" s="350"/>
      <c r="BG259" s="350"/>
      <c r="BH259" s="350"/>
      <c r="BI259" s="350"/>
      <c r="BJ259" s="350"/>
      <c r="BK259" s="350"/>
      <c r="BL259" s="350"/>
      <c r="BM259" s="350"/>
      <c r="BN259" s="350"/>
      <c r="BO259" s="350"/>
      <c r="BP259" s="350"/>
      <c r="BQ259" s="350"/>
      <c r="BR259" s="350"/>
      <c r="BS259" s="350"/>
      <c r="BT259" s="350"/>
      <c r="BU259" s="350"/>
      <c r="BV259" s="350"/>
    </row>
    <row r="260" spans="2:74" x14ac:dyDescent="0.2">
      <c r="B260" s="270"/>
      <c r="C260" s="263"/>
      <c r="D260" s="263"/>
      <c r="E260" s="349"/>
      <c r="F260" s="350"/>
      <c r="G260" s="350"/>
      <c r="H260" s="350"/>
      <c r="I260" s="350"/>
      <c r="J260" s="350"/>
      <c r="K260" s="350"/>
      <c r="L260" s="350"/>
      <c r="M260" s="350"/>
      <c r="N260" s="350"/>
      <c r="O260" s="350"/>
      <c r="P260" s="350"/>
      <c r="Q260" s="350"/>
      <c r="R260" s="350"/>
      <c r="S260" s="350"/>
      <c r="T260" s="350"/>
      <c r="U260" s="350"/>
      <c r="V260" s="350"/>
      <c r="W260" s="350"/>
      <c r="X260" s="350"/>
      <c r="Y260" s="350"/>
      <c r="Z260" s="350"/>
      <c r="AA260" s="350"/>
      <c r="AB260" s="350"/>
      <c r="AC260" s="350"/>
      <c r="AD260" s="350"/>
      <c r="AE260" s="350"/>
      <c r="AF260" s="350"/>
      <c r="AG260" s="350"/>
      <c r="AH260" s="350"/>
      <c r="AI260" s="350"/>
      <c r="AJ260" s="350"/>
      <c r="AK260" s="350"/>
      <c r="AL260" s="350"/>
      <c r="AM260" s="350"/>
      <c r="AN260" s="350"/>
      <c r="AO260" s="350"/>
      <c r="AP260" s="350"/>
      <c r="AQ260" s="350"/>
      <c r="AR260" s="350"/>
      <c r="AS260" s="350"/>
      <c r="AT260" s="350"/>
      <c r="AU260" s="350"/>
      <c r="AV260" s="350"/>
      <c r="AW260" s="350"/>
      <c r="AX260" s="350"/>
      <c r="AY260" s="350"/>
      <c r="AZ260" s="350"/>
      <c r="BA260" s="350"/>
      <c r="BB260" s="350"/>
      <c r="BC260" s="350"/>
      <c r="BD260" s="350"/>
      <c r="BE260" s="350"/>
      <c r="BF260" s="350"/>
      <c r="BG260" s="350"/>
      <c r="BH260" s="350"/>
      <c r="BI260" s="350"/>
      <c r="BJ260" s="350"/>
      <c r="BK260" s="350"/>
      <c r="BL260" s="350"/>
      <c r="BM260" s="350"/>
      <c r="BN260" s="350"/>
      <c r="BO260" s="350"/>
      <c r="BP260" s="350"/>
      <c r="BQ260" s="350"/>
      <c r="BR260" s="350"/>
      <c r="BS260" s="350"/>
      <c r="BT260" s="350"/>
      <c r="BU260" s="350"/>
      <c r="BV260" s="350"/>
    </row>
    <row r="261" spans="2:74" x14ac:dyDescent="0.2">
      <c r="B261" s="270"/>
      <c r="C261" s="270"/>
      <c r="D261" s="270"/>
      <c r="E261" s="349"/>
      <c r="F261" s="350"/>
      <c r="G261" s="350"/>
      <c r="H261" s="350"/>
      <c r="I261" s="350"/>
      <c r="J261" s="350"/>
      <c r="K261" s="350"/>
      <c r="L261" s="350"/>
      <c r="M261" s="350"/>
      <c r="N261" s="350"/>
      <c r="O261" s="350"/>
      <c r="P261" s="350"/>
      <c r="Q261" s="350"/>
      <c r="R261" s="350"/>
      <c r="S261" s="350"/>
      <c r="T261" s="350"/>
      <c r="U261" s="350"/>
      <c r="V261" s="350"/>
      <c r="W261" s="350"/>
      <c r="X261" s="350"/>
      <c r="Y261" s="350"/>
      <c r="Z261" s="350"/>
      <c r="AA261" s="350"/>
      <c r="AB261" s="350"/>
      <c r="AC261" s="350"/>
      <c r="AD261" s="350"/>
      <c r="AE261" s="350"/>
      <c r="AF261" s="350"/>
      <c r="AG261" s="350"/>
      <c r="AH261" s="350"/>
      <c r="AI261" s="350"/>
      <c r="AJ261" s="350"/>
      <c r="AK261" s="350"/>
      <c r="AL261" s="350"/>
      <c r="AM261" s="350"/>
      <c r="AN261" s="350"/>
      <c r="AO261" s="350"/>
      <c r="AP261" s="350"/>
      <c r="AQ261" s="350"/>
      <c r="AR261" s="350"/>
      <c r="AS261" s="350"/>
      <c r="AT261" s="350"/>
      <c r="AU261" s="350"/>
      <c r="AV261" s="350"/>
      <c r="AW261" s="350"/>
      <c r="AX261" s="350"/>
      <c r="AY261" s="350"/>
      <c r="AZ261" s="350"/>
      <c r="BA261" s="350"/>
      <c r="BB261" s="350"/>
      <c r="BC261" s="350"/>
      <c r="BD261" s="350"/>
      <c r="BE261" s="350"/>
      <c r="BF261" s="350"/>
      <c r="BG261" s="350"/>
      <c r="BH261" s="350"/>
      <c r="BI261" s="350"/>
      <c r="BJ261" s="350"/>
      <c r="BK261" s="350"/>
      <c r="BL261" s="350"/>
      <c r="BM261" s="350"/>
      <c r="BN261" s="350"/>
      <c r="BO261" s="350"/>
      <c r="BP261" s="350"/>
      <c r="BQ261" s="350"/>
      <c r="BR261" s="350"/>
      <c r="BS261" s="350"/>
      <c r="BT261" s="350"/>
      <c r="BU261" s="350"/>
      <c r="BV261" s="350"/>
    </row>
    <row r="262" spans="2:74" x14ac:dyDescent="0.2">
      <c r="B262" s="270"/>
      <c r="C262" s="263"/>
      <c r="D262" s="263"/>
      <c r="E262" s="349"/>
      <c r="F262" s="350"/>
      <c r="G262" s="350"/>
      <c r="H262" s="350"/>
      <c r="I262" s="350"/>
      <c r="J262" s="350"/>
      <c r="K262" s="350"/>
      <c r="L262" s="350"/>
      <c r="M262" s="350"/>
      <c r="N262" s="350"/>
      <c r="O262" s="350"/>
      <c r="P262" s="350"/>
      <c r="Q262" s="350"/>
      <c r="R262" s="350"/>
      <c r="S262" s="350"/>
      <c r="T262" s="350"/>
      <c r="U262" s="350"/>
      <c r="V262" s="350"/>
      <c r="W262" s="350"/>
      <c r="X262" s="350"/>
      <c r="Y262" s="350"/>
      <c r="Z262" s="350"/>
      <c r="AA262" s="350"/>
      <c r="AB262" s="350"/>
      <c r="AC262" s="350"/>
      <c r="AD262" s="350"/>
      <c r="AE262" s="350"/>
      <c r="AF262" s="350"/>
      <c r="AG262" s="350"/>
      <c r="AH262" s="350"/>
      <c r="AI262" s="350"/>
      <c r="AJ262" s="350"/>
      <c r="AK262" s="350"/>
      <c r="AL262" s="350"/>
      <c r="AM262" s="350"/>
      <c r="AN262" s="350"/>
      <c r="AO262" s="350"/>
      <c r="AP262" s="350"/>
      <c r="AQ262" s="350"/>
      <c r="AR262" s="350"/>
      <c r="AS262" s="350"/>
      <c r="AT262" s="350"/>
      <c r="AU262" s="350"/>
      <c r="AV262" s="350"/>
      <c r="AW262" s="350"/>
      <c r="AX262" s="350"/>
      <c r="AY262" s="350"/>
      <c r="AZ262" s="350"/>
      <c r="BA262" s="350"/>
      <c r="BB262" s="350"/>
      <c r="BC262" s="350"/>
      <c r="BD262" s="350"/>
      <c r="BE262" s="350"/>
      <c r="BF262" s="350"/>
      <c r="BG262" s="350"/>
      <c r="BH262" s="350"/>
      <c r="BI262" s="350"/>
      <c r="BJ262" s="350"/>
      <c r="BK262" s="350"/>
      <c r="BL262" s="350"/>
      <c r="BM262" s="350"/>
      <c r="BN262" s="350"/>
      <c r="BO262" s="350"/>
      <c r="BP262" s="350"/>
      <c r="BQ262" s="350"/>
      <c r="BR262" s="350"/>
      <c r="BS262" s="350"/>
      <c r="BT262" s="350"/>
      <c r="BU262" s="350"/>
      <c r="BV262" s="350"/>
    </row>
    <row r="263" spans="2:74" x14ac:dyDescent="0.2">
      <c r="C263" s="263"/>
      <c r="D263" s="263"/>
      <c r="E263" s="349"/>
      <c r="F263" s="350"/>
      <c r="G263" s="350"/>
      <c r="H263" s="350"/>
      <c r="I263" s="350"/>
      <c r="J263" s="350"/>
      <c r="K263" s="350"/>
      <c r="L263" s="350"/>
      <c r="M263" s="350"/>
      <c r="N263" s="350"/>
      <c r="O263" s="350"/>
      <c r="P263" s="350"/>
      <c r="Q263" s="350"/>
      <c r="R263" s="350"/>
      <c r="S263" s="350"/>
      <c r="T263" s="350"/>
      <c r="U263" s="350"/>
      <c r="V263" s="350"/>
      <c r="W263" s="350"/>
      <c r="X263" s="350"/>
      <c r="Y263" s="350"/>
      <c r="Z263" s="350"/>
      <c r="AA263" s="350"/>
      <c r="AB263" s="350"/>
      <c r="AC263" s="350"/>
      <c r="AD263" s="350"/>
      <c r="AE263" s="350"/>
      <c r="AF263" s="350"/>
      <c r="AG263" s="350"/>
      <c r="AH263" s="350"/>
      <c r="AI263" s="350"/>
      <c r="AJ263" s="350"/>
      <c r="AK263" s="350"/>
      <c r="AL263" s="350"/>
      <c r="AM263" s="350"/>
      <c r="AN263" s="350"/>
      <c r="AO263" s="350"/>
      <c r="AP263" s="350"/>
      <c r="AQ263" s="350"/>
      <c r="AR263" s="350"/>
      <c r="AS263" s="350"/>
      <c r="AT263" s="350"/>
      <c r="AU263" s="350"/>
      <c r="AV263" s="350"/>
      <c r="AW263" s="350"/>
      <c r="AX263" s="350"/>
      <c r="AY263" s="350"/>
      <c r="AZ263" s="350"/>
      <c r="BA263" s="350"/>
      <c r="BB263" s="350"/>
      <c r="BC263" s="350"/>
      <c r="BD263" s="350"/>
      <c r="BE263" s="350"/>
      <c r="BF263" s="350"/>
      <c r="BG263" s="350"/>
      <c r="BH263" s="350"/>
      <c r="BI263" s="350"/>
      <c r="BJ263" s="350"/>
      <c r="BK263" s="350"/>
      <c r="BL263" s="350"/>
      <c r="BM263" s="350"/>
      <c r="BN263" s="350"/>
      <c r="BO263" s="350"/>
      <c r="BP263" s="350"/>
      <c r="BQ263" s="350"/>
      <c r="BR263" s="350"/>
      <c r="BS263" s="350"/>
      <c r="BT263" s="350"/>
      <c r="BU263" s="350"/>
      <c r="BV263" s="350"/>
    </row>
    <row r="264" spans="2:74" x14ac:dyDescent="0.2">
      <c r="B264" s="270"/>
      <c r="C264" s="263"/>
      <c r="D264" s="263"/>
      <c r="E264" s="349"/>
      <c r="F264" s="350"/>
      <c r="G264" s="350"/>
      <c r="H264" s="350"/>
      <c r="I264" s="350"/>
      <c r="J264" s="350"/>
      <c r="K264" s="350"/>
      <c r="L264" s="350"/>
      <c r="M264" s="350"/>
      <c r="N264" s="350"/>
      <c r="O264" s="350"/>
      <c r="P264" s="350"/>
      <c r="Q264" s="350"/>
      <c r="R264" s="350"/>
      <c r="S264" s="350"/>
      <c r="T264" s="350"/>
      <c r="U264" s="350"/>
      <c r="V264" s="350"/>
      <c r="W264" s="350"/>
      <c r="X264" s="350"/>
      <c r="Y264" s="350"/>
      <c r="Z264" s="350"/>
      <c r="AA264" s="350"/>
      <c r="AB264" s="350"/>
      <c r="AC264" s="350"/>
      <c r="AD264" s="350"/>
      <c r="AE264" s="350"/>
      <c r="AF264" s="350"/>
      <c r="AG264" s="350"/>
      <c r="AH264" s="350"/>
      <c r="AI264" s="350"/>
      <c r="AJ264" s="350"/>
      <c r="AK264" s="350"/>
      <c r="AL264" s="350"/>
      <c r="AM264" s="350"/>
      <c r="AN264" s="350"/>
      <c r="AO264" s="350"/>
      <c r="AP264" s="350"/>
      <c r="AQ264" s="350"/>
      <c r="AR264" s="350"/>
      <c r="AS264" s="350"/>
      <c r="AT264" s="350"/>
      <c r="AU264" s="350"/>
      <c r="AV264" s="350"/>
      <c r="AW264" s="350"/>
      <c r="AX264" s="350"/>
      <c r="AY264" s="350"/>
      <c r="AZ264" s="350"/>
      <c r="BA264" s="350"/>
      <c r="BB264" s="350"/>
      <c r="BC264" s="350"/>
      <c r="BD264" s="350"/>
      <c r="BE264" s="350"/>
      <c r="BF264" s="350"/>
      <c r="BG264" s="350"/>
      <c r="BH264" s="350"/>
      <c r="BI264" s="350"/>
      <c r="BJ264" s="350"/>
      <c r="BK264" s="350"/>
      <c r="BL264" s="350"/>
      <c r="BM264" s="350"/>
      <c r="BN264" s="350"/>
      <c r="BO264" s="350"/>
      <c r="BP264" s="350"/>
      <c r="BQ264" s="350"/>
      <c r="BR264" s="350"/>
      <c r="BS264" s="350"/>
      <c r="BT264" s="350"/>
      <c r="BU264" s="350"/>
      <c r="BV264" s="350"/>
    </row>
    <row r="265" spans="2:74" x14ac:dyDescent="0.2">
      <c r="B265" s="270"/>
      <c r="C265" s="263"/>
      <c r="D265" s="263"/>
      <c r="E265" s="349"/>
      <c r="F265" s="350"/>
      <c r="G265" s="350"/>
      <c r="H265" s="350"/>
      <c r="I265" s="350"/>
      <c r="J265" s="350"/>
      <c r="K265" s="350"/>
      <c r="L265" s="350"/>
      <c r="M265" s="350"/>
      <c r="N265" s="350"/>
      <c r="O265" s="350"/>
      <c r="P265" s="350"/>
      <c r="Q265" s="350"/>
      <c r="R265" s="350"/>
      <c r="S265" s="350"/>
      <c r="T265" s="350"/>
      <c r="U265" s="350"/>
      <c r="V265" s="350"/>
      <c r="W265" s="350"/>
      <c r="X265" s="350"/>
      <c r="Y265" s="350"/>
      <c r="Z265" s="350"/>
      <c r="AA265" s="350"/>
      <c r="AB265" s="350"/>
      <c r="AC265" s="350"/>
      <c r="AD265" s="350"/>
      <c r="AE265" s="350"/>
      <c r="AF265" s="350"/>
      <c r="AG265" s="350"/>
      <c r="AH265" s="350"/>
      <c r="AI265" s="350"/>
      <c r="AJ265" s="350"/>
      <c r="AK265" s="350"/>
      <c r="AL265" s="350"/>
      <c r="AM265" s="350"/>
      <c r="AN265" s="350"/>
      <c r="AO265" s="350"/>
      <c r="AP265" s="350"/>
      <c r="AQ265" s="350"/>
      <c r="AR265" s="350"/>
      <c r="AS265" s="350"/>
      <c r="AT265" s="350"/>
      <c r="AU265" s="350"/>
      <c r="AV265" s="350"/>
      <c r="AW265" s="350"/>
      <c r="AX265" s="350"/>
      <c r="AY265" s="350"/>
      <c r="AZ265" s="350"/>
      <c r="BA265" s="350"/>
      <c r="BB265" s="350"/>
      <c r="BC265" s="350"/>
      <c r="BD265" s="350"/>
      <c r="BE265" s="350"/>
      <c r="BF265" s="350"/>
      <c r="BG265" s="350"/>
      <c r="BH265" s="350"/>
      <c r="BI265" s="350"/>
      <c r="BJ265" s="350"/>
      <c r="BK265" s="350"/>
      <c r="BL265" s="350"/>
      <c r="BM265" s="350"/>
      <c r="BN265" s="350"/>
      <c r="BO265" s="350"/>
      <c r="BP265" s="350"/>
      <c r="BQ265" s="350"/>
      <c r="BR265" s="350"/>
      <c r="BS265" s="350"/>
      <c r="BT265" s="350"/>
      <c r="BU265" s="350"/>
      <c r="BV265" s="350"/>
    </row>
    <row r="266" spans="2:74" x14ac:dyDescent="0.2">
      <c r="B266" s="270"/>
      <c r="C266" s="263"/>
      <c r="D266" s="263"/>
      <c r="E266" s="349"/>
      <c r="F266" s="350"/>
      <c r="G266" s="350"/>
      <c r="H266" s="350"/>
      <c r="I266" s="350"/>
      <c r="J266" s="350"/>
      <c r="K266" s="350"/>
      <c r="L266" s="350"/>
      <c r="M266" s="350"/>
      <c r="N266" s="350"/>
      <c r="O266" s="350"/>
      <c r="P266" s="350"/>
      <c r="Q266" s="350"/>
      <c r="R266" s="350"/>
      <c r="S266" s="350"/>
      <c r="T266" s="350"/>
      <c r="U266" s="350"/>
      <c r="V266" s="350"/>
      <c r="W266" s="350"/>
      <c r="X266" s="350"/>
      <c r="Y266" s="350"/>
      <c r="Z266" s="350"/>
      <c r="AA266" s="350"/>
      <c r="AB266" s="350"/>
      <c r="AC266" s="350"/>
      <c r="AD266" s="350"/>
      <c r="AE266" s="350"/>
      <c r="AF266" s="350"/>
      <c r="AG266" s="350"/>
      <c r="AH266" s="350"/>
      <c r="AI266" s="350"/>
      <c r="AJ266" s="350"/>
      <c r="AK266" s="350"/>
      <c r="AL266" s="350"/>
      <c r="AM266" s="350"/>
      <c r="AN266" s="350"/>
      <c r="AO266" s="350"/>
      <c r="AP266" s="350"/>
      <c r="AQ266" s="350"/>
      <c r="AR266" s="350"/>
      <c r="AS266" s="350"/>
      <c r="AT266" s="350"/>
      <c r="AU266" s="350"/>
      <c r="AV266" s="350"/>
      <c r="AW266" s="350"/>
      <c r="AX266" s="350"/>
      <c r="AY266" s="350"/>
      <c r="AZ266" s="350"/>
      <c r="BA266" s="350"/>
      <c r="BB266" s="350"/>
      <c r="BC266" s="350"/>
      <c r="BD266" s="350"/>
      <c r="BE266" s="350"/>
      <c r="BF266" s="350"/>
      <c r="BG266" s="350"/>
      <c r="BH266" s="350"/>
      <c r="BI266" s="350"/>
      <c r="BJ266" s="350"/>
      <c r="BK266" s="350"/>
      <c r="BL266" s="350"/>
      <c r="BM266" s="350"/>
      <c r="BN266" s="350"/>
      <c r="BO266" s="350"/>
      <c r="BP266" s="350"/>
      <c r="BQ266" s="350"/>
      <c r="BR266" s="350"/>
      <c r="BS266" s="350"/>
      <c r="BT266" s="350"/>
      <c r="BU266" s="350"/>
      <c r="BV266" s="350"/>
    </row>
    <row r="267" spans="2:74" x14ac:dyDescent="0.2">
      <c r="B267" s="270"/>
      <c r="C267" s="263"/>
      <c r="D267" s="263"/>
      <c r="E267" s="349"/>
      <c r="F267" s="350"/>
      <c r="G267" s="350"/>
      <c r="H267" s="350"/>
      <c r="I267" s="350"/>
      <c r="J267" s="350"/>
      <c r="K267" s="350"/>
      <c r="L267" s="350"/>
      <c r="M267" s="350"/>
      <c r="N267" s="350"/>
      <c r="O267" s="350"/>
      <c r="P267" s="350"/>
      <c r="Q267" s="350"/>
      <c r="R267" s="350"/>
      <c r="S267" s="350"/>
      <c r="T267" s="350"/>
      <c r="U267" s="350"/>
      <c r="V267" s="350"/>
      <c r="W267" s="350"/>
      <c r="X267" s="350"/>
      <c r="Y267" s="350"/>
      <c r="Z267" s="350"/>
      <c r="AA267" s="350"/>
      <c r="AB267" s="350"/>
      <c r="AC267" s="350"/>
      <c r="AD267" s="350"/>
      <c r="AE267" s="350"/>
      <c r="AF267" s="350"/>
      <c r="AG267" s="350"/>
      <c r="AH267" s="350"/>
      <c r="AI267" s="350"/>
      <c r="AJ267" s="350"/>
      <c r="AK267" s="350"/>
      <c r="AL267" s="350"/>
      <c r="AM267" s="350"/>
      <c r="AN267" s="350"/>
      <c r="AO267" s="350"/>
      <c r="AP267" s="350"/>
      <c r="AQ267" s="350"/>
      <c r="AR267" s="350"/>
      <c r="AS267" s="350"/>
      <c r="AT267" s="350"/>
      <c r="AU267" s="350"/>
      <c r="AV267" s="350"/>
      <c r="AW267" s="350"/>
      <c r="AX267" s="350"/>
      <c r="AY267" s="350"/>
      <c r="AZ267" s="350"/>
      <c r="BA267" s="350"/>
      <c r="BB267" s="350"/>
      <c r="BC267" s="350"/>
      <c r="BD267" s="350"/>
      <c r="BE267" s="350"/>
      <c r="BF267" s="350"/>
      <c r="BG267" s="350"/>
      <c r="BH267" s="350"/>
      <c r="BI267" s="350"/>
      <c r="BJ267" s="350"/>
      <c r="BK267" s="350"/>
      <c r="BL267" s="350"/>
      <c r="BM267" s="350"/>
      <c r="BN267" s="350"/>
      <c r="BO267" s="350"/>
      <c r="BP267" s="350"/>
      <c r="BQ267" s="350"/>
      <c r="BR267" s="350"/>
      <c r="BS267" s="350"/>
      <c r="BT267" s="350"/>
      <c r="BU267" s="350"/>
      <c r="BV267" s="350"/>
    </row>
    <row r="268" spans="2:74" x14ac:dyDescent="0.2">
      <c r="B268" s="270"/>
      <c r="C268" s="263"/>
      <c r="D268" s="263"/>
      <c r="E268" s="349"/>
      <c r="F268" s="350"/>
      <c r="G268" s="350"/>
      <c r="H268" s="350"/>
      <c r="I268" s="350"/>
      <c r="J268" s="350"/>
      <c r="K268" s="350"/>
      <c r="L268" s="350"/>
      <c r="M268" s="350"/>
      <c r="N268" s="350"/>
      <c r="O268" s="350"/>
      <c r="P268" s="350"/>
      <c r="Q268" s="350"/>
      <c r="R268" s="350"/>
      <c r="S268" s="350"/>
      <c r="T268" s="350"/>
      <c r="U268" s="350"/>
      <c r="V268" s="350"/>
      <c r="W268" s="350"/>
      <c r="X268" s="350"/>
      <c r="Y268" s="350"/>
      <c r="Z268" s="350"/>
      <c r="AA268" s="350"/>
      <c r="AB268" s="350"/>
      <c r="AC268" s="350"/>
      <c r="AD268" s="350"/>
      <c r="AE268" s="350"/>
      <c r="AF268" s="350"/>
      <c r="AG268" s="350"/>
      <c r="AH268" s="350"/>
      <c r="AI268" s="350"/>
      <c r="AJ268" s="350"/>
      <c r="AK268" s="350"/>
      <c r="AL268" s="350"/>
      <c r="AM268" s="350"/>
      <c r="AN268" s="350"/>
      <c r="AO268" s="350"/>
      <c r="AP268" s="350"/>
      <c r="AQ268" s="350"/>
      <c r="AR268" s="350"/>
      <c r="AS268" s="350"/>
      <c r="AT268" s="350"/>
      <c r="AU268" s="350"/>
      <c r="AV268" s="350"/>
      <c r="AW268" s="350"/>
      <c r="AX268" s="350"/>
      <c r="AY268" s="350"/>
      <c r="AZ268" s="350"/>
      <c r="BA268" s="350"/>
      <c r="BB268" s="350"/>
      <c r="BC268" s="350"/>
      <c r="BD268" s="350"/>
      <c r="BE268" s="350"/>
      <c r="BF268" s="350"/>
      <c r="BG268" s="350"/>
      <c r="BH268" s="350"/>
      <c r="BI268" s="350"/>
      <c r="BJ268" s="350"/>
      <c r="BK268" s="350"/>
      <c r="BL268" s="350"/>
      <c r="BM268" s="350"/>
      <c r="BN268" s="350"/>
      <c r="BO268" s="350"/>
      <c r="BP268" s="350"/>
      <c r="BQ268" s="350"/>
      <c r="BR268" s="350"/>
      <c r="BS268" s="350"/>
      <c r="BT268" s="350"/>
      <c r="BU268" s="350"/>
      <c r="BV268" s="350"/>
    </row>
    <row r="269" spans="2:74" x14ac:dyDescent="0.2">
      <c r="B269" s="270"/>
      <c r="C269" s="263"/>
      <c r="D269" s="263"/>
      <c r="E269" s="349"/>
      <c r="F269" s="350"/>
      <c r="G269" s="350"/>
      <c r="H269" s="350"/>
      <c r="I269" s="350"/>
      <c r="J269" s="350"/>
      <c r="K269" s="350"/>
      <c r="L269" s="350"/>
      <c r="M269" s="350"/>
      <c r="N269" s="350"/>
      <c r="O269" s="350"/>
      <c r="P269" s="350"/>
      <c r="Q269" s="350"/>
      <c r="R269" s="350"/>
      <c r="S269" s="350"/>
      <c r="T269" s="350"/>
      <c r="U269" s="350"/>
      <c r="V269" s="350"/>
      <c r="W269" s="350"/>
      <c r="X269" s="350"/>
      <c r="Y269" s="350"/>
      <c r="Z269" s="350"/>
      <c r="AA269" s="350"/>
      <c r="AB269" s="350"/>
      <c r="AC269" s="350"/>
      <c r="AD269" s="350"/>
      <c r="AE269" s="350"/>
      <c r="AF269" s="350"/>
      <c r="AG269" s="350"/>
      <c r="AH269" s="350"/>
      <c r="AI269" s="350"/>
      <c r="AJ269" s="350"/>
      <c r="AK269" s="350"/>
      <c r="AL269" s="350"/>
      <c r="AM269" s="350"/>
      <c r="AN269" s="350"/>
      <c r="AO269" s="350"/>
      <c r="AP269" s="350"/>
      <c r="AQ269" s="350"/>
      <c r="AR269" s="350"/>
      <c r="AS269" s="350"/>
      <c r="AT269" s="350"/>
      <c r="AU269" s="350"/>
      <c r="AV269" s="350"/>
      <c r="AW269" s="350"/>
      <c r="AX269" s="350"/>
      <c r="AY269" s="350"/>
      <c r="AZ269" s="350"/>
      <c r="BA269" s="350"/>
      <c r="BB269" s="350"/>
      <c r="BC269" s="350"/>
      <c r="BD269" s="350"/>
      <c r="BE269" s="350"/>
      <c r="BF269" s="350"/>
      <c r="BG269" s="350"/>
      <c r="BH269" s="350"/>
      <c r="BI269" s="350"/>
      <c r="BJ269" s="350"/>
      <c r="BK269" s="350"/>
      <c r="BL269" s="350"/>
      <c r="BM269" s="350"/>
      <c r="BN269" s="350"/>
      <c r="BO269" s="350"/>
      <c r="BP269" s="350"/>
      <c r="BQ269" s="350"/>
      <c r="BR269" s="350"/>
      <c r="BS269" s="350"/>
      <c r="BT269" s="350"/>
      <c r="BU269" s="350"/>
      <c r="BV269" s="350"/>
    </row>
    <row r="270" spans="2:74" x14ac:dyDescent="0.2">
      <c r="B270" s="270"/>
      <c r="C270" s="263"/>
      <c r="D270" s="263"/>
      <c r="E270" s="349"/>
      <c r="F270" s="350"/>
      <c r="G270" s="350"/>
      <c r="H270" s="350"/>
      <c r="I270" s="350"/>
      <c r="J270" s="350"/>
      <c r="K270" s="350"/>
      <c r="L270" s="350"/>
      <c r="M270" s="350"/>
      <c r="N270" s="350"/>
      <c r="O270" s="350"/>
      <c r="P270" s="350"/>
      <c r="Q270" s="350"/>
      <c r="R270" s="350"/>
      <c r="S270" s="350"/>
      <c r="T270" s="350"/>
      <c r="U270" s="350"/>
      <c r="V270" s="350"/>
      <c r="W270" s="350"/>
      <c r="X270" s="350"/>
      <c r="Y270" s="350"/>
      <c r="Z270" s="350"/>
      <c r="AA270" s="350"/>
      <c r="AB270" s="350"/>
      <c r="AC270" s="350"/>
      <c r="AD270" s="350"/>
      <c r="AE270" s="350"/>
      <c r="AF270" s="350"/>
      <c r="AG270" s="350"/>
      <c r="AH270" s="350"/>
      <c r="AI270" s="350"/>
      <c r="AJ270" s="350"/>
      <c r="AK270" s="350"/>
      <c r="AL270" s="350"/>
      <c r="AM270" s="350"/>
      <c r="AN270" s="350"/>
      <c r="AO270" s="350"/>
      <c r="AP270" s="350"/>
      <c r="AQ270" s="350"/>
      <c r="AR270" s="350"/>
      <c r="AS270" s="350"/>
      <c r="AT270" s="350"/>
      <c r="AU270" s="350"/>
      <c r="AV270" s="350"/>
      <c r="AW270" s="350"/>
      <c r="AX270" s="350"/>
      <c r="AY270" s="350"/>
      <c r="AZ270" s="350"/>
      <c r="BA270" s="350"/>
      <c r="BB270" s="350"/>
      <c r="BC270" s="350"/>
      <c r="BD270" s="350"/>
      <c r="BE270" s="350"/>
      <c r="BF270" s="350"/>
      <c r="BG270" s="350"/>
      <c r="BH270" s="350"/>
      <c r="BI270" s="350"/>
      <c r="BJ270" s="350"/>
      <c r="BK270" s="350"/>
      <c r="BL270" s="350"/>
      <c r="BM270" s="350"/>
      <c r="BN270" s="350"/>
      <c r="BO270" s="350"/>
      <c r="BP270" s="350"/>
      <c r="BQ270" s="350"/>
      <c r="BR270" s="350"/>
      <c r="BS270" s="350"/>
      <c r="BT270" s="350"/>
      <c r="BU270" s="350"/>
      <c r="BV270" s="350"/>
    </row>
    <row r="271" spans="2:74" x14ac:dyDescent="0.2">
      <c r="B271" s="270"/>
      <c r="C271" s="263"/>
      <c r="D271" s="263"/>
      <c r="E271" s="349"/>
      <c r="F271" s="350"/>
      <c r="G271" s="350"/>
      <c r="H271" s="350"/>
      <c r="I271" s="350"/>
      <c r="J271" s="350"/>
      <c r="K271" s="350"/>
      <c r="L271" s="350"/>
      <c r="M271" s="350"/>
      <c r="N271" s="350"/>
      <c r="O271" s="350"/>
      <c r="P271" s="350"/>
      <c r="Q271" s="350"/>
      <c r="R271" s="350"/>
      <c r="S271" s="350"/>
      <c r="T271" s="350"/>
      <c r="U271" s="350"/>
      <c r="V271" s="350"/>
      <c r="W271" s="350"/>
      <c r="X271" s="350"/>
      <c r="Y271" s="350"/>
      <c r="Z271" s="350"/>
      <c r="AA271" s="350"/>
      <c r="AB271" s="350"/>
      <c r="AC271" s="350"/>
      <c r="AD271" s="350"/>
      <c r="AE271" s="350"/>
      <c r="AF271" s="350"/>
      <c r="AG271" s="350"/>
      <c r="AH271" s="350"/>
      <c r="AI271" s="350"/>
      <c r="AJ271" s="350"/>
      <c r="AK271" s="350"/>
      <c r="AL271" s="350"/>
      <c r="AM271" s="350"/>
      <c r="AN271" s="350"/>
      <c r="AO271" s="350"/>
      <c r="AP271" s="350"/>
      <c r="AQ271" s="350"/>
      <c r="AR271" s="350"/>
      <c r="AS271" s="350"/>
      <c r="AT271" s="350"/>
      <c r="AU271" s="350"/>
      <c r="AV271" s="350"/>
      <c r="AW271" s="350"/>
      <c r="AX271" s="350"/>
      <c r="AY271" s="350"/>
      <c r="AZ271" s="350"/>
      <c r="BA271" s="350"/>
      <c r="BB271" s="350"/>
      <c r="BC271" s="350"/>
      <c r="BD271" s="350"/>
      <c r="BE271" s="350"/>
      <c r="BF271" s="350"/>
      <c r="BG271" s="350"/>
      <c r="BH271" s="350"/>
      <c r="BI271" s="350"/>
      <c r="BJ271" s="350"/>
      <c r="BK271" s="350"/>
      <c r="BL271" s="350"/>
      <c r="BM271" s="350"/>
      <c r="BN271" s="350"/>
      <c r="BO271" s="350"/>
      <c r="BP271" s="350"/>
      <c r="BQ271" s="350"/>
      <c r="BR271" s="350"/>
      <c r="BS271" s="350"/>
      <c r="BT271" s="350"/>
      <c r="BU271" s="350"/>
      <c r="BV271" s="350"/>
    </row>
    <row r="272" spans="2:74" x14ac:dyDescent="0.2">
      <c r="B272" s="270"/>
      <c r="C272" s="263"/>
      <c r="D272" s="263"/>
      <c r="E272" s="349"/>
      <c r="F272" s="350"/>
      <c r="G272" s="350"/>
      <c r="H272" s="350"/>
      <c r="I272" s="350"/>
      <c r="J272" s="350"/>
      <c r="K272" s="350"/>
      <c r="L272" s="350"/>
      <c r="M272" s="350"/>
      <c r="N272" s="350"/>
      <c r="O272" s="350"/>
      <c r="P272" s="350"/>
      <c r="Q272" s="350"/>
      <c r="R272" s="350"/>
      <c r="S272" s="350"/>
      <c r="T272" s="350"/>
      <c r="U272" s="350"/>
      <c r="V272" s="350"/>
      <c r="W272" s="350"/>
      <c r="X272" s="350"/>
      <c r="Y272" s="350"/>
      <c r="Z272" s="350"/>
      <c r="AA272" s="350"/>
      <c r="AB272" s="350"/>
      <c r="AC272" s="350"/>
      <c r="AD272" s="350"/>
      <c r="AE272" s="350"/>
      <c r="AF272" s="350"/>
      <c r="AG272" s="350"/>
      <c r="AH272" s="350"/>
      <c r="AI272" s="350"/>
      <c r="AJ272" s="350"/>
      <c r="AK272" s="350"/>
      <c r="AL272" s="350"/>
      <c r="AM272" s="350"/>
      <c r="AN272" s="350"/>
      <c r="AO272" s="350"/>
      <c r="AP272" s="350"/>
      <c r="AQ272" s="350"/>
      <c r="AR272" s="350"/>
      <c r="AS272" s="350"/>
      <c r="AT272" s="350"/>
      <c r="AU272" s="350"/>
      <c r="AV272" s="350"/>
      <c r="AW272" s="350"/>
      <c r="AX272" s="350"/>
      <c r="AY272" s="350"/>
      <c r="AZ272" s="350"/>
      <c r="BA272" s="350"/>
      <c r="BB272" s="350"/>
      <c r="BC272" s="350"/>
      <c r="BD272" s="350"/>
      <c r="BE272" s="350"/>
      <c r="BF272" s="350"/>
      <c r="BG272" s="350"/>
      <c r="BH272" s="350"/>
      <c r="BI272" s="350"/>
      <c r="BJ272" s="350"/>
      <c r="BK272" s="350"/>
      <c r="BL272" s="350"/>
      <c r="BM272" s="350"/>
      <c r="BN272" s="350"/>
      <c r="BO272" s="350"/>
      <c r="BP272" s="350"/>
      <c r="BQ272" s="350"/>
      <c r="BR272" s="350"/>
      <c r="BS272" s="350"/>
      <c r="BT272" s="350"/>
      <c r="BU272" s="350"/>
      <c r="BV272" s="350"/>
    </row>
    <row r="273" spans="2:74" x14ac:dyDescent="0.2">
      <c r="B273" s="270"/>
      <c r="C273" s="270"/>
      <c r="D273" s="270"/>
      <c r="E273" s="349"/>
      <c r="F273" s="350"/>
      <c r="G273" s="350"/>
      <c r="H273" s="350"/>
      <c r="I273" s="350"/>
      <c r="J273" s="350"/>
      <c r="K273" s="350"/>
      <c r="L273" s="350"/>
      <c r="M273" s="350"/>
      <c r="N273" s="350"/>
      <c r="O273" s="350"/>
      <c r="P273" s="350"/>
      <c r="Q273" s="350"/>
      <c r="R273" s="350"/>
      <c r="S273" s="350"/>
      <c r="T273" s="350"/>
      <c r="U273" s="350"/>
      <c r="V273" s="350"/>
      <c r="W273" s="350"/>
      <c r="X273" s="350"/>
      <c r="Y273" s="350"/>
      <c r="Z273" s="350"/>
      <c r="AA273" s="350"/>
      <c r="AB273" s="350"/>
      <c r="AC273" s="350"/>
      <c r="AD273" s="350"/>
      <c r="AE273" s="350"/>
      <c r="AF273" s="350"/>
      <c r="AG273" s="350"/>
      <c r="AH273" s="350"/>
      <c r="AI273" s="350"/>
      <c r="AJ273" s="350"/>
      <c r="AK273" s="350"/>
      <c r="AL273" s="350"/>
      <c r="AM273" s="350"/>
      <c r="AN273" s="350"/>
      <c r="AO273" s="350"/>
      <c r="AP273" s="350"/>
      <c r="AQ273" s="350"/>
      <c r="AR273" s="350"/>
      <c r="AS273" s="350"/>
      <c r="AT273" s="350"/>
      <c r="AU273" s="350"/>
      <c r="AV273" s="350"/>
      <c r="AW273" s="350"/>
      <c r="AX273" s="350"/>
      <c r="AY273" s="350"/>
      <c r="AZ273" s="350"/>
      <c r="BA273" s="350"/>
      <c r="BB273" s="350"/>
      <c r="BC273" s="350"/>
      <c r="BD273" s="350"/>
      <c r="BE273" s="350"/>
      <c r="BF273" s="350"/>
      <c r="BG273" s="350"/>
      <c r="BH273" s="350"/>
      <c r="BI273" s="350"/>
      <c r="BJ273" s="350"/>
      <c r="BK273" s="350"/>
      <c r="BL273" s="350"/>
      <c r="BM273" s="350"/>
      <c r="BN273" s="350"/>
      <c r="BO273" s="350"/>
      <c r="BP273" s="350"/>
      <c r="BQ273" s="350"/>
      <c r="BR273" s="350"/>
      <c r="BS273" s="350"/>
      <c r="BT273" s="350"/>
      <c r="BU273" s="350"/>
      <c r="BV273" s="350"/>
    </row>
    <row r="274" spans="2:74" x14ac:dyDescent="0.2">
      <c r="B274" s="270"/>
      <c r="C274" s="263"/>
      <c r="D274" s="263"/>
      <c r="E274" s="349"/>
      <c r="F274" s="350"/>
      <c r="G274" s="350"/>
      <c r="H274" s="350"/>
      <c r="I274" s="350"/>
      <c r="J274" s="350"/>
      <c r="K274" s="350"/>
      <c r="L274" s="350"/>
      <c r="M274" s="350"/>
      <c r="N274" s="350"/>
      <c r="O274" s="350"/>
      <c r="P274" s="350"/>
      <c r="Q274" s="350"/>
      <c r="R274" s="350"/>
      <c r="S274" s="350"/>
      <c r="T274" s="350"/>
      <c r="U274" s="350"/>
      <c r="V274" s="350"/>
      <c r="W274" s="350"/>
      <c r="X274" s="350"/>
      <c r="Y274" s="350"/>
      <c r="Z274" s="350"/>
      <c r="AA274" s="350"/>
      <c r="AB274" s="350"/>
      <c r="AC274" s="350"/>
      <c r="AD274" s="350"/>
      <c r="AE274" s="350"/>
      <c r="AF274" s="350"/>
      <c r="AG274" s="350"/>
      <c r="AH274" s="350"/>
      <c r="AI274" s="350"/>
      <c r="AJ274" s="350"/>
      <c r="AK274" s="350"/>
      <c r="AL274" s="350"/>
      <c r="AM274" s="350"/>
      <c r="AN274" s="350"/>
      <c r="AO274" s="350"/>
      <c r="AP274" s="350"/>
      <c r="AQ274" s="350"/>
      <c r="AR274" s="350"/>
      <c r="AS274" s="350"/>
      <c r="AT274" s="350"/>
      <c r="AU274" s="350"/>
      <c r="AV274" s="350"/>
      <c r="AW274" s="350"/>
      <c r="AX274" s="350"/>
      <c r="AY274" s="350"/>
      <c r="AZ274" s="350"/>
      <c r="BA274" s="350"/>
      <c r="BB274" s="350"/>
      <c r="BC274" s="350"/>
      <c r="BD274" s="350"/>
      <c r="BE274" s="350"/>
      <c r="BF274" s="350"/>
      <c r="BG274" s="350"/>
      <c r="BH274" s="350"/>
      <c r="BI274" s="350"/>
      <c r="BJ274" s="350"/>
      <c r="BK274" s="350"/>
      <c r="BL274" s="350"/>
      <c r="BM274" s="350"/>
      <c r="BN274" s="350"/>
      <c r="BO274" s="350"/>
      <c r="BP274" s="350"/>
      <c r="BQ274" s="350"/>
      <c r="BR274" s="350"/>
      <c r="BS274" s="350"/>
      <c r="BT274" s="350"/>
      <c r="BU274" s="350"/>
      <c r="BV274" s="350"/>
    </row>
    <row r="275" spans="2:74" x14ac:dyDescent="0.2">
      <c r="B275" s="270"/>
      <c r="C275" s="263"/>
      <c r="D275" s="263"/>
      <c r="E275" s="349"/>
      <c r="F275" s="350"/>
      <c r="G275" s="350"/>
      <c r="H275" s="350"/>
      <c r="I275" s="350"/>
      <c r="J275" s="350"/>
      <c r="K275" s="350"/>
      <c r="L275" s="350"/>
      <c r="M275" s="350"/>
      <c r="N275" s="350"/>
      <c r="O275" s="350"/>
      <c r="P275" s="350"/>
      <c r="Q275" s="350"/>
      <c r="R275" s="350"/>
      <c r="S275" s="350"/>
      <c r="T275" s="350"/>
      <c r="U275" s="350"/>
      <c r="V275" s="350"/>
      <c r="W275" s="350"/>
      <c r="X275" s="350"/>
      <c r="Y275" s="350"/>
      <c r="Z275" s="350"/>
      <c r="AA275" s="350"/>
      <c r="AB275" s="350"/>
      <c r="AC275" s="350"/>
      <c r="AD275" s="350"/>
      <c r="AE275" s="350"/>
      <c r="AF275" s="350"/>
      <c r="AG275" s="350"/>
      <c r="AH275" s="350"/>
      <c r="AI275" s="350"/>
      <c r="AJ275" s="350"/>
      <c r="AK275" s="350"/>
      <c r="AL275" s="350"/>
      <c r="AM275" s="350"/>
      <c r="AN275" s="350"/>
      <c r="AO275" s="350"/>
      <c r="AP275" s="350"/>
      <c r="AQ275" s="350"/>
      <c r="AR275" s="350"/>
      <c r="AS275" s="350"/>
      <c r="AT275" s="350"/>
      <c r="AU275" s="350"/>
      <c r="AV275" s="350"/>
      <c r="AW275" s="350"/>
      <c r="AX275" s="350"/>
      <c r="AY275" s="350"/>
      <c r="AZ275" s="350"/>
      <c r="BA275" s="350"/>
      <c r="BB275" s="350"/>
      <c r="BC275" s="350"/>
      <c r="BD275" s="350"/>
      <c r="BE275" s="350"/>
      <c r="BF275" s="350"/>
      <c r="BG275" s="350"/>
      <c r="BH275" s="350"/>
      <c r="BI275" s="350"/>
      <c r="BJ275" s="350"/>
      <c r="BK275" s="350"/>
      <c r="BL275" s="350"/>
      <c r="BM275" s="350"/>
      <c r="BN275" s="350"/>
      <c r="BO275" s="350"/>
      <c r="BP275" s="350"/>
      <c r="BQ275" s="350"/>
      <c r="BR275" s="350"/>
      <c r="BS275" s="350"/>
      <c r="BT275" s="350"/>
      <c r="BU275" s="350"/>
      <c r="BV275" s="350"/>
    </row>
    <row r="276" spans="2:74" x14ac:dyDescent="0.2">
      <c r="B276" s="270"/>
      <c r="C276" s="263"/>
      <c r="D276" s="263"/>
      <c r="E276" s="349"/>
      <c r="F276" s="350"/>
      <c r="G276" s="350"/>
      <c r="H276" s="350"/>
      <c r="I276" s="350"/>
      <c r="J276" s="350"/>
      <c r="K276" s="350"/>
      <c r="L276" s="350"/>
      <c r="M276" s="350"/>
      <c r="N276" s="350"/>
      <c r="O276" s="350"/>
      <c r="P276" s="350"/>
      <c r="Q276" s="350"/>
      <c r="R276" s="350"/>
      <c r="S276" s="350"/>
      <c r="T276" s="350"/>
      <c r="U276" s="350"/>
      <c r="V276" s="350"/>
      <c r="W276" s="350"/>
      <c r="X276" s="350"/>
      <c r="Y276" s="350"/>
      <c r="Z276" s="350"/>
      <c r="AA276" s="350"/>
      <c r="AB276" s="350"/>
      <c r="AC276" s="350"/>
      <c r="AD276" s="350"/>
      <c r="AE276" s="350"/>
      <c r="AF276" s="350"/>
      <c r="AG276" s="350"/>
      <c r="AH276" s="350"/>
      <c r="AI276" s="350"/>
      <c r="AJ276" s="350"/>
      <c r="AK276" s="350"/>
      <c r="AL276" s="350"/>
      <c r="AM276" s="350"/>
      <c r="AN276" s="350"/>
      <c r="AO276" s="350"/>
      <c r="AP276" s="350"/>
      <c r="AQ276" s="350"/>
      <c r="AR276" s="350"/>
      <c r="AS276" s="350"/>
      <c r="AT276" s="350"/>
      <c r="AU276" s="350"/>
      <c r="AV276" s="350"/>
      <c r="AW276" s="350"/>
      <c r="AX276" s="350"/>
      <c r="AY276" s="350"/>
      <c r="AZ276" s="350"/>
      <c r="BA276" s="350"/>
      <c r="BB276" s="350"/>
      <c r="BC276" s="350"/>
      <c r="BD276" s="350"/>
      <c r="BE276" s="350"/>
      <c r="BF276" s="350"/>
      <c r="BG276" s="350"/>
      <c r="BH276" s="350"/>
      <c r="BI276" s="350"/>
      <c r="BJ276" s="350"/>
      <c r="BK276" s="350"/>
      <c r="BL276" s="350"/>
      <c r="BM276" s="350"/>
      <c r="BN276" s="350"/>
      <c r="BO276" s="350"/>
      <c r="BP276" s="350"/>
      <c r="BQ276" s="350"/>
      <c r="BR276" s="350"/>
      <c r="BS276" s="350"/>
      <c r="BT276" s="350"/>
      <c r="BU276" s="350"/>
      <c r="BV276" s="350"/>
    </row>
    <row r="277" spans="2:74" x14ac:dyDescent="0.2">
      <c r="B277" s="270"/>
      <c r="C277" s="263"/>
      <c r="D277" s="263"/>
      <c r="E277" s="349"/>
      <c r="F277" s="350"/>
      <c r="G277" s="350"/>
      <c r="H277" s="350"/>
      <c r="I277" s="350"/>
      <c r="J277" s="350"/>
      <c r="K277" s="350"/>
      <c r="L277" s="350"/>
      <c r="M277" s="350"/>
      <c r="N277" s="350"/>
      <c r="O277" s="350"/>
      <c r="P277" s="350"/>
      <c r="Q277" s="350"/>
      <c r="R277" s="350"/>
      <c r="S277" s="350"/>
      <c r="T277" s="350"/>
      <c r="U277" s="350"/>
      <c r="V277" s="350"/>
      <c r="W277" s="350"/>
      <c r="X277" s="350"/>
      <c r="Y277" s="350"/>
      <c r="Z277" s="350"/>
      <c r="AA277" s="350"/>
      <c r="AB277" s="350"/>
      <c r="AC277" s="350"/>
      <c r="AD277" s="350"/>
      <c r="AE277" s="350"/>
      <c r="AF277" s="350"/>
      <c r="AG277" s="350"/>
      <c r="AH277" s="350"/>
      <c r="AI277" s="350"/>
      <c r="AJ277" s="350"/>
      <c r="AK277" s="350"/>
      <c r="AL277" s="350"/>
      <c r="AM277" s="350"/>
      <c r="AN277" s="350"/>
      <c r="AO277" s="350"/>
      <c r="AP277" s="350"/>
      <c r="AQ277" s="350"/>
      <c r="AR277" s="350"/>
      <c r="AS277" s="350"/>
      <c r="AT277" s="350"/>
      <c r="AU277" s="350"/>
      <c r="AV277" s="350"/>
      <c r="AW277" s="350"/>
      <c r="AX277" s="350"/>
      <c r="AY277" s="350"/>
      <c r="AZ277" s="350"/>
      <c r="BA277" s="350"/>
      <c r="BB277" s="350"/>
      <c r="BC277" s="350"/>
      <c r="BD277" s="350"/>
      <c r="BE277" s="350"/>
      <c r="BF277" s="350"/>
      <c r="BG277" s="350"/>
      <c r="BH277" s="350"/>
      <c r="BI277" s="350"/>
      <c r="BJ277" s="350"/>
      <c r="BK277" s="350"/>
      <c r="BL277" s="350"/>
      <c r="BM277" s="350"/>
      <c r="BN277" s="350"/>
      <c r="BO277" s="350"/>
      <c r="BP277" s="350"/>
      <c r="BQ277" s="350"/>
      <c r="BR277" s="350"/>
      <c r="BS277" s="350"/>
      <c r="BT277" s="350"/>
      <c r="BU277" s="350"/>
      <c r="BV277" s="350"/>
    </row>
    <row r="278" spans="2:74" x14ac:dyDescent="0.2">
      <c r="B278" s="270"/>
      <c r="C278" s="263"/>
      <c r="D278" s="263"/>
      <c r="E278" s="349"/>
      <c r="F278" s="350"/>
      <c r="G278" s="350"/>
      <c r="H278" s="350"/>
      <c r="I278" s="350"/>
      <c r="J278" s="350"/>
      <c r="K278" s="350"/>
      <c r="L278" s="350"/>
      <c r="M278" s="350"/>
      <c r="N278" s="350"/>
      <c r="O278" s="350"/>
      <c r="P278" s="350"/>
      <c r="Q278" s="350"/>
      <c r="R278" s="350"/>
      <c r="S278" s="350"/>
      <c r="T278" s="350"/>
      <c r="U278" s="350"/>
      <c r="V278" s="350"/>
      <c r="W278" s="350"/>
      <c r="X278" s="350"/>
      <c r="Y278" s="350"/>
      <c r="Z278" s="350"/>
      <c r="AA278" s="350"/>
      <c r="AB278" s="350"/>
      <c r="AC278" s="350"/>
      <c r="AD278" s="350"/>
      <c r="AE278" s="350"/>
      <c r="AF278" s="350"/>
      <c r="AG278" s="350"/>
      <c r="AH278" s="350"/>
      <c r="AI278" s="350"/>
      <c r="AJ278" s="350"/>
      <c r="AK278" s="350"/>
      <c r="AL278" s="350"/>
      <c r="AM278" s="350"/>
      <c r="AN278" s="350"/>
      <c r="AO278" s="350"/>
      <c r="AP278" s="350"/>
      <c r="AQ278" s="350"/>
      <c r="AR278" s="350"/>
      <c r="AS278" s="350"/>
      <c r="AT278" s="350"/>
      <c r="AU278" s="350"/>
      <c r="AV278" s="350"/>
      <c r="AW278" s="350"/>
      <c r="AX278" s="350"/>
      <c r="AY278" s="350"/>
      <c r="AZ278" s="350"/>
      <c r="BA278" s="350"/>
      <c r="BB278" s="350"/>
      <c r="BC278" s="350"/>
      <c r="BD278" s="350"/>
      <c r="BE278" s="350"/>
      <c r="BF278" s="350"/>
      <c r="BG278" s="350"/>
      <c r="BH278" s="350"/>
      <c r="BI278" s="350"/>
      <c r="BJ278" s="350"/>
      <c r="BK278" s="350"/>
      <c r="BL278" s="350"/>
      <c r="BM278" s="350"/>
      <c r="BN278" s="350"/>
      <c r="BO278" s="350"/>
      <c r="BP278" s="350"/>
      <c r="BQ278" s="350"/>
      <c r="BR278" s="350"/>
      <c r="BS278" s="350"/>
      <c r="BT278" s="350"/>
      <c r="BU278" s="350"/>
      <c r="BV278" s="350"/>
    </row>
    <row r="279" spans="2:74" x14ac:dyDescent="0.2">
      <c r="B279" s="270"/>
      <c r="C279" s="263"/>
      <c r="D279" s="263"/>
      <c r="E279" s="349"/>
      <c r="F279" s="350"/>
      <c r="G279" s="350"/>
      <c r="H279" s="350"/>
      <c r="I279" s="350"/>
      <c r="J279" s="350"/>
      <c r="K279" s="350"/>
      <c r="L279" s="350"/>
      <c r="M279" s="350"/>
      <c r="N279" s="350"/>
      <c r="O279" s="350"/>
      <c r="P279" s="350"/>
      <c r="Q279" s="350"/>
      <c r="R279" s="350"/>
      <c r="S279" s="350"/>
      <c r="T279" s="350"/>
      <c r="U279" s="350"/>
      <c r="V279" s="350"/>
      <c r="W279" s="350"/>
      <c r="X279" s="350"/>
      <c r="Y279" s="350"/>
      <c r="Z279" s="350"/>
      <c r="AA279" s="350"/>
      <c r="AB279" s="350"/>
      <c r="AC279" s="350"/>
      <c r="AD279" s="350"/>
      <c r="AE279" s="350"/>
      <c r="AF279" s="350"/>
      <c r="AG279" s="350"/>
      <c r="AH279" s="350"/>
      <c r="AI279" s="350"/>
      <c r="AJ279" s="350"/>
      <c r="AK279" s="350"/>
      <c r="AL279" s="350"/>
      <c r="AM279" s="350"/>
      <c r="AN279" s="350"/>
      <c r="AO279" s="350"/>
      <c r="AP279" s="350"/>
      <c r="AQ279" s="350"/>
      <c r="AR279" s="350"/>
      <c r="AS279" s="350"/>
      <c r="AT279" s="350"/>
      <c r="AU279" s="350"/>
      <c r="AV279" s="350"/>
      <c r="AW279" s="350"/>
      <c r="AX279" s="350"/>
      <c r="AY279" s="350"/>
      <c r="AZ279" s="350"/>
      <c r="BA279" s="350"/>
      <c r="BB279" s="350"/>
      <c r="BC279" s="350"/>
      <c r="BD279" s="350"/>
      <c r="BE279" s="350"/>
      <c r="BF279" s="350"/>
      <c r="BG279" s="350"/>
      <c r="BH279" s="350"/>
      <c r="BI279" s="350"/>
      <c r="BJ279" s="350"/>
      <c r="BK279" s="350"/>
      <c r="BL279" s="350"/>
      <c r="BM279" s="350"/>
      <c r="BN279" s="350"/>
      <c r="BO279" s="350"/>
      <c r="BP279" s="350"/>
      <c r="BQ279" s="350"/>
      <c r="BR279" s="350"/>
      <c r="BS279" s="350"/>
      <c r="BT279" s="350"/>
      <c r="BU279" s="350"/>
      <c r="BV279" s="350"/>
    </row>
    <row r="280" spans="2:74" x14ac:dyDescent="0.2">
      <c r="B280" s="270"/>
      <c r="C280" s="263"/>
      <c r="D280" s="263"/>
      <c r="E280" s="349"/>
      <c r="F280" s="350"/>
      <c r="G280" s="350"/>
      <c r="H280" s="350"/>
      <c r="I280" s="350"/>
      <c r="J280" s="350"/>
      <c r="K280" s="350"/>
      <c r="L280" s="350"/>
      <c r="M280" s="350"/>
      <c r="N280" s="350"/>
      <c r="O280" s="350"/>
      <c r="P280" s="350"/>
      <c r="Q280" s="350"/>
      <c r="R280" s="350"/>
      <c r="S280" s="350"/>
      <c r="T280" s="350"/>
      <c r="U280" s="350"/>
      <c r="V280" s="350"/>
      <c r="W280" s="350"/>
      <c r="X280" s="350"/>
      <c r="Y280" s="350"/>
      <c r="Z280" s="350"/>
      <c r="AA280" s="350"/>
      <c r="AB280" s="350"/>
      <c r="AC280" s="350"/>
      <c r="AD280" s="350"/>
      <c r="AE280" s="350"/>
      <c r="AF280" s="350"/>
      <c r="AG280" s="350"/>
      <c r="AH280" s="350"/>
      <c r="AI280" s="350"/>
      <c r="AJ280" s="350"/>
      <c r="AK280" s="350"/>
      <c r="AL280" s="350"/>
      <c r="AM280" s="350"/>
      <c r="AN280" s="350"/>
      <c r="AO280" s="350"/>
      <c r="AP280" s="350"/>
      <c r="AQ280" s="350"/>
      <c r="AR280" s="350"/>
      <c r="AS280" s="350"/>
      <c r="AT280" s="350"/>
      <c r="AU280" s="350"/>
      <c r="AV280" s="350"/>
      <c r="AW280" s="350"/>
      <c r="AX280" s="350"/>
      <c r="AY280" s="350"/>
      <c r="AZ280" s="350"/>
      <c r="BA280" s="350"/>
      <c r="BB280" s="350"/>
      <c r="BC280" s="350"/>
      <c r="BD280" s="350"/>
      <c r="BE280" s="350"/>
      <c r="BF280" s="350"/>
      <c r="BG280" s="350"/>
      <c r="BH280" s="350"/>
      <c r="BI280" s="350"/>
      <c r="BJ280" s="350"/>
      <c r="BK280" s="350"/>
      <c r="BL280" s="350"/>
      <c r="BM280" s="350"/>
      <c r="BN280" s="350"/>
      <c r="BO280" s="350"/>
      <c r="BP280" s="350"/>
      <c r="BQ280" s="350"/>
      <c r="BR280" s="350"/>
      <c r="BS280" s="350"/>
      <c r="BT280" s="350"/>
      <c r="BU280" s="350"/>
      <c r="BV280" s="350"/>
    </row>
    <row r="281" spans="2:74" x14ac:dyDescent="0.2">
      <c r="B281" s="270"/>
      <c r="C281" s="263"/>
      <c r="D281" s="263"/>
      <c r="E281" s="349"/>
      <c r="F281" s="350"/>
      <c r="G281" s="350"/>
      <c r="H281" s="350"/>
      <c r="I281" s="350"/>
      <c r="J281" s="350"/>
      <c r="K281" s="350"/>
      <c r="L281" s="350"/>
      <c r="M281" s="350"/>
      <c r="N281" s="350"/>
      <c r="O281" s="350"/>
      <c r="P281" s="350"/>
      <c r="Q281" s="350"/>
      <c r="R281" s="350"/>
      <c r="S281" s="350"/>
      <c r="T281" s="350"/>
      <c r="U281" s="350"/>
      <c r="V281" s="350"/>
      <c r="W281" s="350"/>
      <c r="X281" s="350"/>
      <c r="Y281" s="350"/>
      <c r="Z281" s="350"/>
      <c r="AA281" s="350"/>
      <c r="AB281" s="350"/>
      <c r="AC281" s="350"/>
      <c r="AD281" s="350"/>
      <c r="AE281" s="350"/>
      <c r="AF281" s="350"/>
      <c r="AG281" s="350"/>
      <c r="AH281" s="350"/>
      <c r="AI281" s="350"/>
      <c r="AJ281" s="350"/>
      <c r="AK281" s="350"/>
      <c r="AL281" s="350"/>
      <c r="AM281" s="350"/>
      <c r="AN281" s="350"/>
      <c r="AO281" s="350"/>
      <c r="AP281" s="350"/>
      <c r="AQ281" s="350"/>
      <c r="AR281" s="350"/>
      <c r="AS281" s="350"/>
      <c r="AT281" s="350"/>
      <c r="AU281" s="350"/>
      <c r="AV281" s="350"/>
      <c r="AW281" s="350"/>
      <c r="AX281" s="350"/>
      <c r="AY281" s="350"/>
      <c r="AZ281" s="350"/>
      <c r="BA281" s="350"/>
      <c r="BB281" s="350"/>
      <c r="BC281" s="350"/>
      <c r="BD281" s="350"/>
      <c r="BE281" s="350"/>
      <c r="BF281" s="350"/>
      <c r="BG281" s="350"/>
      <c r="BH281" s="350"/>
      <c r="BI281" s="350"/>
      <c r="BJ281" s="350"/>
      <c r="BK281" s="350"/>
      <c r="BL281" s="350"/>
      <c r="BM281" s="350"/>
      <c r="BN281" s="350"/>
      <c r="BO281" s="350"/>
      <c r="BP281" s="350"/>
      <c r="BQ281" s="350"/>
      <c r="BR281" s="350"/>
      <c r="BS281" s="350"/>
      <c r="BT281" s="350"/>
      <c r="BU281" s="350"/>
      <c r="BV281" s="350"/>
    </row>
    <row r="282" spans="2:74" x14ac:dyDescent="0.2">
      <c r="B282" s="270"/>
      <c r="C282" s="263"/>
      <c r="D282" s="263"/>
      <c r="E282" s="349"/>
      <c r="F282" s="350"/>
      <c r="G282" s="350"/>
      <c r="H282" s="350"/>
      <c r="I282" s="350"/>
      <c r="J282" s="350"/>
      <c r="K282" s="350"/>
      <c r="L282" s="350"/>
      <c r="M282" s="350"/>
      <c r="N282" s="350"/>
      <c r="O282" s="350"/>
      <c r="P282" s="350"/>
      <c r="Q282" s="350"/>
      <c r="R282" s="350"/>
      <c r="S282" s="350"/>
      <c r="T282" s="350"/>
      <c r="U282" s="350"/>
      <c r="V282" s="350"/>
      <c r="W282" s="350"/>
      <c r="X282" s="350"/>
      <c r="Y282" s="350"/>
      <c r="Z282" s="350"/>
      <c r="AA282" s="350"/>
      <c r="AB282" s="350"/>
      <c r="AC282" s="350"/>
      <c r="AD282" s="350"/>
      <c r="AE282" s="350"/>
      <c r="AF282" s="350"/>
      <c r="AG282" s="350"/>
      <c r="AH282" s="350"/>
      <c r="AI282" s="350"/>
      <c r="AJ282" s="350"/>
      <c r="AK282" s="350"/>
      <c r="AL282" s="350"/>
      <c r="AM282" s="350"/>
      <c r="AN282" s="350"/>
      <c r="AO282" s="350"/>
      <c r="AP282" s="350"/>
      <c r="AQ282" s="350"/>
      <c r="AR282" s="350"/>
      <c r="AS282" s="350"/>
      <c r="AT282" s="350"/>
      <c r="AU282" s="350"/>
      <c r="AV282" s="350"/>
      <c r="AW282" s="350"/>
      <c r="AX282" s="350"/>
      <c r="AY282" s="350"/>
      <c r="AZ282" s="350"/>
      <c r="BA282" s="350"/>
      <c r="BB282" s="350"/>
      <c r="BC282" s="350"/>
      <c r="BD282" s="350"/>
      <c r="BE282" s="350"/>
      <c r="BF282" s="350"/>
      <c r="BG282" s="350"/>
      <c r="BH282" s="350"/>
      <c r="BI282" s="350"/>
      <c r="BJ282" s="350"/>
      <c r="BK282" s="350"/>
      <c r="BL282" s="350"/>
      <c r="BM282" s="350"/>
      <c r="BN282" s="350"/>
      <c r="BO282" s="350"/>
      <c r="BP282" s="350"/>
      <c r="BQ282" s="350"/>
      <c r="BR282" s="350"/>
      <c r="BS282" s="350"/>
      <c r="BT282" s="350"/>
      <c r="BU282" s="350"/>
      <c r="BV282" s="350"/>
    </row>
    <row r="283" spans="2:74" x14ac:dyDescent="0.2">
      <c r="B283" s="270"/>
      <c r="C283" s="263"/>
      <c r="D283" s="263"/>
      <c r="E283" s="349"/>
      <c r="F283" s="350"/>
      <c r="G283" s="350"/>
      <c r="H283" s="350"/>
      <c r="I283" s="350"/>
      <c r="J283" s="350"/>
      <c r="K283" s="350"/>
      <c r="L283" s="350"/>
      <c r="M283" s="350"/>
      <c r="N283" s="350"/>
      <c r="O283" s="350"/>
      <c r="P283" s="350"/>
      <c r="Q283" s="350"/>
      <c r="R283" s="350"/>
      <c r="S283" s="350"/>
      <c r="T283" s="350"/>
      <c r="U283" s="350"/>
      <c r="V283" s="350"/>
      <c r="W283" s="350"/>
      <c r="X283" s="350"/>
      <c r="Y283" s="350"/>
      <c r="Z283" s="350"/>
      <c r="AA283" s="350"/>
      <c r="AB283" s="350"/>
      <c r="AC283" s="350"/>
      <c r="AD283" s="350"/>
      <c r="AE283" s="350"/>
      <c r="AF283" s="350"/>
      <c r="AG283" s="350"/>
      <c r="AH283" s="350"/>
      <c r="AI283" s="350"/>
      <c r="AJ283" s="350"/>
      <c r="AK283" s="350"/>
      <c r="AL283" s="350"/>
      <c r="AM283" s="350"/>
      <c r="AN283" s="350"/>
      <c r="AO283" s="350"/>
      <c r="AP283" s="350"/>
      <c r="AQ283" s="350"/>
      <c r="AR283" s="350"/>
      <c r="AS283" s="350"/>
      <c r="AT283" s="350"/>
      <c r="AU283" s="350"/>
      <c r="AV283" s="350"/>
      <c r="AW283" s="350"/>
      <c r="AX283" s="350"/>
      <c r="AY283" s="350"/>
      <c r="AZ283" s="350"/>
      <c r="BA283" s="350"/>
      <c r="BB283" s="350"/>
      <c r="BC283" s="350"/>
      <c r="BD283" s="350"/>
      <c r="BE283" s="350"/>
      <c r="BF283" s="350"/>
      <c r="BG283" s="350"/>
      <c r="BH283" s="350"/>
      <c r="BI283" s="350"/>
      <c r="BJ283" s="350"/>
      <c r="BK283" s="350"/>
      <c r="BL283" s="350"/>
      <c r="BM283" s="350"/>
      <c r="BN283" s="350"/>
      <c r="BO283" s="350"/>
      <c r="BP283" s="350"/>
      <c r="BQ283" s="350"/>
      <c r="BR283" s="350"/>
      <c r="BS283" s="350"/>
      <c r="BT283" s="350"/>
      <c r="BU283" s="350"/>
      <c r="BV283" s="350"/>
    </row>
    <row r="284" spans="2:74" x14ac:dyDescent="0.2">
      <c r="B284" s="270"/>
      <c r="C284" s="263"/>
      <c r="D284" s="263"/>
      <c r="E284" s="349"/>
      <c r="F284" s="350"/>
      <c r="G284" s="350"/>
      <c r="H284" s="350"/>
      <c r="I284" s="350"/>
      <c r="J284" s="350"/>
      <c r="K284" s="350"/>
      <c r="L284" s="350"/>
      <c r="M284" s="350"/>
      <c r="N284" s="350"/>
      <c r="O284" s="350"/>
      <c r="P284" s="350"/>
      <c r="Q284" s="350"/>
      <c r="R284" s="350"/>
      <c r="S284" s="350"/>
      <c r="T284" s="350"/>
      <c r="U284" s="350"/>
      <c r="V284" s="350"/>
      <c r="W284" s="350"/>
      <c r="X284" s="350"/>
      <c r="Y284" s="350"/>
      <c r="Z284" s="350"/>
      <c r="AA284" s="350"/>
      <c r="AB284" s="350"/>
      <c r="AC284" s="350"/>
      <c r="AD284" s="350"/>
      <c r="AE284" s="350"/>
      <c r="AF284" s="350"/>
      <c r="AG284" s="350"/>
      <c r="AH284" s="350"/>
      <c r="AI284" s="350"/>
      <c r="AJ284" s="350"/>
      <c r="AK284" s="350"/>
      <c r="AL284" s="350"/>
      <c r="AM284" s="350"/>
      <c r="AN284" s="350"/>
      <c r="AO284" s="350"/>
      <c r="AP284" s="350"/>
      <c r="AQ284" s="350"/>
      <c r="AR284" s="350"/>
      <c r="AS284" s="350"/>
      <c r="AT284" s="350"/>
      <c r="AU284" s="350"/>
      <c r="AV284" s="350"/>
      <c r="AW284" s="350"/>
      <c r="AX284" s="350"/>
      <c r="AY284" s="350"/>
      <c r="AZ284" s="350"/>
      <c r="BA284" s="350"/>
      <c r="BB284" s="350"/>
      <c r="BC284" s="350"/>
      <c r="BD284" s="350"/>
      <c r="BE284" s="350"/>
      <c r="BF284" s="350"/>
      <c r="BG284" s="350"/>
      <c r="BH284" s="350"/>
      <c r="BI284" s="350"/>
      <c r="BJ284" s="350"/>
      <c r="BK284" s="350"/>
      <c r="BL284" s="350"/>
      <c r="BM284" s="350"/>
      <c r="BN284" s="350"/>
      <c r="BO284" s="350"/>
      <c r="BP284" s="350"/>
      <c r="BQ284" s="350"/>
      <c r="BR284" s="350"/>
      <c r="BS284" s="350"/>
      <c r="BT284" s="350"/>
      <c r="BU284" s="350"/>
      <c r="BV284" s="350"/>
    </row>
    <row r="285" spans="2:74" x14ac:dyDescent="0.2">
      <c r="B285" s="270"/>
      <c r="C285" s="263"/>
      <c r="D285" s="263"/>
      <c r="E285" s="349"/>
      <c r="F285" s="350"/>
      <c r="G285" s="350"/>
      <c r="H285" s="350"/>
      <c r="I285" s="350"/>
      <c r="J285" s="350"/>
      <c r="K285" s="350"/>
      <c r="L285" s="350"/>
      <c r="M285" s="350"/>
      <c r="N285" s="350"/>
      <c r="O285" s="350"/>
      <c r="P285" s="350"/>
      <c r="Q285" s="350"/>
      <c r="R285" s="350"/>
      <c r="S285" s="350"/>
      <c r="T285" s="350"/>
      <c r="U285" s="350"/>
      <c r="V285" s="350"/>
      <c r="W285" s="350"/>
      <c r="X285" s="350"/>
      <c r="Y285" s="350"/>
      <c r="Z285" s="350"/>
      <c r="AA285" s="350"/>
      <c r="AB285" s="350"/>
      <c r="AC285" s="350"/>
      <c r="AD285" s="350"/>
      <c r="AE285" s="350"/>
      <c r="AF285" s="350"/>
      <c r="AG285" s="350"/>
      <c r="AH285" s="350"/>
      <c r="AI285" s="350"/>
      <c r="AJ285" s="350"/>
      <c r="AK285" s="350"/>
      <c r="AL285" s="350"/>
      <c r="AM285" s="350"/>
      <c r="AN285" s="350"/>
      <c r="AO285" s="350"/>
      <c r="AP285" s="350"/>
      <c r="AQ285" s="350"/>
      <c r="AR285" s="350"/>
      <c r="AS285" s="350"/>
      <c r="AT285" s="350"/>
      <c r="AU285" s="350"/>
      <c r="AV285" s="350"/>
      <c r="AW285" s="350"/>
      <c r="AX285" s="350"/>
      <c r="AY285" s="350"/>
      <c r="AZ285" s="350"/>
      <c r="BA285" s="350"/>
      <c r="BB285" s="350"/>
      <c r="BC285" s="350"/>
      <c r="BD285" s="350"/>
      <c r="BE285" s="350"/>
      <c r="BF285" s="350"/>
      <c r="BG285" s="350"/>
      <c r="BH285" s="350"/>
      <c r="BI285" s="350"/>
      <c r="BJ285" s="350"/>
      <c r="BK285" s="350"/>
      <c r="BL285" s="350"/>
      <c r="BM285" s="350"/>
      <c r="BN285" s="350"/>
      <c r="BO285" s="350"/>
      <c r="BP285" s="350"/>
      <c r="BQ285" s="350"/>
      <c r="BR285" s="350"/>
      <c r="BS285" s="350"/>
      <c r="BT285" s="350"/>
      <c r="BU285" s="350"/>
      <c r="BV285" s="350"/>
    </row>
    <row r="286" spans="2:74" x14ac:dyDescent="0.2">
      <c r="B286" s="270"/>
      <c r="C286" s="270"/>
      <c r="D286" s="270"/>
      <c r="E286" s="349"/>
      <c r="F286" s="350"/>
      <c r="G286" s="350"/>
      <c r="H286" s="350"/>
      <c r="I286" s="350"/>
      <c r="J286" s="350"/>
      <c r="K286" s="350"/>
      <c r="L286" s="350"/>
      <c r="M286" s="350"/>
      <c r="N286" s="350"/>
      <c r="O286" s="350"/>
      <c r="P286" s="350"/>
      <c r="Q286" s="350"/>
      <c r="R286" s="350"/>
      <c r="S286" s="350"/>
      <c r="T286" s="350"/>
      <c r="U286" s="350"/>
      <c r="V286" s="350"/>
      <c r="W286" s="350"/>
      <c r="X286" s="350"/>
      <c r="Y286" s="350"/>
      <c r="Z286" s="350"/>
      <c r="AA286" s="350"/>
      <c r="AB286" s="350"/>
      <c r="AC286" s="350"/>
      <c r="AD286" s="350"/>
      <c r="AE286" s="350"/>
      <c r="AF286" s="350"/>
      <c r="AG286" s="350"/>
      <c r="AH286" s="350"/>
      <c r="AI286" s="350"/>
      <c r="AJ286" s="350"/>
      <c r="AK286" s="350"/>
      <c r="AL286" s="350"/>
      <c r="AM286" s="350"/>
      <c r="AN286" s="350"/>
      <c r="AO286" s="350"/>
      <c r="AP286" s="350"/>
      <c r="AQ286" s="350"/>
      <c r="AR286" s="350"/>
      <c r="AS286" s="350"/>
      <c r="AT286" s="350"/>
      <c r="AU286" s="350"/>
      <c r="AV286" s="350"/>
      <c r="AW286" s="350"/>
      <c r="AX286" s="350"/>
      <c r="AY286" s="350"/>
      <c r="AZ286" s="350"/>
      <c r="BA286" s="350"/>
      <c r="BB286" s="350"/>
      <c r="BC286" s="350"/>
      <c r="BD286" s="350"/>
      <c r="BE286" s="350"/>
      <c r="BF286" s="350"/>
      <c r="BG286" s="350"/>
      <c r="BH286" s="350"/>
      <c r="BI286" s="350"/>
      <c r="BJ286" s="350"/>
      <c r="BK286" s="350"/>
      <c r="BL286" s="350"/>
      <c r="BM286" s="350"/>
      <c r="BN286" s="350"/>
      <c r="BO286" s="350"/>
      <c r="BP286" s="350"/>
      <c r="BQ286" s="350"/>
      <c r="BR286" s="350"/>
      <c r="BS286" s="350"/>
      <c r="BT286" s="350"/>
      <c r="BU286" s="350"/>
      <c r="BV286" s="350"/>
    </row>
    <row r="287" spans="2:74" x14ac:dyDescent="0.2">
      <c r="B287" s="270"/>
      <c r="C287" s="270"/>
      <c r="D287" s="270"/>
      <c r="E287" s="349"/>
      <c r="F287" s="350"/>
      <c r="G287" s="350"/>
      <c r="H287" s="350"/>
      <c r="I287" s="350"/>
      <c r="J287" s="350"/>
      <c r="K287" s="350"/>
      <c r="L287" s="350"/>
      <c r="M287" s="350"/>
      <c r="N287" s="350"/>
      <c r="O287" s="350"/>
      <c r="P287" s="350"/>
      <c r="Q287" s="350"/>
      <c r="R287" s="350"/>
      <c r="S287" s="350"/>
      <c r="T287" s="350"/>
      <c r="U287" s="350"/>
      <c r="V287" s="350"/>
      <c r="W287" s="350"/>
      <c r="X287" s="350"/>
      <c r="Y287" s="350"/>
      <c r="Z287" s="350"/>
      <c r="AA287" s="350"/>
      <c r="AB287" s="350"/>
      <c r="AC287" s="350"/>
      <c r="AD287" s="350"/>
      <c r="AE287" s="350"/>
      <c r="AF287" s="350"/>
      <c r="AG287" s="350"/>
      <c r="AH287" s="350"/>
      <c r="AI287" s="350"/>
      <c r="AJ287" s="350"/>
      <c r="AK287" s="350"/>
      <c r="AL287" s="350"/>
      <c r="AM287" s="350"/>
      <c r="AN287" s="350"/>
      <c r="AO287" s="350"/>
      <c r="AP287" s="350"/>
      <c r="AQ287" s="350"/>
      <c r="AR287" s="350"/>
      <c r="AS287" s="350"/>
      <c r="AT287" s="350"/>
      <c r="AU287" s="350"/>
      <c r="AV287" s="350"/>
      <c r="AW287" s="350"/>
      <c r="AX287" s="350"/>
      <c r="AY287" s="350"/>
      <c r="AZ287" s="350"/>
      <c r="BA287" s="350"/>
      <c r="BB287" s="350"/>
      <c r="BC287" s="350"/>
      <c r="BD287" s="350"/>
      <c r="BE287" s="350"/>
      <c r="BF287" s="350"/>
      <c r="BG287" s="350"/>
      <c r="BH287" s="350"/>
      <c r="BI287" s="350"/>
      <c r="BJ287" s="350"/>
      <c r="BK287" s="350"/>
      <c r="BL287" s="350"/>
      <c r="BM287" s="350"/>
      <c r="BN287" s="350"/>
      <c r="BO287" s="350"/>
      <c r="BP287" s="350"/>
      <c r="BQ287" s="350"/>
      <c r="BR287" s="350"/>
      <c r="BS287" s="350"/>
      <c r="BT287" s="350"/>
      <c r="BU287" s="350"/>
      <c r="BV287" s="350"/>
    </row>
    <row r="288" spans="2:74" x14ac:dyDescent="0.2">
      <c r="B288" s="270"/>
      <c r="C288" s="263"/>
      <c r="D288" s="263"/>
      <c r="E288" s="349"/>
      <c r="F288" s="350"/>
      <c r="G288" s="350"/>
      <c r="H288" s="350"/>
      <c r="I288" s="350"/>
      <c r="J288" s="350"/>
      <c r="K288" s="350"/>
      <c r="L288" s="350"/>
      <c r="M288" s="350"/>
      <c r="N288" s="350"/>
      <c r="O288" s="350"/>
      <c r="P288" s="350"/>
      <c r="Q288" s="350"/>
      <c r="R288" s="350"/>
      <c r="S288" s="350"/>
      <c r="T288" s="350"/>
      <c r="U288" s="350"/>
      <c r="V288" s="350"/>
      <c r="W288" s="350"/>
      <c r="X288" s="350"/>
      <c r="Y288" s="350"/>
      <c r="Z288" s="350"/>
      <c r="AA288" s="350"/>
      <c r="AB288" s="350"/>
      <c r="AC288" s="350"/>
      <c r="AD288" s="350"/>
      <c r="AE288" s="350"/>
      <c r="AF288" s="350"/>
      <c r="AG288" s="350"/>
      <c r="AH288" s="350"/>
      <c r="AI288" s="350"/>
      <c r="AJ288" s="350"/>
      <c r="AK288" s="350"/>
      <c r="AL288" s="350"/>
      <c r="AM288" s="350"/>
      <c r="AN288" s="350"/>
      <c r="AO288" s="350"/>
      <c r="AP288" s="350"/>
      <c r="AQ288" s="350"/>
      <c r="AR288" s="350"/>
      <c r="AS288" s="350"/>
      <c r="AT288" s="350"/>
      <c r="AU288" s="350"/>
      <c r="AV288" s="350"/>
      <c r="AW288" s="350"/>
      <c r="AX288" s="350"/>
      <c r="AY288" s="350"/>
      <c r="AZ288" s="350"/>
      <c r="BA288" s="350"/>
      <c r="BB288" s="350"/>
      <c r="BC288" s="350"/>
      <c r="BD288" s="350"/>
      <c r="BE288" s="350"/>
      <c r="BF288" s="350"/>
      <c r="BG288" s="350"/>
      <c r="BH288" s="350"/>
      <c r="BI288" s="350"/>
      <c r="BJ288" s="350"/>
      <c r="BK288" s="350"/>
      <c r="BL288" s="350"/>
      <c r="BM288" s="350"/>
      <c r="BN288" s="350"/>
      <c r="BO288" s="350"/>
      <c r="BP288" s="350"/>
      <c r="BQ288" s="350"/>
      <c r="BR288" s="350"/>
      <c r="BS288" s="350"/>
      <c r="BT288" s="350"/>
      <c r="BU288" s="350"/>
      <c r="BV288" s="350"/>
    </row>
    <row r="289" spans="2:74" x14ac:dyDescent="0.2">
      <c r="B289" s="270"/>
      <c r="C289" s="263"/>
      <c r="D289" s="263"/>
      <c r="E289" s="349"/>
      <c r="F289" s="350"/>
      <c r="G289" s="350"/>
      <c r="H289" s="350"/>
      <c r="I289" s="350"/>
      <c r="J289" s="350"/>
      <c r="K289" s="350"/>
      <c r="L289" s="350"/>
      <c r="M289" s="350"/>
      <c r="N289" s="350"/>
      <c r="O289" s="350"/>
      <c r="P289" s="350"/>
      <c r="Q289" s="350"/>
      <c r="R289" s="350"/>
      <c r="S289" s="350"/>
      <c r="T289" s="350"/>
      <c r="U289" s="350"/>
      <c r="V289" s="350"/>
      <c r="W289" s="350"/>
      <c r="X289" s="350"/>
      <c r="Y289" s="350"/>
      <c r="Z289" s="350"/>
      <c r="AA289" s="350"/>
      <c r="AB289" s="350"/>
      <c r="AC289" s="350"/>
      <c r="AD289" s="350"/>
      <c r="AE289" s="350"/>
      <c r="AF289" s="350"/>
      <c r="AG289" s="350"/>
      <c r="AH289" s="350"/>
      <c r="AI289" s="350"/>
      <c r="AJ289" s="350"/>
      <c r="AK289" s="350"/>
      <c r="AL289" s="350"/>
      <c r="AM289" s="350"/>
      <c r="AN289" s="350"/>
      <c r="AO289" s="350"/>
      <c r="AP289" s="350"/>
      <c r="AQ289" s="350"/>
      <c r="AR289" s="350"/>
      <c r="AS289" s="350"/>
      <c r="AT289" s="350"/>
      <c r="AU289" s="350"/>
      <c r="AV289" s="350"/>
      <c r="AW289" s="350"/>
      <c r="AX289" s="350"/>
      <c r="AY289" s="350"/>
      <c r="AZ289" s="350"/>
      <c r="BA289" s="350"/>
      <c r="BB289" s="350"/>
      <c r="BC289" s="350"/>
      <c r="BD289" s="350"/>
      <c r="BE289" s="350"/>
      <c r="BF289" s="350"/>
      <c r="BG289" s="350"/>
      <c r="BH289" s="350"/>
      <c r="BI289" s="350"/>
      <c r="BJ289" s="350"/>
      <c r="BK289" s="350"/>
      <c r="BL289" s="350"/>
      <c r="BM289" s="350"/>
      <c r="BN289" s="350"/>
      <c r="BO289" s="350"/>
      <c r="BP289" s="350"/>
      <c r="BQ289" s="350"/>
      <c r="BR289" s="350"/>
      <c r="BS289" s="350"/>
      <c r="BT289" s="350"/>
      <c r="BU289" s="350"/>
      <c r="BV289" s="350"/>
    </row>
    <row r="290" spans="2:74" x14ac:dyDescent="0.2">
      <c r="B290" s="270"/>
      <c r="C290" s="263"/>
      <c r="D290" s="263"/>
      <c r="E290" s="349"/>
      <c r="F290" s="350"/>
      <c r="G290" s="350"/>
      <c r="H290" s="350"/>
      <c r="I290" s="350"/>
      <c r="J290" s="350"/>
      <c r="K290" s="350"/>
      <c r="L290" s="350"/>
      <c r="M290" s="350"/>
      <c r="N290" s="350"/>
      <c r="O290" s="350"/>
      <c r="P290" s="350"/>
      <c r="Q290" s="350"/>
      <c r="R290" s="350"/>
      <c r="S290" s="350"/>
      <c r="T290" s="350"/>
      <c r="U290" s="350"/>
      <c r="V290" s="350"/>
      <c r="W290" s="350"/>
      <c r="X290" s="350"/>
      <c r="Y290" s="350"/>
      <c r="Z290" s="350"/>
      <c r="AA290" s="350"/>
      <c r="AB290" s="350"/>
      <c r="AC290" s="350"/>
      <c r="AD290" s="350"/>
      <c r="AE290" s="350"/>
      <c r="AF290" s="350"/>
      <c r="AG290" s="350"/>
      <c r="AH290" s="350"/>
      <c r="AI290" s="350"/>
      <c r="AJ290" s="350"/>
      <c r="AK290" s="350"/>
      <c r="AL290" s="350"/>
      <c r="AM290" s="350"/>
      <c r="AN290" s="350"/>
      <c r="AO290" s="350"/>
      <c r="AP290" s="350"/>
      <c r="AQ290" s="350"/>
      <c r="AR290" s="350"/>
      <c r="AS290" s="350"/>
      <c r="AT290" s="350"/>
      <c r="AU290" s="350"/>
      <c r="AV290" s="350"/>
      <c r="AW290" s="350"/>
      <c r="AX290" s="350"/>
      <c r="AY290" s="350"/>
      <c r="AZ290" s="350"/>
      <c r="BA290" s="350"/>
      <c r="BB290" s="350"/>
      <c r="BC290" s="350"/>
      <c r="BD290" s="350"/>
      <c r="BE290" s="350"/>
      <c r="BF290" s="350"/>
      <c r="BG290" s="350"/>
      <c r="BH290" s="350"/>
      <c r="BI290" s="350"/>
      <c r="BJ290" s="350"/>
      <c r="BK290" s="350"/>
      <c r="BL290" s="350"/>
      <c r="BM290" s="350"/>
      <c r="BN290" s="350"/>
      <c r="BO290" s="350"/>
      <c r="BP290" s="350"/>
      <c r="BQ290" s="350"/>
      <c r="BR290" s="350"/>
      <c r="BS290" s="350"/>
      <c r="BT290" s="350"/>
      <c r="BU290" s="350"/>
      <c r="BV290" s="350"/>
    </row>
  </sheetData>
  <mergeCells count="15">
    <mergeCell ref="AX3:BB3"/>
    <mergeCell ref="BC3:BG3"/>
    <mergeCell ref="BH3:BL3"/>
    <mergeCell ref="BM3:BQ3"/>
    <mergeCell ref="BR3:BV3"/>
    <mergeCell ref="E2:BV2"/>
    <mergeCell ref="E3:I3"/>
    <mergeCell ref="J3:N3"/>
    <mergeCell ref="O3:S3"/>
    <mergeCell ref="T3:X3"/>
    <mergeCell ref="Y3:AC3"/>
    <mergeCell ref="AD3:AH3"/>
    <mergeCell ref="AI3:AM3"/>
    <mergeCell ref="AN3:AR3"/>
    <mergeCell ref="AS3:AW3"/>
  </mergeCells>
  <pageMargins left="0.7" right="0.7" top="0.75" bottom="0.75" header="0.3" footer="0.3"/>
  <pageSetup paperSize="9" scale="3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BECEC-3FFF-427E-AE35-DD39B589294C}">
  <dimension ref="C2:ET147"/>
  <sheetViews>
    <sheetView view="pageBreakPreview" topLeftCell="A48" zoomScale="98" zoomScaleNormal="100" zoomScaleSheetLayoutView="98" workbookViewId="0">
      <selection activeCell="J22" sqref="J22"/>
    </sheetView>
  </sheetViews>
  <sheetFormatPr defaultColWidth="10" defaultRowHeight="12.75" x14ac:dyDescent="0.2"/>
  <cols>
    <col min="1" max="1" width="1.5703125" style="1" customWidth="1"/>
    <col min="2" max="2" width="1.42578125" style="1" customWidth="1"/>
    <col min="3" max="3" width="57.5703125" style="1" customWidth="1"/>
    <col min="4" max="4" width="2.7109375" style="1" customWidth="1"/>
    <col min="5" max="5" width="8.7109375" style="1" hidden="1" customWidth="1"/>
    <col min="6" max="7" width="1" style="1" customWidth="1"/>
    <col min="8" max="8" width="19.7109375" style="1" customWidth="1"/>
    <col min="9" max="10" width="1" style="1" customWidth="1"/>
    <col min="11" max="11" width="2" style="1" hidden="1" customWidth="1"/>
    <col min="12" max="12" width="1" style="1" hidden="1" customWidth="1"/>
    <col min="13" max="13" width="17.85546875" style="1" hidden="1" customWidth="1"/>
    <col min="14" max="17" width="1" style="1" hidden="1" customWidth="1"/>
    <col min="18" max="18" width="17.85546875" style="1" hidden="1" customWidth="1"/>
    <col min="19" max="22" width="1" style="1" hidden="1" customWidth="1"/>
    <col min="23" max="23" width="17.85546875" style="1" hidden="1" customWidth="1"/>
    <col min="24" max="27" width="1" style="1" hidden="1" customWidth="1"/>
    <col min="28" max="28" width="17.85546875" style="1" hidden="1" customWidth="1"/>
    <col min="29" max="32" width="1" style="1" hidden="1" customWidth="1"/>
    <col min="33" max="33" width="17.85546875" style="1" hidden="1" customWidth="1"/>
    <col min="34" max="37" width="1" style="1" hidden="1" customWidth="1"/>
    <col min="38" max="38" width="17.85546875" style="1" hidden="1" customWidth="1"/>
    <col min="39" max="42" width="1" style="1" hidden="1" customWidth="1"/>
    <col min="43" max="43" width="17.85546875" style="1" hidden="1" customWidth="1"/>
    <col min="44" max="47" width="1" style="1" hidden="1" customWidth="1"/>
    <col min="48" max="48" width="17.85546875" style="1" hidden="1" customWidth="1"/>
    <col min="49" max="52" width="1" style="1" hidden="1" customWidth="1"/>
    <col min="53" max="53" width="17.85546875" style="1" hidden="1" customWidth="1"/>
    <col min="54" max="55" width="1" style="1" hidden="1" customWidth="1"/>
    <col min="56" max="57" width="1" style="1" customWidth="1"/>
    <col min="58" max="58" width="17.85546875" style="1" customWidth="1"/>
    <col min="59" max="60" width="1" style="1" customWidth="1"/>
    <col min="61" max="62" width="1" style="1" hidden="1" customWidth="1"/>
    <col min="63" max="63" width="17.85546875" style="1" hidden="1" customWidth="1"/>
    <col min="64" max="67" width="1" style="1" hidden="1" customWidth="1"/>
    <col min="68" max="68" width="17.85546875" style="1" hidden="1" customWidth="1"/>
    <col min="69" max="70" width="1" style="1" hidden="1" customWidth="1"/>
    <col min="71" max="72" width="1" style="1" customWidth="1"/>
    <col min="73" max="73" width="17.85546875" style="1" customWidth="1"/>
    <col min="74" max="77" width="1" style="1" customWidth="1"/>
    <col min="78" max="78" width="17.85546875" style="1" customWidth="1"/>
    <col min="79" max="80" width="1" style="1" customWidth="1"/>
    <col min="81" max="81" width="1.28515625" style="1" hidden="1" customWidth="1"/>
    <col min="82" max="82" width="1" style="1" hidden="1" customWidth="1"/>
    <col min="83" max="83" width="17.85546875" style="1" hidden="1" customWidth="1"/>
    <col min="84" max="87" width="1" style="1" hidden="1" customWidth="1"/>
    <col min="88" max="88" width="17.85546875" style="1" hidden="1" customWidth="1"/>
    <col min="89" max="92" width="1" style="1" hidden="1" customWidth="1"/>
    <col min="93" max="93" width="17.85546875" style="1" hidden="1" customWidth="1"/>
    <col min="94" max="97" width="1" style="1" hidden="1" customWidth="1"/>
    <col min="98" max="98" width="17.85546875" style="1" hidden="1" customWidth="1"/>
    <col min="99" max="99" width="1" style="1" hidden="1" customWidth="1"/>
    <col min="100" max="100" width="1" style="1" customWidth="1"/>
    <col min="101" max="102" width="1" style="1" hidden="1" customWidth="1"/>
    <col min="103" max="103" width="17.85546875" style="1" hidden="1" customWidth="1"/>
    <col min="104" max="107" width="1" style="1" hidden="1" customWidth="1"/>
    <col min="108" max="108" width="17.85546875" style="1" hidden="1" customWidth="1"/>
    <col min="109" max="112" width="1" style="1" hidden="1" customWidth="1"/>
    <col min="113" max="113" width="17.85546875" style="1" hidden="1" customWidth="1"/>
    <col min="114" max="117" width="1" style="1" hidden="1" customWidth="1"/>
    <col min="118" max="118" width="17.85546875" style="1" hidden="1" customWidth="1"/>
    <col min="119" max="122" width="1" style="1" hidden="1" customWidth="1"/>
    <col min="123" max="123" width="17.85546875" style="1" hidden="1" customWidth="1"/>
    <col min="124" max="125" width="1" style="1" hidden="1" customWidth="1"/>
    <col min="126" max="127" width="1" style="1" customWidth="1"/>
    <col min="128" max="128" width="17.85546875" style="1" customWidth="1"/>
    <col min="129" max="130" width="1" style="1" customWidth="1"/>
    <col min="131" max="132" width="1" style="1" hidden="1" customWidth="1"/>
    <col min="133" max="133" width="17.85546875" style="1" hidden="1" customWidth="1"/>
    <col min="134" max="137" width="1" style="1" hidden="1" customWidth="1"/>
    <col min="138" max="138" width="17.85546875" style="1" hidden="1" customWidth="1"/>
    <col min="139" max="140" width="1" style="1" hidden="1" customWidth="1"/>
    <col min="141" max="142" width="1" style="1" customWidth="1"/>
    <col min="143" max="143" width="17.85546875" style="1" customWidth="1"/>
    <col min="144" max="145" width="1" style="1" customWidth="1"/>
    <col min="146" max="146" width="1.5703125" style="1" customWidth="1"/>
    <col min="147" max="147" width="0.7109375" style="1" customWidth="1"/>
    <col min="148" max="148" width="1.85546875" style="1" customWidth="1"/>
    <col min="149" max="149" width="10.7109375" style="1" customWidth="1"/>
    <col min="150" max="150" width="13" style="1" hidden="1" customWidth="1"/>
    <col min="151" max="256" width="10" style="1"/>
    <col min="257" max="257" width="1.5703125" style="1" customWidth="1"/>
    <col min="258" max="258" width="1.42578125" style="1" customWidth="1"/>
    <col min="259" max="259" width="57.5703125" style="1" customWidth="1"/>
    <col min="260" max="260" width="2.7109375" style="1" customWidth="1"/>
    <col min="261" max="261" width="0" style="1" hidden="1" customWidth="1"/>
    <col min="262" max="263" width="1" style="1" customWidth="1"/>
    <col min="264" max="264" width="19.7109375" style="1" customWidth="1"/>
    <col min="265" max="266" width="1" style="1" customWidth="1"/>
    <col min="267" max="311" width="0" style="1" hidden="1" customWidth="1"/>
    <col min="312" max="313" width="1" style="1" customWidth="1"/>
    <col min="314" max="314" width="17.85546875" style="1" customWidth="1"/>
    <col min="315" max="316" width="1" style="1" customWidth="1"/>
    <col min="317" max="326" width="0" style="1" hidden="1" customWidth="1"/>
    <col min="327" max="328" width="1" style="1" customWidth="1"/>
    <col min="329" max="329" width="17.85546875" style="1" customWidth="1"/>
    <col min="330" max="333" width="1" style="1" customWidth="1"/>
    <col min="334" max="334" width="17.85546875" style="1" customWidth="1"/>
    <col min="335" max="336" width="1" style="1" customWidth="1"/>
    <col min="337" max="355" width="0" style="1" hidden="1" customWidth="1"/>
    <col min="356" max="356" width="1" style="1" customWidth="1"/>
    <col min="357" max="381" width="0" style="1" hidden="1" customWidth="1"/>
    <col min="382" max="383" width="1" style="1" customWidth="1"/>
    <col min="384" max="384" width="17.85546875" style="1" customWidth="1"/>
    <col min="385" max="386" width="1" style="1" customWidth="1"/>
    <col min="387" max="396" width="0" style="1" hidden="1" customWidth="1"/>
    <col min="397" max="398" width="1" style="1" customWidth="1"/>
    <col min="399" max="399" width="17.85546875" style="1" customWidth="1"/>
    <col min="400" max="401" width="1" style="1" customWidth="1"/>
    <col min="402" max="402" width="1.5703125" style="1" customWidth="1"/>
    <col min="403" max="403" width="0.7109375" style="1" customWidth="1"/>
    <col min="404" max="404" width="1.85546875" style="1" customWidth="1"/>
    <col min="405" max="405" width="10.7109375" style="1" customWidth="1"/>
    <col min="406" max="406" width="0" style="1" hidden="1" customWidth="1"/>
    <col min="407" max="512" width="10" style="1"/>
    <col min="513" max="513" width="1.5703125" style="1" customWidth="1"/>
    <col min="514" max="514" width="1.42578125" style="1" customWidth="1"/>
    <col min="515" max="515" width="57.5703125" style="1" customWidth="1"/>
    <col min="516" max="516" width="2.7109375" style="1" customWidth="1"/>
    <col min="517" max="517" width="0" style="1" hidden="1" customWidth="1"/>
    <col min="518" max="519" width="1" style="1" customWidth="1"/>
    <col min="520" max="520" width="19.7109375" style="1" customWidth="1"/>
    <col min="521" max="522" width="1" style="1" customWidth="1"/>
    <col min="523" max="567" width="0" style="1" hidden="1" customWidth="1"/>
    <col min="568" max="569" width="1" style="1" customWidth="1"/>
    <col min="570" max="570" width="17.85546875" style="1" customWidth="1"/>
    <col min="571" max="572" width="1" style="1" customWidth="1"/>
    <col min="573" max="582" width="0" style="1" hidden="1" customWidth="1"/>
    <col min="583" max="584" width="1" style="1" customWidth="1"/>
    <col min="585" max="585" width="17.85546875" style="1" customWidth="1"/>
    <col min="586" max="589" width="1" style="1" customWidth="1"/>
    <col min="590" max="590" width="17.85546875" style="1" customWidth="1"/>
    <col min="591" max="592" width="1" style="1" customWidth="1"/>
    <col min="593" max="611" width="0" style="1" hidden="1" customWidth="1"/>
    <col min="612" max="612" width="1" style="1" customWidth="1"/>
    <col min="613" max="637" width="0" style="1" hidden="1" customWidth="1"/>
    <col min="638" max="639" width="1" style="1" customWidth="1"/>
    <col min="640" max="640" width="17.85546875" style="1" customWidth="1"/>
    <col min="641" max="642" width="1" style="1" customWidth="1"/>
    <col min="643" max="652" width="0" style="1" hidden="1" customWidth="1"/>
    <col min="653" max="654" width="1" style="1" customWidth="1"/>
    <col min="655" max="655" width="17.85546875" style="1" customWidth="1"/>
    <col min="656" max="657" width="1" style="1" customWidth="1"/>
    <col min="658" max="658" width="1.5703125" style="1" customWidth="1"/>
    <col min="659" max="659" width="0.7109375" style="1" customWidth="1"/>
    <col min="660" max="660" width="1.85546875" style="1" customWidth="1"/>
    <col min="661" max="661" width="10.7109375" style="1" customWidth="1"/>
    <col min="662" max="662" width="0" style="1" hidden="1" customWidth="1"/>
    <col min="663" max="768" width="10" style="1"/>
    <col min="769" max="769" width="1.5703125" style="1" customWidth="1"/>
    <col min="770" max="770" width="1.42578125" style="1" customWidth="1"/>
    <col min="771" max="771" width="57.5703125" style="1" customWidth="1"/>
    <col min="772" max="772" width="2.7109375" style="1" customWidth="1"/>
    <col min="773" max="773" width="0" style="1" hidden="1" customWidth="1"/>
    <col min="774" max="775" width="1" style="1" customWidth="1"/>
    <col min="776" max="776" width="19.7109375" style="1" customWidth="1"/>
    <col min="777" max="778" width="1" style="1" customWidth="1"/>
    <col min="779" max="823" width="0" style="1" hidden="1" customWidth="1"/>
    <col min="824" max="825" width="1" style="1" customWidth="1"/>
    <col min="826" max="826" width="17.85546875" style="1" customWidth="1"/>
    <col min="827" max="828" width="1" style="1" customWidth="1"/>
    <col min="829" max="838" width="0" style="1" hidden="1" customWidth="1"/>
    <col min="839" max="840" width="1" style="1" customWidth="1"/>
    <col min="841" max="841" width="17.85546875" style="1" customWidth="1"/>
    <col min="842" max="845" width="1" style="1" customWidth="1"/>
    <col min="846" max="846" width="17.85546875" style="1" customWidth="1"/>
    <col min="847" max="848" width="1" style="1" customWidth="1"/>
    <col min="849" max="867" width="0" style="1" hidden="1" customWidth="1"/>
    <col min="868" max="868" width="1" style="1" customWidth="1"/>
    <col min="869" max="893" width="0" style="1" hidden="1" customWidth="1"/>
    <col min="894" max="895" width="1" style="1" customWidth="1"/>
    <col min="896" max="896" width="17.85546875" style="1" customWidth="1"/>
    <col min="897" max="898" width="1" style="1" customWidth="1"/>
    <col min="899" max="908" width="0" style="1" hidden="1" customWidth="1"/>
    <col min="909" max="910" width="1" style="1" customWidth="1"/>
    <col min="911" max="911" width="17.85546875" style="1" customWidth="1"/>
    <col min="912" max="913" width="1" style="1" customWidth="1"/>
    <col min="914" max="914" width="1.5703125" style="1" customWidth="1"/>
    <col min="915" max="915" width="0.7109375" style="1" customWidth="1"/>
    <col min="916" max="916" width="1.85546875" style="1" customWidth="1"/>
    <col min="917" max="917" width="10.7109375" style="1" customWidth="1"/>
    <col min="918" max="918" width="0" style="1" hidden="1" customWidth="1"/>
    <col min="919" max="1024" width="10" style="1"/>
    <col min="1025" max="1025" width="1.5703125" style="1" customWidth="1"/>
    <col min="1026" max="1026" width="1.42578125" style="1" customWidth="1"/>
    <col min="1027" max="1027" width="57.5703125" style="1" customWidth="1"/>
    <col min="1028" max="1028" width="2.7109375" style="1" customWidth="1"/>
    <col min="1029" max="1029" width="0" style="1" hidden="1" customWidth="1"/>
    <col min="1030" max="1031" width="1" style="1" customWidth="1"/>
    <col min="1032" max="1032" width="19.7109375" style="1" customWidth="1"/>
    <col min="1033" max="1034" width="1" style="1" customWidth="1"/>
    <col min="1035" max="1079" width="0" style="1" hidden="1" customWidth="1"/>
    <col min="1080" max="1081" width="1" style="1" customWidth="1"/>
    <col min="1082" max="1082" width="17.85546875" style="1" customWidth="1"/>
    <col min="1083" max="1084" width="1" style="1" customWidth="1"/>
    <col min="1085" max="1094" width="0" style="1" hidden="1" customWidth="1"/>
    <col min="1095" max="1096" width="1" style="1" customWidth="1"/>
    <col min="1097" max="1097" width="17.85546875" style="1" customWidth="1"/>
    <col min="1098" max="1101" width="1" style="1" customWidth="1"/>
    <col min="1102" max="1102" width="17.85546875" style="1" customWidth="1"/>
    <col min="1103" max="1104" width="1" style="1" customWidth="1"/>
    <col min="1105" max="1123" width="0" style="1" hidden="1" customWidth="1"/>
    <col min="1124" max="1124" width="1" style="1" customWidth="1"/>
    <col min="1125" max="1149" width="0" style="1" hidden="1" customWidth="1"/>
    <col min="1150" max="1151" width="1" style="1" customWidth="1"/>
    <col min="1152" max="1152" width="17.85546875" style="1" customWidth="1"/>
    <col min="1153" max="1154" width="1" style="1" customWidth="1"/>
    <col min="1155" max="1164" width="0" style="1" hidden="1" customWidth="1"/>
    <col min="1165" max="1166" width="1" style="1" customWidth="1"/>
    <col min="1167" max="1167" width="17.85546875" style="1" customWidth="1"/>
    <col min="1168" max="1169" width="1" style="1" customWidth="1"/>
    <col min="1170" max="1170" width="1.5703125" style="1" customWidth="1"/>
    <col min="1171" max="1171" width="0.7109375" style="1" customWidth="1"/>
    <col min="1172" max="1172" width="1.85546875" style="1" customWidth="1"/>
    <col min="1173" max="1173" width="10.7109375" style="1" customWidth="1"/>
    <col min="1174" max="1174" width="0" style="1" hidden="1" customWidth="1"/>
    <col min="1175" max="1280" width="10" style="1"/>
    <col min="1281" max="1281" width="1.5703125" style="1" customWidth="1"/>
    <col min="1282" max="1282" width="1.42578125" style="1" customWidth="1"/>
    <col min="1283" max="1283" width="57.5703125" style="1" customWidth="1"/>
    <col min="1284" max="1284" width="2.7109375" style="1" customWidth="1"/>
    <col min="1285" max="1285" width="0" style="1" hidden="1" customWidth="1"/>
    <col min="1286" max="1287" width="1" style="1" customWidth="1"/>
    <col min="1288" max="1288" width="19.7109375" style="1" customWidth="1"/>
    <col min="1289" max="1290" width="1" style="1" customWidth="1"/>
    <col min="1291" max="1335" width="0" style="1" hidden="1" customWidth="1"/>
    <col min="1336" max="1337" width="1" style="1" customWidth="1"/>
    <col min="1338" max="1338" width="17.85546875" style="1" customWidth="1"/>
    <col min="1339" max="1340" width="1" style="1" customWidth="1"/>
    <col min="1341" max="1350" width="0" style="1" hidden="1" customWidth="1"/>
    <col min="1351" max="1352" width="1" style="1" customWidth="1"/>
    <col min="1353" max="1353" width="17.85546875" style="1" customWidth="1"/>
    <col min="1354" max="1357" width="1" style="1" customWidth="1"/>
    <col min="1358" max="1358" width="17.85546875" style="1" customWidth="1"/>
    <col min="1359" max="1360" width="1" style="1" customWidth="1"/>
    <col min="1361" max="1379" width="0" style="1" hidden="1" customWidth="1"/>
    <col min="1380" max="1380" width="1" style="1" customWidth="1"/>
    <col min="1381" max="1405" width="0" style="1" hidden="1" customWidth="1"/>
    <col min="1406" max="1407" width="1" style="1" customWidth="1"/>
    <col min="1408" max="1408" width="17.85546875" style="1" customWidth="1"/>
    <col min="1409" max="1410" width="1" style="1" customWidth="1"/>
    <col min="1411" max="1420" width="0" style="1" hidden="1" customWidth="1"/>
    <col min="1421" max="1422" width="1" style="1" customWidth="1"/>
    <col min="1423" max="1423" width="17.85546875" style="1" customWidth="1"/>
    <col min="1424" max="1425" width="1" style="1" customWidth="1"/>
    <col min="1426" max="1426" width="1.5703125" style="1" customWidth="1"/>
    <col min="1427" max="1427" width="0.7109375" style="1" customWidth="1"/>
    <col min="1428" max="1428" width="1.85546875" style="1" customWidth="1"/>
    <col min="1429" max="1429" width="10.7109375" style="1" customWidth="1"/>
    <col min="1430" max="1430" width="0" style="1" hidden="1" customWidth="1"/>
    <col min="1431" max="1536" width="10" style="1"/>
    <col min="1537" max="1537" width="1.5703125" style="1" customWidth="1"/>
    <col min="1538" max="1538" width="1.42578125" style="1" customWidth="1"/>
    <col min="1539" max="1539" width="57.5703125" style="1" customWidth="1"/>
    <col min="1540" max="1540" width="2.7109375" style="1" customWidth="1"/>
    <col min="1541" max="1541" width="0" style="1" hidden="1" customWidth="1"/>
    <col min="1542" max="1543" width="1" style="1" customWidth="1"/>
    <col min="1544" max="1544" width="19.7109375" style="1" customWidth="1"/>
    <col min="1545" max="1546" width="1" style="1" customWidth="1"/>
    <col min="1547" max="1591" width="0" style="1" hidden="1" customWidth="1"/>
    <col min="1592" max="1593" width="1" style="1" customWidth="1"/>
    <col min="1594" max="1594" width="17.85546875" style="1" customWidth="1"/>
    <col min="1595" max="1596" width="1" style="1" customWidth="1"/>
    <col min="1597" max="1606" width="0" style="1" hidden="1" customWidth="1"/>
    <col min="1607" max="1608" width="1" style="1" customWidth="1"/>
    <col min="1609" max="1609" width="17.85546875" style="1" customWidth="1"/>
    <col min="1610" max="1613" width="1" style="1" customWidth="1"/>
    <col min="1614" max="1614" width="17.85546875" style="1" customWidth="1"/>
    <col min="1615" max="1616" width="1" style="1" customWidth="1"/>
    <col min="1617" max="1635" width="0" style="1" hidden="1" customWidth="1"/>
    <col min="1636" max="1636" width="1" style="1" customWidth="1"/>
    <col min="1637" max="1661" width="0" style="1" hidden="1" customWidth="1"/>
    <col min="1662" max="1663" width="1" style="1" customWidth="1"/>
    <col min="1664" max="1664" width="17.85546875" style="1" customWidth="1"/>
    <col min="1665" max="1666" width="1" style="1" customWidth="1"/>
    <col min="1667" max="1676" width="0" style="1" hidden="1" customWidth="1"/>
    <col min="1677" max="1678" width="1" style="1" customWidth="1"/>
    <col min="1679" max="1679" width="17.85546875" style="1" customWidth="1"/>
    <col min="1680" max="1681" width="1" style="1" customWidth="1"/>
    <col min="1682" max="1682" width="1.5703125" style="1" customWidth="1"/>
    <col min="1683" max="1683" width="0.7109375" style="1" customWidth="1"/>
    <col min="1684" max="1684" width="1.85546875" style="1" customWidth="1"/>
    <col min="1685" max="1685" width="10.7109375" style="1" customWidth="1"/>
    <col min="1686" max="1686" width="0" style="1" hidden="1" customWidth="1"/>
    <col min="1687" max="1792" width="10" style="1"/>
    <col min="1793" max="1793" width="1.5703125" style="1" customWidth="1"/>
    <col min="1794" max="1794" width="1.42578125" style="1" customWidth="1"/>
    <col min="1795" max="1795" width="57.5703125" style="1" customWidth="1"/>
    <col min="1796" max="1796" width="2.7109375" style="1" customWidth="1"/>
    <col min="1797" max="1797" width="0" style="1" hidden="1" customWidth="1"/>
    <col min="1798" max="1799" width="1" style="1" customWidth="1"/>
    <col min="1800" max="1800" width="19.7109375" style="1" customWidth="1"/>
    <col min="1801" max="1802" width="1" style="1" customWidth="1"/>
    <col min="1803" max="1847" width="0" style="1" hidden="1" customWidth="1"/>
    <col min="1848" max="1849" width="1" style="1" customWidth="1"/>
    <col min="1850" max="1850" width="17.85546875" style="1" customWidth="1"/>
    <col min="1851" max="1852" width="1" style="1" customWidth="1"/>
    <col min="1853" max="1862" width="0" style="1" hidden="1" customWidth="1"/>
    <col min="1863" max="1864" width="1" style="1" customWidth="1"/>
    <col min="1865" max="1865" width="17.85546875" style="1" customWidth="1"/>
    <col min="1866" max="1869" width="1" style="1" customWidth="1"/>
    <col min="1870" max="1870" width="17.85546875" style="1" customWidth="1"/>
    <col min="1871" max="1872" width="1" style="1" customWidth="1"/>
    <col min="1873" max="1891" width="0" style="1" hidden="1" customWidth="1"/>
    <col min="1892" max="1892" width="1" style="1" customWidth="1"/>
    <col min="1893" max="1917" width="0" style="1" hidden="1" customWidth="1"/>
    <col min="1918" max="1919" width="1" style="1" customWidth="1"/>
    <col min="1920" max="1920" width="17.85546875" style="1" customWidth="1"/>
    <col min="1921" max="1922" width="1" style="1" customWidth="1"/>
    <col min="1923" max="1932" width="0" style="1" hidden="1" customWidth="1"/>
    <col min="1933" max="1934" width="1" style="1" customWidth="1"/>
    <col min="1935" max="1935" width="17.85546875" style="1" customWidth="1"/>
    <col min="1936" max="1937" width="1" style="1" customWidth="1"/>
    <col min="1938" max="1938" width="1.5703125" style="1" customWidth="1"/>
    <col min="1939" max="1939" width="0.7109375" style="1" customWidth="1"/>
    <col min="1940" max="1940" width="1.85546875" style="1" customWidth="1"/>
    <col min="1941" max="1941" width="10.7109375" style="1" customWidth="1"/>
    <col min="1942" max="1942" width="0" style="1" hidden="1" customWidth="1"/>
    <col min="1943" max="2048" width="10" style="1"/>
    <col min="2049" max="2049" width="1.5703125" style="1" customWidth="1"/>
    <col min="2050" max="2050" width="1.42578125" style="1" customWidth="1"/>
    <col min="2051" max="2051" width="57.5703125" style="1" customWidth="1"/>
    <col min="2052" max="2052" width="2.7109375" style="1" customWidth="1"/>
    <col min="2053" max="2053" width="0" style="1" hidden="1" customWidth="1"/>
    <col min="2054" max="2055" width="1" style="1" customWidth="1"/>
    <col min="2056" max="2056" width="19.7109375" style="1" customWidth="1"/>
    <col min="2057" max="2058" width="1" style="1" customWidth="1"/>
    <col min="2059" max="2103" width="0" style="1" hidden="1" customWidth="1"/>
    <col min="2104" max="2105" width="1" style="1" customWidth="1"/>
    <col min="2106" max="2106" width="17.85546875" style="1" customWidth="1"/>
    <col min="2107" max="2108" width="1" style="1" customWidth="1"/>
    <col min="2109" max="2118" width="0" style="1" hidden="1" customWidth="1"/>
    <col min="2119" max="2120" width="1" style="1" customWidth="1"/>
    <col min="2121" max="2121" width="17.85546875" style="1" customWidth="1"/>
    <col min="2122" max="2125" width="1" style="1" customWidth="1"/>
    <col min="2126" max="2126" width="17.85546875" style="1" customWidth="1"/>
    <col min="2127" max="2128" width="1" style="1" customWidth="1"/>
    <col min="2129" max="2147" width="0" style="1" hidden="1" customWidth="1"/>
    <col min="2148" max="2148" width="1" style="1" customWidth="1"/>
    <col min="2149" max="2173" width="0" style="1" hidden="1" customWidth="1"/>
    <col min="2174" max="2175" width="1" style="1" customWidth="1"/>
    <col min="2176" max="2176" width="17.85546875" style="1" customWidth="1"/>
    <col min="2177" max="2178" width="1" style="1" customWidth="1"/>
    <col min="2179" max="2188" width="0" style="1" hidden="1" customWidth="1"/>
    <col min="2189" max="2190" width="1" style="1" customWidth="1"/>
    <col min="2191" max="2191" width="17.85546875" style="1" customWidth="1"/>
    <col min="2192" max="2193" width="1" style="1" customWidth="1"/>
    <col min="2194" max="2194" width="1.5703125" style="1" customWidth="1"/>
    <col min="2195" max="2195" width="0.7109375" style="1" customWidth="1"/>
    <col min="2196" max="2196" width="1.85546875" style="1" customWidth="1"/>
    <col min="2197" max="2197" width="10.7109375" style="1" customWidth="1"/>
    <col min="2198" max="2198" width="0" style="1" hidden="1" customWidth="1"/>
    <col min="2199" max="2304" width="10" style="1"/>
    <col min="2305" max="2305" width="1.5703125" style="1" customWidth="1"/>
    <col min="2306" max="2306" width="1.42578125" style="1" customWidth="1"/>
    <col min="2307" max="2307" width="57.5703125" style="1" customWidth="1"/>
    <col min="2308" max="2308" width="2.7109375" style="1" customWidth="1"/>
    <col min="2309" max="2309" width="0" style="1" hidden="1" customWidth="1"/>
    <col min="2310" max="2311" width="1" style="1" customWidth="1"/>
    <col min="2312" max="2312" width="19.7109375" style="1" customWidth="1"/>
    <col min="2313" max="2314" width="1" style="1" customWidth="1"/>
    <col min="2315" max="2359" width="0" style="1" hidden="1" customWidth="1"/>
    <col min="2360" max="2361" width="1" style="1" customWidth="1"/>
    <col min="2362" max="2362" width="17.85546875" style="1" customWidth="1"/>
    <col min="2363" max="2364" width="1" style="1" customWidth="1"/>
    <col min="2365" max="2374" width="0" style="1" hidden="1" customWidth="1"/>
    <col min="2375" max="2376" width="1" style="1" customWidth="1"/>
    <col min="2377" max="2377" width="17.85546875" style="1" customWidth="1"/>
    <col min="2378" max="2381" width="1" style="1" customWidth="1"/>
    <col min="2382" max="2382" width="17.85546875" style="1" customWidth="1"/>
    <col min="2383" max="2384" width="1" style="1" customWidth="1"/>
    <col min="2385" max="2403" width="0" style="1" hidden="1" customWidth="1"/>
    <col min="2404" max="2404" width="1" style="1" customWidth="1"/>
    <col min="2405" max="2429" width="0" style="1" hidden="1" customWidth="1"/>
    <col min="2430" max="2431" width="1" style="1" customWidth="1"/>
    <col min="2432" max="2432" width="17.85546875" style="1" customWidth="1"/>
    <col min="2433" max="2434" width="1" style="1" customWidth="1"/>
    <col min="2435" max="2444" width="0" style="1" hidden="1" customWidth="1"/>
    <col min="2445" max="2446" width="1" style="1" customWidth="1"/>
    <col min="2447" max="2447" width="17.85546875" style="1" customWidth="1"/>
    <col min="2448" max="2449" width="1" style="1" customWidth="1"/>
    <col min="2450" max="2450" width="1.5703125" style="1" customWidth="1"/>
    <col min="2451" max="2451" width="0.7109375" style="1" customWidth="1"/>
    <col min="2452" max="2452" width="1.85546875" style="1" customWidth="1"/>
    <col min="2453" max="2453" width="10.7109375" style="1" customWidth="1"/>
    <col min="2454" max="2454" width="0" style="1" hidden="1" customWidth="1"/>
    <col min="2455" max="2560" width="10" style="1"/>
    <col min="2561" max="2561" width="1.5703125" style="1" customWidth="1"/>
    <col min="2562" max="2562" width="1.42578125" style="1" customWidth="1"/>
    <col min="2563" max="2563" width="57.5703125" style="1" customWidth="1"/>
    <col min="2564" max="2564" width="2.7109375" style="1" customWidth="1"/>
    <col min="2565" max="2565" width="0" style="1" hidden="1" customWidth="1"/>
    <col min="2566" max="2567" width="1" style="1" customWidth="1"/>
    <col min="2568" max="2568" width="19.7109375" style="1" customWidth="1"/>
    <col min="2569" max="2570" width="1" style="1" customWidth="1"/>
    <col min="2571" max="2615" width="0" style="1" hidden="1" customWidth="1"/>
    <col min="2616" max="2617" width="1" style="1" customWidth="1"/>
    <col min="2618" max="2618" width="17.85546875" style="1" customWidth="1"/>
    <col min="2619" max="2620" width="1" style="1" customWidth="1"/>
    <col min="2621" max="2630" width="0" style="1" hidden="1" customWidth="1"/>
    <col min="2631" max="2632" width="1" style="1" customWidth="1"/>
    <col min="2633" max="2633" width="17.85546875" style="1" customWidth="1"/>
    <col min="2634" max="2637" width="1" style="1" customWidth="1"/>
    <col min="2638" max="2638" width="17.85546875" style="1" customWidth="1"/>
    <col min="2639" max="2640" width="1" style="1" customWidth="1"/>
    <col min="2641" max="2659" width="0" style="1" hidden="1" customWidth="1"/>
    <col min="2660" max="2660" width="1" style="1" customWidth="1"/>
    <col min="2661" max="2685" width="0" style="1" hidden="1" customWidth="1"/>
    <col min="2686" max="2687" width="1" style="1" customWidth="1"/>
    <col min="2688" max="2688" width="17.85546875" style="1" customWidth="1"/>
    <col min="2689" max="2690" width="1" style="1" customWidth="1"/>
    <col min="2691" max="2700" width="0" style="1" hidden="1" customWidth="1"/>
    <col min="2701" max="2702" width="1" style="1" customWidth="1"/>
    <col min="2703" max="2703" width="17.85546875" style="1" customWidth="1"/>
    <col min="2704" max="2705" width="1" style="1" customWidth="1"/>
    <col min="2706" max="2706" width="1.5703125" style="1" customWidth="1"/>
    <col min="2707" max="2707" width="0.7109375" style="1" customWidth="1"/>
    <col min="2708" max="2708" width="1.85546875" style="1" customWidth="1"/>
    <col min="2709" max="2709" width="10.7109375" style="1" customWidth="1"/>
    <col min="2710" max="2710" width="0" style="1" hidden="1" customWidth="1"/>
    <col min="2711" max="2816" width="10" style="1"/>
    <col min="2817" max="2817" width="1.5703125" style="1" customWidth="1"/>
    <col min="2818" max="2818" width="1.42578125" style="1" customWidth="1"/>
    <col min="2819" max="2819" width="57.5703125" style="1" customWidth="1"/>
    <col min="2820" max="2820" width="2.7109375" style="1" customWidth="1"/>
    <col min="2821" max="2821" width="0" style="1" hidden="1" customWidth="1"/>
    <col min="2822" max="2823" width="1" style="1" customWidth="1"/>
    <col min="2824" max="2824" width="19.7109375" style="1" customWidth="1"/>
    <col min="2825" max="2826" width="1" style="1" customWidth="1"/>
    <col min="2827" max="2871" width="0" style="1" hidden="1" customWidth="1"/>
    <col min="2872" max="2873" width="1" style="1" customWidth="1"/>
    <col min="2874" max="2874" width="17.85546875" style="1" customWidth="1"/>
    <col min="2875" max="2876" width="1" style="1" customWidth="1"/>
    <col min="2877" max="2886" width="0" style="1" hidden="1" customWidth="1"/>
    <col min="2887" max="2888" width="1" style="1" customWidth="1"/>
    <col min="2889" max="2889" width="17.85546875" style="1" customWidth="1"/>
    <col min="2890" max="2893" width="1" style="1" customWidth="1"/>
    <col min="2894" max="2894" width="17.85546875" style="1" customWidth="1"/>
    <col min="2895" max="2896" width="1" style="1" customWidth="1"/>
    <col min="2897" max="2915" width="0" style="1" hidden="1" customWidth="1"/>
    <col min="2916" max="2916" width="1" style="1" customWidth="1"/>
    <col min="2917" max="2941" width="0" style="1" hidden="1" customWidth="1"/>
    <col min="2942" max="2943" width="1" style="1" customWidth="1"/>
    <col min="2944" max="2944" width="17.85546875" style="1" customWidth="1"/>
    <col min="2945" max="2946" width="1" style="1" customWidth="1"/>
    <col min="2947" max="2956" width="0" style="1" hidden="1" customWidth="1"/>
    <col min="2957" max="2958" width="1" style="1" customWidth="1"/>
    <col min="2959" max="2959" width="17.85546875" style="1" customWidth="1"/>
    <col min="2960" max="2961" width="1" style="1" customWidth="1"/>
    <col min="2962" max="2962" width="1.5703125" style="1" customWidth="1"/>
    <col min="2963" max="2963" width="0.7109375" style="1" customWidth="1"/>
    <col min="2964" max="2964" width="1.85546875" style="1" customWidth="1"/>
    <col min="2965" max="2965" width="10.7109375" style="1" customWidth="1"/>
    <col min="2966" max="2966" width="0" style="1" hidden="1" customWidth="1"/>
    <col min="2967" max="3072" width="10" style="1"/>
    <col min="3073" max="3073" width="1.5703125" style="1" customWidth="1"/>
    <col min="3074" max="3074" width="1.42578125" style="1" customWidth="1"/>
    <col min="3075" max="3075" width="57.5703125" style="1" customWidth="1"/>
    <col min="3076" max="3076" width="2.7109375" style="1" customWidth="1"/>
    <col min="3077" max="3077" width="0" style="1" hidden="1" customWidth="1"/>
    <col min="3078" max="3079" width="1" style="1" customWidth="1"/>
    <col min="3080" max="3080" width="19.7109375" style="1" customWidth="1"/>
    <col min="3081" max="3082" width="1" style="1" customWidth="1"/>
    <col min="3083" max="3127" width="0" style="1" hidden="1" customWidth="1"/>
    <col min="3128" max="3129" width="1" style="1" customWidth="1"/>
    <col min="3130" max="3130" width="17.85546875" style="1" customWidth="1"/>
    <col min="3131" max="3132" width="1" style="1" customWidth="1"/>
    <col min="3133" max="3142" width="0" style="1" hidden="1" customWidth="1"/>
    <col min="3143" max="3144" width="1" style="1" customWidth="1"/>
    <col min="3145" max="3145" width="17.85546875" style="1" customWidth="1"/>
    <col min="3146" max="3149" width="1" style="1" customWidth="1"/>
    <col min="3150" max="3150" width="17.85546875" style="1" customWidth="1"/>
    <col min="3151" max="3152" width="1" style="1" customWidth="1"/>
    <col min="3153" max="3171" width="0" style="1" hidden="1" customWidth="1"/>
    <col min="3172" max="3172" width="1" style="1" customWidth="1"/>
    <col min="3173" max="3197" width="0" style="1" hidden="1" customWidth="1"/>
    <col min="3198" max="3199" width="1" style="1" customWidth="1"/>
    <col min="3200" max="3200" width="17.85546875" style="1" customWidth="1"/>
    <col min="3201" max="3202" width="1" style="1" customWidth="1"/>
    <col min="3203" max="3212" width="0" style="1" hidden="1" customWidth="1"/>
    <col min="3213" max="3214" width="1" style="1" customWidth="1"/>
    <col min="3215" max="3215" width="17.85546875" style="1" customWidth="1"/>
    <col min="3216" max="3217" width="1" style="1" customWidth="1"/>
    <col min="3218" max="3218" width="1.5703125" style="1" customWidth="1"/>
    <col min="3219" max="3219" width="0.7109375" style="1" customWidth="1"/>
    <col min="3220" max="3220" width="1.85546875" style="1" customWidth="1"/>
    <col min="3221" max="3221" width="10.7109375" style="1" customWidth="1"/>
    <col min="3222" max="3222" width="0" style="1" hidden="1" customWidth="1"/>
    <col min="3223" max="3328" width="10" style="1"/>
    <col min="3329" max="3329" width="1.5703125" style="1" customWidth="1"/>
    <col min="3330" max="3330" width="1.42578125" style="1" customWidth="1"/>
    <col min="3331" max="3331" width="57.5703125" style="1" customWidth="1"/>
    <col min="3332" max="3332" width="2.7109375" style="1" customWidth="1"/>
    <col min="3333" max="3333" width="0" style="1" hidden="1" customWidth="1"/>
    <col min="3334" max="3335" width="1" style="1" customWidth="1"/>
    <col min="3336" max="3336" width="19.7109375" style="1" customWidth="1"/>
    <col min="3337" max="3338" width="1" style="1" customWidth="1"/>
    <col min="3339" max="3383" width="0" style="1" hidden="1" customWidth="1"/>
    <col min="3384" max="3385" width="1" style="1" customWidth="1"/>
    <col min="3386" max="3386" width="17.85546875" style="1" customWidth="1"/>
    <col min="3387" max="3388" width="1" style="1" customWidth="1"/>
    <col min="3389" max="3398" width="0" style="1" hidden="1" customWidth="1"/>
    <col min="3399" max="3400" width="1" style="1" customWidth="1"/>
    <col min="3401" max="3401" width="17.85546875" style="1" customWidth="1"/>
    <col min="3402" max="3405" width="1" style="1" customWidth="1"/>
    <col min="3406" max="3406" width="17.85546875" style="1" customWidth="1"/>
    <col min="3407" max="3408" width="1" style="1" customWidth="1"/>
    <col min="3409" max="3427" width="0" style="1" hidden="1" customWidth="1"/>
    <col min="3428" max="3428" width="1" style="1" customWidth="1"/>
    <col min="3429" max="3453" width="0" style="1" hidden="1" customWidth="1"/>
    <col min="3454" max="3455" width="1" style="1" customWidth="1"/>
    <col min="3456" max="3456" width="17.85546875" style="1" customWidth="1"/>
    <col min="3457" max="3458" width="1" style="1" customWidth="1"/>
    <col min="3459" max="3468" width="0" style="1" hidden="1" customWidth="1"/>
    <col min="3469" max="3470" width="1" style="1" customWidth="1"/>
    <col min="3471" max="3471" width="17.85546875" style="1" customWidth="1"/>
    <col min="3472" max="3473" width="1" style="1" customWidth="1"/>
    <col min="3474" max="3474" width="1.5703125" style="1" customWidth="1"/>
    <col min="3475" max="3475" width="0.7109375" style="1" customWidth="1"/>
    <col min="3476" max="3476" width="1.85546875" style="1" customWidth="1"/>
    <col min="3477" max="3477" width="10.7109375" style="1" customWidth="1"/>
    <col min="3478" max="3478" width="0" style="1" hidden="1" customWidth="1"/>
    <col min="3479" max="3584" width="10" style="1"/>
    <col min="3585" max="3585" width="1.5703125" style="1" customWidth="1"/>
    <col min="3586" max="3586" width="1.42578125" style="1" customWidth="1"/>
    <col min="3587" max="3587" width="57.5703125" style="1" customWidth="1"/>
    <col min="3588" max="3588" width="2.7109375" style="1" customWidth="1"/>
    <col min="3589" max="3589" width="0" style="1" hidden="1" customWidth="1"/>
    <col min="3590" max="3591" width="1" style="1" customWidth="1"/>
    <col min="3592" max="3592" width="19.7109375" style="1" customWidth="1"/>
    <col min="3593" max="3594" width="1" style="1" customWidth="1"/>
    <col min="3595" max="3639" width="0" style="1" hidden="1" customWidth="1"/>
    <col min="3640" max="3641" width="1" style="1" customWidth="1"/>
    <col min="3642" max="3642" width="17.85546875" style="1" customWidth="1"/>
    <col min="3643" max="3644" width="1" style="1" customWidth="1"/>
    <col min="3645" max="3654" width="0" style="1" hidden="1" customWidth="1"/>
    <col min="3655" max="3656" width="1" style="1" customWidth="1"/>
    <col min="3657" max="3657" width="17.85546875" style="1" customWidth="1"/>
    <col min="3658" max="3661" width="1" style="1" customWidth="1"/>
    <col min="3662" max="3662" width="17.85546875" style="1" customWidth="1"/>
    <col min="3663" max="3664" width="1" style="1" customWidth="1"/>
    <col min="3665" max="3683" width="0" style="1" hidden="1" customWidth="1"/>
    <col min="3684" max="3684" width="1" style="1" customWidth="1"/>
    <col min="3685" max="3709" width="0" style="1" hidden="1" customWidth="1"/>
    <col min="3710" max="3711" width="1" style="1" customWidth="1"/>
    <col min="3712" max="3712" width="17.85546875" style="1" customWidth="1"/>
    <col min="3713" max="3714" width="1" style="1" customWidth="1"/>
    <col min="3715" max="3724" width="0" style="1" hidden="1" customWidth="1"/>
    <col min="3725" max="3726" width="1" style="1" customWidth="1"/>
    <col min="3727" max="3727" width="17.85546875" style="1" customWidth="1"/>
    <col min="3728" max="3729" width="1" style="1" customWidth="1"/>
    <col min="3730" max="3730" width="1.5703125" style="1" customWidth="1"/>
    <col min="3731" max="3731" width="0.7109375" style="1" customWidth="1"/>
    <col min="3732" max="3732" width="1.85546875" style="1" customWidth="1"/>
    <col min="3733" max="3733" width="10.7109375" style="1" customWidth="1"/>
    <col min="3734" max="3734" width="0" style="1" hidden="1" customWidth="1"/>
    <col min="3735" max="3840" width="10" style="1"/>
    <col min="3841" max="3841" width="1.5703125" style="1" customWidth="1"/>
    <col min="3842" max="3842" width="1.42578125" style="1" customWidth="1"/>
    <col min="3843" max="3843" width="57.5703125" style="1" customWidth="1"/>
    <col min="3844" max="3844" width="2.7109375" style="1" customWidth="1"/>
    <col min="3845" max="3845" width="0" style="1" hidden="1" customWidth="1"/>
    <col min="3846" max="3847" width="1" style="1" customWidth="1"/>
    <col min="3848" max="3848" width="19.7109375" style="1" customWidth="1"/>
    <col min="3849" max="3850" width="1" style="1" customWidth="1"/>
    <col min="3851" max="3895" width="0" style="1" hidden="1" customWidth="1"/>
    <col min="3896" max="3897" width="1" style="1" customWidth="1"/>
    <col min="3898" max="3898" width="17.85546875" style="1" customWidth="1"/>
    <col min="3899" max="3900" width="1" style="1" customWidth="1"/>
    <col min="3901" max="3910" width="0" style="1" hidden="1" customWidth="1"/>
    <col min="3911" max="3912" width="1" style="1" customWidth="1"/>
    <col min="3913" max="3913" width="17.85546875" style="1" customWidth="1"/>
    <col min="3914" max="3917" width="1" style="1" customWidth="1"/>
    <col min="3918" max="3918" width="17.85546875" style="1" customWidth="1"/>
    <col min="3919" max="3920" width="1" style="1" customWidth="1"/>
    <col min="3921" max="3939" width="0" style="1" hidden="1" customWidth="1"/>
    <col min="3940" max="3940" width="1" style="1" customWidth="1"/>
    <col min="3941" max="3965" width="0" style="1" hidden="1" customWidth="1"/>
    <col min="3966" max="3967" width="1" style="1" customWidth="1"/>
    <col min="3968" max="3968" width="17.85546875" style="1" customWidth="1"/>
    <col min="3969" max="3970" width="1" style="1" customWidth="1"/>
    <col min="3971" max="3980" width="0" style="1" hidden="1" customWidth="1"/>
    <col min="3981" max="3982" width="1" style="1" customWidth="1"/>
    <col min="3983" max="3983" width="17.85546875" style="1" customWidth="1"/>
    <col min="3984" max="3985" width="1" style="1" customWidth="1"/>
    <col min="3986" max="3986" width="1.5703125" style="1" customWidth="1"/>
    <col min="3987" max="3987" width="0.7109375" style="1" customWidth="1"/>
    <col min="3988" max="3988" width="1.85546875" style="1" customWidth="1"/>
    <col min="3989" max="3989" width="10.7109375" style="1" customWidth="1"/>
    <col min="3990" max="3990" width="0" style="1" hidden="1" customWidth="1"/>
    <col min="3991" max="4096" width="10" style="1"/>
    <col min="4097" max="4097" width="1.5703125" style="1" customWidth="1"/>
    <col min="4098" max="4098" width="1.42578125" style="1" customWidth="1"/>
    <col min="4099" max="4099" width="57.5703125" style="1" customWidth="1"/>
    <col min="4100" max="4100" width="2.7109375" style="1" customWidth="1"/>
    <col min="4101" max="4101" width="0" style="1" hidden="1" customWidth="1"/>
    <col min="4102" max="4103" width="1" style="1" customWidth="1"/>
    <col min="4104" max="4104" width="19.7109375" style="1" customWidth="1"/>
    <col min="4105" max="4106" width="1" style="1" customWidth="1"/>
    <col min="4107" max="4151" width="0" style="1" hidden="1" customWidth="1"/>
    <col min="4152" max="4153" width="1" style="1" customWidth="1"/>
    <col min="4154" max="4154" width="17.85546875" style="1" customWidth="1"/>
    <col min="4155" max="4156" width="1" style="1" customWidth="1"/>
    <col min="4157" max="4166" width="0" style="1" hidden="1" customWidth="1"/>
    <col min="4167" max="4168" width="1" style="1" customWidth="1"/>
    <col min="4169" max="4169" width="17.85546875" style="1" customWidth="1"/>
    <col min="4170" max="4173" width="1" style="1" customWidth="1"/>
    <col min="4174" max="4174" width="17.85546875" style="1" customWidth="1"/>
    <col min="4175" max="4176" width="1" style="1" customWidth="1"/>
    <col min="4177" max="4195" width="0" style="1" hidden="1" customWidth="1"/>
    <col min="4196" max="4196" width="1" style="1" customWidth="1"/>
    <col min="4197" max="4221" width="0" style="1" hidden="1" customWidth="1"/>
    <col min="4222" max="4223" width="1" style="1" customWidth="1"/>
    <col min="4224" max="4224" width="17.85546875" style="1" customWidth="1"/>
    <col min="4225" max="4226" width="1" style="1" customWidth="1"/>
    <col min="4227" max="4236" width="0" style="1" hidden="1" customWidth="1"/>
    <col min="4237" max="4238" width="1" style="1" customWidth="1"/>
    <col min="4239" max="4239" width="17.85546875" style="1" customWidth="1"/>
    <col min="4240" max="4241" width="1" style="1" customWidth="1"/>
    <col min="4242" max="4242" width="1.5703125" style="1" customWidth="1"/>
    <col min="4243" max="4243" width="0.7109375" style="1" customWidth="1"/>
    <col min="4244" max="4244" width="1.85546875" style="1" customWidth="1"/>
    <col min="4245" max="4245" width="10.7109375" style="1" customWidth="1"/>
    <col min="4246" max="4246" width="0" style="1" hidden="1" customWidth="1"/>
    <col min="4247" max="4352" width="10" style="1"/>
    <col min="4353" max="4353" width="1.5703125" style="1" customWidth="1"/>
    <col min="4354" max="4354" width="1.42578125" style="1" customWidth="1"/>
    <col min="4355" max="4355" width="57.5703125" style="1" customWidth="1"/>
    <col min="4356" max="4356" width="2.7109375" style="1" customWidth="1"/>
    <col min="4357" max="4357" width="0" style="1" hidden="1" customWidth="1"/>
    <col min="4358" max="4359" width="1" style="1" customWidth="1"/>
    <col min="4360" max="4360" width="19.7109375" style="1" customWidth="1"/>
    <col min="4361" max="4362" width="1" style="1" customWidth="1"/>
    <col min="4363" max="4407" width="0" style="1" hidden="1" customWidth="1"/>
    <col min="4408" max="4409" width="1" style="1" customWidth="1"/>
    <col min="4410" max="4410" width="17.85546875" style="1" customWidth="1"/>
    <col min="4411" max="4412" width="1" style="1" customWidth="1"/>
    <col min="4413" max="4422" width="0" style="1" hidden="1" customWidth="1"/>
    <col min="4423" max="4424" width="1" style="1" customWidth="1"/>
    <col min="4425" max="4425" width="17.85546875" style="1" customWidth="1"/>
    <col min="4426" max="4429" width="1" style="1" customWidth="1"/>
    <col min="4430" max="4430" width="17.85546875" style="1" customWidth="1"/>
    <col min="4431" max="4432" width="1" style="1" customWidth="1"/>
    <col min="4433" max="4451" width="0" style="1" hidden="1" customWidth="1"/>
    <col min="4452" max="4452" width="1" style="1" customWidth="1"/>
    <col min="4453" max="4477" width="0" style="1" hidden="1" customWidth="1"/>
    <col min="4478" max="4479" width="1" style="1" customWidth="1"/>
    <col min="4480" max="4480" width="17.85546875" style="1" customWidth="1"/>
    <col min="4481" max="4482" width="1" style="1" customWidth="1"/>
    <col min="4483" max="4492" width="0" style="1" hidden="1" customWidth="1"/>
    <col min="4493" max="4494" width="1" style="1" customWidth="1"/>
    <col min="4495" max="4495" width="17.85546875" style="1" customWidth="1"/>
    <col min="4496" max="4497" width="1" style="1" customWidth="1"/>
    <col min="4498" max="4498" width="1.5703125" style="1" customWidth="1"/>
    <col min="4499" max="4499" width="0.7109375" style="1" customWidth="1"/>
    <col min="4500" max="4500" width="1.85546875" style="1" customWidth="1"/>
    <col min="4501" max="4501" width="10.7109375" style="1" customWidth="1"/>
    <col min="4502" max="4502" width="0" style="1" hidden="1" customWidth="1"/>
    <col min="4503" max="4608" width="10" style="1"/>
    <col min="4609" max="4609" width="1.5703125" style="1" customWidth="1"/>
    <col min="4610" max="4610" width="1.42578125" style="1" customWidth="1"/>
    <col min="4611" max="4611" width="57.5703125" style="1" customWidth="1"/>
    <col min="4612" max="4612" width="2.7109375" style="1" customWidth="1"/>
    <col min="4613" max="4613" width="0" style="1" hidden="1" customWidth="1"/>
    <col min="4614" max="4615" width="1" style="1" customWidth="1"/>
    <col min="4616" max="4616" width="19.7109375" style="1" customWidth="1"/>
    <col min="4617" max="4618" width="1" style="1" customWidth="1"/>
    <col min="4619" max="4663" width="0" style="1" hidden="1" customWidth="1"/>
    <col min="4664" max="4665" width="1" style="1" customWidth="1"/>
    <col min="4666" max="4666" width="17.85546875" style="1" customWidth="1"/>
    <col min="4667" max="4668" width="1" style="1" customWidth="1"/>
    <col min="4669" max="4678" width="0" style="1" hidden="1" customWidth="1"/>
    <col min="4679" max="4680" width="1" style="1" customWidth="1"/>
    <col min="4681" max="4681" width="17.85546875" style="1" customWidth="1"/>
    <col min="4682" max="4685" width="1" style="1" customWidth="1"/>
    <col min="4686" max="4686" width="17.85546875" style="1" customWidth="1"/>
    <col min="4687" max="4688" width="1" style="1" customWidth="1"/>
    <col min="4689" max="4707" width="0" style="1" hidden="1" customWidth="1"/>
    <col min="4708" max="4708" width="1" style="1" customWidth="1"/>
    <col min="4709" max="4733" width="0" style="1" hidden="1" customWidth="1"/>
    <col min="4734" max="4735" width="1" style="1" customWidth="1"/>
    <col min="4736" max="4736" width="17.85546875" style="1" customWidth="1"/>
    <col min="4737" max="4738" width="1" style="1" customWidth="1"/>
    <col min="4739" max="4748" width="0" style="1" hidden="1" customWidth="1"/>
    <col min="4749" max="4750" width="1" style="1" customWidth="1"/>
    <col min="4751" max="4751" width="17.85546875" style="1" customWidth="1"/>
    <col min="4752" max="4753" width="1" style="1" customWidth="1"/>
    <col min="4754" max="4754" width="1.5703125" style="1" customWidth="1"/>
    <col min="4755" max="4755" width="0.7109375" style="1" customWidth="1"/>
    <col min="4756" max="4756" width="1.85546875" style="1" customWidth="1"/>
    <col min="4757" max="4757" width="10.7109375" style="1" customWidth="1"/>
    <col min="4758" max="4758" width="0" style="1" hidden="1" customWidth="1"/>
    <col min="4759" max="4864" width="10" style="1"/>
    <col min="4865" max="4865" width="1.5703125" style="1" customWidth="1"/>
    <col min="4866" max="4866" width="1.42578125" style="1" customWidth="1"/>
    <col min="4867" max="4867" width="57.5703125" style="1" customWidth="1"/>
    <col min="4868" max="4868" width="2.7109375" style="1" customWidth="1"/>
    <col min="4869" max="4869" width="0" style="1" hidden="1" customWidth="1"/>
    <col min="4870" max="4871" width="1" style="1" customWidth="1"/>
    <col min="4872" max="4872" width="19.7109375" style="1" customWidth="1"/>
    <col min="4873" max="4874" width="1" style="1" customWidth="1"/>
    <col min="4875" max="4919" width="0" style="1" hidden="1" customWidth="1"/>
    <col min="4920" max="4921" width="1" style="1" customWidth="1"/>
    <col min="4922" max="4922" width="17.85546875" style="1" customWidth="1"/>
    <col min="4923" max="4924" width="1" style="1" customWidth="1"/>
    <col min="4925" max="4934" width="0" style="1" hidden="1" customWidth="1"/>
    <col min="4935" max="4936" width="1" style="1" customWidth="1"/>
    <col min="4937" max="4937" width="17.85546875" style="1" customWidth="1"/>
    <col min="4938" max="4941" width="1" style="1" customWidth="1"/>
    <col min="4942" max="4942" width="17.85546875" style="1" customWidth="1"/>
    <col min="4943" max="4944" width="1" style="1" customWidth="1"/>
    <col min="4945" max="4963" width="0" style="1" hidden="1" customWidth="1"/>
    <col min="4964" max="4964" width="1" style="1" customWidth="1"/>
    <col min="4965" max="4989" width="0" style="1" hidden="1" customWidth="1"/>
    <col min="4990" max="4991" width="1" style="1" customWidth="1"/>
    <col min="4992" max="4992" width="17.85546875" style="1" customWidth="1"/>
    <col min="4993" max="4994" width="1" style="1" customWidth="1"/>
    <col min="4995" max="5004" width="0" style="1" hidden="1" customWidth="1"/>
    <col min="5005" max="5006" width="1" style="1" customWidth="1"/>
    <col min="5007" max="5007" width="17.85546875" style="1" customWidth="1"/>
    <col min="5008" max="5009" width="1" style="1" customWidth="1"/>
    <col min="5010" max="5010" width="1.5703125" style="1" customWidth="1"/>
    <col min="5011" max="5011" width="0.7109375" style="1" customWidth="1"/>
    <col min="5012" max="5012" width="1.85546875" style="1" customWidth="1"/>
    <col min="5013" max="5013" width="10.7109375" style="1" customWidth="1"/>
    <col min="5014" max="5014" width="0" style="1" hidden="1" customWidth="1"/>
    <col min="5015" max="5120" width="10" style="1"/>
    <col min="5121" max="5121" width="1.5703125" style="1" customWidth="1"/>
    <col min="5122" max="5122" width="1.42578125" style="1" customWidth="1"/>
    <col min="5123" max="5123" width="57.5703125" style="1" customWidth="1"/>
    <col min="5124" max="5124" width="2.7109375" style="1" customWidth="1"/>
    <col min="5125" max="5125" width="0" style="1" hidden="1" customWidth="1"/>
    <col min="5126" max="5127" width="1" style="1" customWidth="1"/>
    <col min="5128" max="5128" width="19.7109375" style="1" customWidth="1"/>
    <col min="5129" max="5130" width="1" style="1" customWidth="1"/>
    <col min="5131" max="5175" width="0" style="1" hidden="1" customWidth="1"/>
    <col min="5176" max="5177" width="1" style="1" customWidth="1"/>
    <col min="5178" max="5178" width="17.85546875" style="1" customWidth="1"/>
    <col min="5179" max="5180" width="1" style="1" customWidth="1"/>
    <col min="5181" max="5190" width="0" style="1" hidden="1" customWidth="1"/>
    <col min="5191" max="5192" width="1" style="1" customWidth="1"/>
    <col min="5193" max="5193" width="17.85546875" style="1" customWidth="1"/>
    <col min="5194" max="5197" width="1" style="1" customWidth="1"/>
    <col min="5198" max="5198" width="17.85546875" style="1" customWidth="1"/>
    <col min="5199" max="5200" width="1" style="1" customWidth="1"/>
    <col min="5201" max="5219" width="0" style="1" hidden="1" customWidth="1"/>
    <col min="5220" max="5220" width="1" style="1" customWidth="1"/>
    <col min="5221" max="5245" width="0" style="1" hidden="1" customWidth="1"/>
    <col min="5246" max="5247" width="1" style="1" customWidth="1"/>
    <col min="5248" max="5248" width="17.85546875" style="1" customWidth="1"/>
    <col min="5249" max="5250" width="1" style="1" customWidth="1"/>
    <col min="5251" max="5260" width="0" style="1" hidden="1" customWidth="1"/>
    <col min="5261" max="5262" width="1" style="1" customWidth="1"/>
    <col min="5263" max="5263" width="17.85546875" style="1" customWidth="1"/>
    <col min="5264" max="5265" width="1" style="1" customWidth="1"/>
    <col min="5266" max="5266" width="1.5703125" style="1" customWidth="1"/>
    <col min="5267" max="5267" width="0.7109375" style="1" customWidth="1"/>
    <col min="5268" max="5268" width="1.85546875" style="1" customWidth="1"/>
    <col min="5269" max="5269" width="10.7109375" style="1" customWidth="1"/>
    <col min="5270" max="5270" width="0" style="1" hidden="1" customWidth="1"/>
    <col min="5271" max="5376" width="10" style="1"/>
    <col min="5377" max="5377" width="1.5703125" style="1" customWidth="1"/>
    <col min="5378" max="5378" width="1.42578125" style="1" customWidth="1"/>
    <col min="5379" max="5379" width="57.5703125" style="1" customWidth="1"/>
    <col min="5380" max="5380" width="2.7109375" style="1" customWidth="1"/>
    <col min="5381" max="5381" width="0" style="1" hidden="1" customWidth="1"/>
    <col min="5382" max="5383" width="1" style="1" customWidth="1"/>
    <col min="5384" max="5384" width="19.7109375" style="1" customWidth="1"/>
    <col min="5385" max="5386" width="1" style="1" customWidth="1"/>
    <col min="5387" max="5431" width="0" style="1" hidden="1" customWidth="1"/>
    <col min="5432" max="5433" width="1" style="1" customWidth="1"/>
    <col min="5434" max="5434" width="17.85546875" style="1" customWidth="1"/>
    <col min="5435" max="5436" width="1" style="1" customWidth="1"/>
    <col min="5437" max="5446" width="0" style="1" hidden="1" customWidth="1"/>
    <col min="5447" max="5448" width="1" style="1" customWidth="1"/>
    <col min="5449" max="5449" width="17.85546875" style="1" customWidth="1"/>
    <col min="5450" max="5453" width="1" style="1" customWidth="1"/>
    <col min="5454" max="5454" width="17.85546875" style="1" customWidth="1"/>
    <col min="5455" max="5456" width="1" style="1" customWidth="1"/>
    <col min="5457" max="5475" width="0" style="1" hidden="1" customWidth="1"/>
    <col min="5476" max="5476" width="1" style="1" customWidth="1"/>
    <col min="5477" max="5501" width="0" style="1" hidden="1" customWidth="1"/>
    <col min="5502" max="5503" width="1" style="1" customWidth="1"/>
    <col min="5504" max="5504" width="17.85546875" style="1" customWidth="1"/>
    <col min="5505" max="5506" width="1" style="1" customWidth="1"/>
    <col min="5507" max="5516" width="0" style="1" hidden="1" customWidth="1"/>
    <col min="5517" max="5518" width="1" style="1" customWidth="1"/>
    <col min="5519" max="5519" width="17.85546875" style="1" customWidth="1"/>
    <col min="5520" max="5521" width="1" style="1" customWidth="1"/>
    <col min="5522" max="5522" width="1.5703125" style="1" customWidth="1"/>
    <col min="5523" max="5523" width="0.7109375" style="1" customWidth="1"/>
    <col min="5524" max="5524" width="1.85546875" style="1" customWidth="1"/>
    <col min="5525" max="5525" width="10.7109375" style="1" customWidth="1"/>
    <col min="5526" max="5526" width="0" style="1" hidden="1" customWidth="1"/>
    <col min="5527" max="5632" width="10" style="1"/>
    <col min="5633" max="5633" width="1.5703125" style="1" customWidth="1"/>
    <col min="5634" max="5634" width="1.42578125" style="1" customWidth="1"/>
    <col min="5635" max="5635" width="57.5703125" style="1" customWidth="1"/>
    <col min="5636" max="5636" width="2.7109375" style="1" customWidth="1"/>
    <col min="5637" max="5637" width="0" style="1" hidden="1" customWidth="1"/>
    <col min="5638" max="5639" width="1" style="1" customWidth="1"/>
    <col min="5640" max="5640" width="19.7109375" style="1" customWidth="1"/>
    <col min="5641" max="5642" width="1" style="1" customWidth="1"/>
    <col min="5643" max="5687" width="0" style="1" hidden="1" customWidth="1"/>
    <col min="5688" max="5689" width="1" style="1" customWidth="1"/>
    <col min="5690" max="5690" width="17.85546875" style="1" customWidth="1"/>
    <col min="5691" max="5692" width="1" style="1" customWidth="1"/>
    <col min="5693" max="5702" width="0" style="1" hidden="1" customWidth="1"/>
    <col min="5703" max="5704" width="1" style="1" customWidth="1"/>
    <col min="5705" max="5705" width="17.85546875" style="1" customWidth="1"/>
    <col min="5706" max="5709" width="1" style="1" customWidth="1"/>
    <col min="5710" max="5710" width="17.85546875" style="1" customWidth="1"/>
    <col min="5711" max="5712" width="1" style="1" customWidth="1"/>
    <col min="5713" max="5731" width="0" style="1" hidden="1" customWidth="1"/>
    <col min="5732" max="5732" width="1" style="1" customWidth="1"/>
    <col min="5733" max="5757" width="0" style="1" hidden="1" customWidth="1"/>
    <col min="5758" max="5759" width="1" style="1" customWidth="1"/>
    <col min="5760" max="5760" width="17.85546875" style="1" customWidth="1"/>
    <col min="5761" max="5762" width="1" style="1" customWidth="1"/>
    <col min="5763" max="5772" width="0" style="1" hidden="1" customWidth="1"/>
    <col min="5773" max="5774" width="1" style="1" customWidth="1"/>
    <col min="5775" max="5775" width="17.85546875" style="1" customWidth="1"/>
    <col min="5776" max="5777" width="1" style="1" customWidth="1"/>
    <col min="5778" max="5778" width="1.5703125" style="1" customWidth="1"/>
    <col min="5779" max="5779" width="0.7109375" style="1" customWidth="1"/>
    <col min="5780" max="5780" width="1.85546875" style="1" customWidth="1"/>
    <col min="5781" max="5781" width="10.7109375" style="1" customWidth="1"/>
    <col min="5782" max="5782" width="0" style="1" hidden="1" customWidth="1"/>
    <col min="5783" max="5888" width="10" style="1"/>
    <col min="5889" max="5889" width="1.5703125" style="1" customWidth="1"/>
    <col min="5890" max="5890" width="1.42578125" style="1" customWidth="1"/>
    <col min="5891" max="5891" width="57.5703125" style="1" customWidth="1"/>
    <col min="5892" max="5892" width="2.7109375" style="1" customWidth="1"/>
    <col min="5893" max="5893" width="0" style="1" hidden="1" customWidth="1"/>
    <col min="5894" max="5895" width="1" style="1" customWidth="1"/>
    <col min="5896" max="5896" width="19.7109375" style="1" customWidth="1"/>
    <col min="5897" max="5898" width="1" style="1" customWidth="1"/>
    <col min="5899" max="5943" width="0" style="1" hidden="1" customWidth="1"/>
    <col min="5944" max="5945" width="1" style="1" customWidth="1"/>
    <col min="5946" max="5946" width="17.85546875" style="1" customWidth="1"/>
    <col min="5947" max="5948" width="1" style="1" customWidth="1"/>
    <col min="5949" max="5958" width="0" style="1" hidden="1" customWidth="1"/>
    <col min="5959" max="5960" width="1" style="1" customWidth="1"/>
    <col min="5961" max="5961" width="17.85546875" style="1" customWidth="1"/>
    <col min="5962" max="5965" width="1" style="1" customWidth="1"/>
    <col min="5966" max="5966" width="17.85546875" style="1" customWidth="1"/>
    <col min="5967" max="5968" width="1" style="1" customWidth="1"/>
    <col min="5969" max="5987" width="0" style="1" hidden="1" customWidth="1"/>
    <col min="5988" max="5988" width="1" style="1" customWidth="1"/>
    <col min="5989" max="6013" width="0" style="1" hidden="1" customWidth="1"/>
    <col min="6014" max="6015" width="1" style="1" customWidth="1"/>
    <col min="6016" max="6016" width="17.85546875" style="1" customWidth="1"/>
    <col min="6017" max="6018" width="1" style="1" customWidth="1"/>
    <col min="6019" max="6028" width="0" style="1" hidden="1" customWidth="1"/>
    <col min="6029" max="6030" width="1" style="1" customWidth="1"/>
    <col min="6031" max="6031" width="17.85546875" style="1" customWidth="1"/>
    <col min="6032" max="6033" width="1" style="1" customWidth="1"/>
    <col min="6034" max="6034" width="1.5703125" style="1" customWidth="1"/>
    <col min="6035" max="6035" width="0.7109375" style="1" customWidth="1"/>
    <col min="6036" max="6036" width="1.85546875" style="1" customWidth="1"/>
    <col min="6037" max="6037" width="10.7109375" style="1" customWidth="1"/>
    <col min="6038" max="6038" width="0" style="1" hidden="1" customWidth="1"/>
    <col min="6039" max="6144" width="10" style="1"/>
    <col min="6145" max="6145" width="1.5703125" style="1" customWidth="1"/>
    <col min="6146" max="6146" width="1.42578125" style="1" customWidth="1"/>
    <col min="6147" max="6147" width="57.5703125" style="1" customWidth="1"/>
    <col min="6148" max="6148" width="2.7109375" style="1" customWidth="1"/>
    <col min="6149" max="6149" width="0" style="1" hidden="1" customWidth="1"/>
    <col min="6150" max="6151" width="1" style="1" customWidth="1"/>
    <col min="6152" max="6152" width="19.7109375" style="1" customWidth="1"/>
    <col min="6153" max="6154" width="1" style="1" customWidth="1"/>
    <col min="6155" max="6199" width="0" style="1" hidden="1" customWidth="1"/>
    <col min="6200" max="6201" width="1" style="1" customWidth="1"/>
    <col min="6202" max="6202" width="17.85546875" style="1" customWidth="1"/>
    <col min="6203" max="6204" width="1" style="1" customWidth="1"/>
    <col min="6205" max="6214" width="0" style="1" hidden="1" customWidth="1"/>
    <col min="6215" max="6216" width="1" style="1" customWidth="1"/>
    <col min="6217" max="6217" width="17.85546875" style="1" customWidth="1"/>
    <col min="6218" max="6221" width="1" style="1" customWidth="1"/>
    <col min="6222" max="6222" width="17.85546875" style="1" customWidth="1"/>
    <col min="6223" max="6224" width="1" style="1" customWidth="1"/>
    <col min="6225" max="6243" width="0" style="1" hidden="1" customWidth="1"/>
    <col min="6244" max="6244" width="1" style="1" customWidth="1"/>
    <col min="6245" max="6269" width="0" style="1" hidden="1" customWidth="1"/>
    <col min="6270" max="6271" width="1" style="1" customWidth="1"/>
    <col min="6272" max="6272" width="17.85546875" style="1" customWidth="1"/>
    <col min="6273" max="6274" width="1" style="1" customWidth="1"/>
    <col min="6275" max="6284" width="0" style="1" hidden="1" customWidth="1"/>
    <col min="6285" max="6286" width="1" style="1" customWidth="1"/>
    <col min="6287" max="6287" width="17.85546875" style="1" customWidth="1"/>
    <col min="6288" max="6289" width="1" style="1" customWidth="1"/>
    <col min="6290" max="6290" width="1.5703125" style="1" customWidth="1"/>
    <col min="6291" max="6291" width="0.7109375" style="1" customWidth="1"/>
    <col min="6292" max="6292" width="1.85546875" style="1" customWidth="1"/>
    <col min="6293" max="6293" width="10.7109375" style="1" customWidth="1"/>
    <col min="6294" max="6294" width="0" style="1" hidden="1" customWidth="1"/>
    <col min="6295" max="6400" width="10" style="1"/>
    <col min="6401" max="6401" width="1.5703125" style="1" customWidth="1"/>
    <col min="6402" max="6402" width="1.42578125" style="1" customWidth="1"/>
    <col min="6403" max="6403" width="57.5703125" style="1" customWidth="1"/>
    <col min="6404" max="6404" width="2.7109375" style="1" customWidth="1"/>
    <col min="6405" max="6405" width="0" style="1" hidden="1" customWidth="1"/>
    <col min="6406" max="6407" width="1" style="1" customWidth="1"/>
    <col min="6408" max="6408" width="19.7109375" style="1" customWidth="1"/>
    <col min="6409" max="6410" width="1" style="1" customWidth="1"/>
    <col min="6411" max="6455" width="0" style="1" hidden="1" customWidth="1"/>
    <col min="6456" max="6457" width="1" style="1" customWidth="1"/>
    <col min="6458" max="6458" width="17.85546875" style="1" customWidth="1"/>
    <col min="6459" max="6460" width="1" style="1" customWidth="1"/>
    <col min="6461" max="6470" width="0" style="1" hidden="1" customWidth="1"/>
    <col min="6471" max="6472" width="1" style="1" customWidth="1"/>
    <col min="6473" max="6473" width="17.85546875" style="1" customWidth="1"/>
    <col min="6474" max="6477" width="1" style="1" customWidth="1"/>
    <col min="6478" max="6478" width="17.85546875" style="1" customWidth="1"/>
    <col min="6479" max="6480" width="1" style="1" customWidth="1"/>
    <col min="6481" max="6499" width="0" style="1" hidden="1" customWidth="1"/>
    <col min="6500" max="6500" width="1" style="1" customWidth="1"/>
    <col min="6501" max="6525" width="0" style="1" hidden="1" customWidth="1"/>
    <col min="6526" max="6527" width="1" style="1" customWidth="1"/>
    <col min="6528" max="6528" width="17.85546875" style="1" customWidth="1"/>
    <col min="6529" max="6530" width="1" style="1" customWidth="1"/>
    <col min="6531" max="6540" width="0" style="1" hidden="1" customWidth="1"/>
    <col min="6541" max="6542" width="1" style="1" customWidth="1"/>
    <col min="6543" max="6543" width="17.85546875" style="1" customWidth="1"/>
    <col min="6544" max="6545" width="1" style="1" customWidth="1"/>
    <col min="6546" max="6546" width="1.5703125" style="1" customWidth="1"/>
    <col min="6547" max="6547" width="0.7109375" style="1" customWidth="1"/>
    <col min="6548" max="6548" width="1.85546875" style="1" customWidth="1"/>
    <col min="6549" max="6549" width="10.7109375" style="1" customWidth="1"/>
    <col min="6550" max="6550" width="0" style="1" hidden="1" customWidth="1"/>
    <col min="6551" max="6656" width="10" style="1"/>
    <col min="6657" max="6657" width="1.5703125" style="1" customWidth="1"/>
    <col min="6658" max="6658" width="1.42578125" style="1" customWidth="1"/>
    <col min="6659" max="6659" width="57.5703125" style="1" customWidth="1"/>
    <col min="6660" max="6660" width="2.7109375" style="1" customWidth="1"/>
    <col min="6661" max="6661" width="0" style="1" hidden="1" customWidth="1"/>
    <col min="6662" max="6663" width="1" style="1" customWidth="1"/>
    <col min="6664" max="6664" width="19.7109375" style="1" customWidth="1"/>
    <col min="6665" max="6666" width="1" style="1" customWidth="1"/>
    <col min="6667" max="6711" width="0" style="1" hidden="1" customWidth="1"/>
    <col min="6712" max="6713" width="1" style="1" customWidth="1"/>
    <col min="6714" max="6714" width="17.85546875" style="1" customWidth="1"/>
    <col min="6715" max="6716" width="1" style="1" customWidth="1"/>
    <col min="6717" max="6726" width="0" style="1" hidden="1" customWidth="1"/>
    <col min="6727" max="6728" width="1" style="1" customWidth="1"/>
    <col min="6729" max="6729" width="17.85546875" style="1" customWidth="1"/>
    <col min="6730" max="6733" width="1" style="1" customWidth="1"/>
    <col min="6734" max="6734" width="17.85546875" style="1" customWidth="1"/>
    <col min="6735" max="6736" width="1" style="1" customWidth="1"/>
    <col min="6737" max="6755" width="0" style="1" hidden="1" customWidth="1"/>
    <col min="6756" max="6756" width="1" style="1" customWidth="1"/>
    <col min="6757" max="6781" width="0" style="1" hidden="1" customWidth="1"/>
    <col min="6782" max="6783" width="1" style="1" customWidth="1"/>
    <col min="6784" max="6784" width="17.85546875" style="1" customWidth="1"/>
    <col min="6785" max="6786" width="1" style="1" customWidth="1"/>
    <col min="6787" max="6796" width="0" style="1" hidden="1" customWidth="1"/>
    <col min="6797" max="6798" width="1" style="1" customWidth="1"/>
    <col min="6799" max="6799" width="17.85546875" style="1" customWidth="1"/>
    <col min="6800" max="6801" width="1" style="1" customWidth="1"/>
    <col min="6802" max="6802" width="1.5703125" style="1" customWidth="1"/>
    <col min="6803" max="6803" width="0.7109375" style="1" customWidth="1"/>
    <col min="6804" max="6804" width="1.85546875" style="1" customWidth="1"/>
    <col min="6805" max="6805" width="10.7109375" style="1" customWidth="1"/>
    <col min="6806" max="6806" width="0" style="1" hidden="1" customWidth="1"/>
    <col min="6807" max="6912" width="10" style="1"/>
    <col min="6913" max="6913" width="1.5703125" style="1" customWidth="1"/>
    <col min="6914" max="6914" width="1.42578125" style="1" customWidth="1"/>
    <col min="6915" max="6915" width="57.5703125" style="1" customWidth="1"/>
    <col min="6916" max="6916" width="2.7109375" style="1" customWidth="1"/>
    <col min="6917" max="6917" width="0" style="1" hidden="1" customWidth="1"/>
    <col min="6918" max="6919" width="1" style="1" customWidth="1"/>
    <col min="6920" max="6920" width="19.7109375" style="1" customWidth="1"/>
    <col min="6921" max="6922" width="1" style="1" customWidth="1"/>
    <col min="6923" max="6967" width="0" style="1" hidden="1" customWidth="1"/>
    <col min="6968" max="6969" width="1" style="1" customWidth="1"/>
    <col min="6970" max="6970" width="17.85546875" style="1" customWidth="1"/>
    <col min="6971" max="6972" width="1" style="1" customWidth="1"/>
    <col min="6973" max="6982" width="0" style="1" hidden="1" customWidth="1"/>
    <col min="6983" max="6984" width="1" style="1" customWidth="1"/>
    <col min="6985" max="6985" width="17.85546875" style="1" customWidth="1"/>
    <col min="6986" max="6989" width="1" style="1" customWidth="1"/>
    <col min="6990" max="6990" width="17.85546875" style="1" customWidth="1"/>
    <col min="6991" max="6992" width="1" style="1" customWidth="1"/>
    <col min="6993" max="7011" width="0" style="1" hidden="1" customWidth="1"/>
    <col min="7012" max="7012" width="1" style="1" customWidth="1"/>
    <col min="7013" max="7037" width="0" style="1" hidden="1" customWidth="1"/>
    <col min="7038" max="7039" width="1" style="1" customWidth="1"/>
    <col min="7040" max="7040" width="17.85546875" style="1" customWidth="1"/>
    <col min="7041" max="7042" width="1" style="1" customWidth="1"/>
    <col min="7043" max="7052" width="0" style="1" hidden="1" customWidth="1"/>
    <col min="7053" max="7054" width="1" style="1" customWidth="1"/>
    <col min="7055" max="7055" width="17.85546875" style="1" customWidth="1"/>
    <col min="7056" max="7057" width="1" style="1" customWidth="1"/>
    <col min="7058" max="7058" width="1.5703125" style="1" customWidth="1"/>
    <col min="7059" max="7059" width="0.7109375" style="1" customWidth="1"/>
    <col min="7060" max="7060" width="1.85546875" style="1" customWidth="1"/>
    <col min="7061" max="7061" width="10.7109375" style="1" customWidth="1"/>
    <col min="7062" max="7062" width="0" style="1" hidden="1" customWidth="1"/>
    <col min="7063" max="7168" width="10" style="1"/>
    <col min="7169" max="7169" width="1.5703125" style="1" customWidth="1"/>
    <col min="7170" max="7170" width="1.42578125" style="1" customWidth="1"/>
    <col min="7171" max="7171" width="57.5703125" style="1" customWidth="1"/>
    <col min="7172" max="7172" width="2.7109375" style="1" customWidth="1"/>
    <col min="7173" max="7173" width="0" style="1" hidden="1" customWidth="1"/>
    <col min="7174" max="7175" width="1" style="1" customWidth="1"/>
    <col min="7176" max="7176" width="19.7109375" style="1" customWidth="1"/>
    <col min="7177" max="7178" width="1" style="1" customWidth="1"/>
    <col min="7179" max="7223" width="0" style="1" hidden="1" customWidth="1"/>
    <col min="7224" max="7225" width="1" style="1" customWidth="1"/>
    <col min="7226" max="7226" width="17.85546875" style="1" customWidth="1"/>
    <col min="7227" max="7228" width="1" style="1" customWidth="1"/>
    <col min="7229" max="7238" width="0" style="1" hidden="1" customWidth="1"/>
    <col min="7239" max="7240" width="1" style="1" customWidth="1"/>
    <col min="7241" max="7241" width="17.85546875" style="1" customWidth="1"/>
    <col min="7242" max="7245" width="1" style="1" customWidth="1"/>
    <col min="7246" max="7246" width="17.85546875" style="1" customWidth="1"/>
    <col min="7247" max="7248" width="1" style="1" customWidth="1"/>
    <col min="7249" max="7267" width="0" style="1" hidden="1" customWidth="1"/>
    <col min="7268" max="7268" width="1" style="1" customWidth="1"/>
    <col min="7269" max="7293" width="0" style="1" hidden="1" customWidth="1"/>
    <col min="7294" max="7295" width="1" style="1" customWidth="1"/>
    <col min="7296" max="7296" width="17.85546875" style="1" customWidth="1"/>
    <col min="7297" max="7298" width="1" style="1" customWidth="1"/>
    <col min="7299" max="7308" width="0" style="1" hidden="1" customWidth="1"/>
    <col min="7309" max="7310" width="1" style="1" customWidth="1"/>
    <col min="7311" max="7311" width="17.85546875" style="1" customWidth="1"/>
    <col min="7312" max="7313" width="1" style="1" customWidth="1"/>
    <col min="7314" max="7314" width="1.5703125" style="1" customWidth="1"/>
    <col min="7315" max="7315" width="0.7109375" style="1" customWidth="1"/>
    <col min="7316" max="7316" width="1.85546875" style="1" customWidth="1"/>
    <col min="7317" max="7317" width="10.7109375" style="1" customWidth="1"/>
    <col min="7318" max="7318" width="0" style="1" hidden="1" customWidth="1"/>
    <col min="7319" max="7424" width="10" style="1"/>
    <col min="7425" max="7425" width="1.5703125" style="1" customWidth="1"/>
    <col min="7426" max="7426" width="1.42578125" style="1" customWidth="1"/>
    <col min="7427" max="7427" width="57.5703125" style="1" customWidth="1"/>
    <col min="7428" max="7428" width="2.7109375" style="1" customWidth="1"/>
    <col min="7429" max="7429" width="0" style="1" hidden="1" customWidth="1"/>
    <col min="7430" max="7431" width="1" style="1" customWidth="1"/>
    <col min="7432" max="7432" width="19.7109375" style="1" customWidth="1"/>
    <col min="7433" max="7434" width="1" style="1" customWidth="1"/>
    <col min="7435" max="7479" width="0" style="1" hidden="1" customWidth="1"/>
    <col min="7480" max="7481" width="1" style="1" customWidth="1"/>
    <col min="7482" max="7482" width="17.85546875" style="1" customWidth="1"/>
    <col min="7483" max="7484" width="1" style="1" customWidth="1"/>
    <col min="7485" max="7494" width="0" style="1" hidden="1" customWidth="1"/>
    <col min="7495" max="7496" width="1" style="1" customWidth="1"/>
    <col min="7497" max="7497" width="17.85546875" style="1" customWidth="1"/>
    <col min="7498" max="7501" width="1" style="1" customWidth="1"/>
    <col min="7502" max="7502" width="17.85546875" style="1" customWidth="1"/>
    <col min="7503" max="7504" width="1" style="1" customWidth="1"/>
    <col min="7505" max="7523" width="0" style="1" hidden="1" customWidth="1"/>
    <col min="7524" max="7524" width="1" style="1" customWidth="1"/>
    <col min="7525" max="7549" width="0" style="1" hidden="1" customWidth="1"/>
    <col min="7550" max="7551" width="1" style="1" customWidth="1"/>
    <col min="7552" max="7552" width="17.85546875" style="1" customWidth="1"/>
    <col min="7553" max="7554" width="1" style="1" customWidth="1"/>
    <col min="7555" max="7564" width="0" style="1" hidden="1" customWidth="1"/>
    <col min="7565" max="7566" width="1" style="1" customWidth="1"/>
    <col min="7567" max="7567" width="17.85546875" style="1" customWidth="1"/>
    <col min="7568" max="7569" width="1" style="1" customWidth="1"/>
    <col min="7570" max="7570" width="1.5703125" style="1" customWidth="1"/>
    <col min="7571" max="7571" width="0.7109375" style="1" customWidth="1"/>
    <col min="7572" max="7572" width="1.85546875" style="1" customWidth="1"/>
    <col min="7573" max="7573" width="10.7109375" style="1" customWidth="1"/>
    <col min="7574" max="7574" width="0" style="1" hidden="1" customWidth="1"/>
    <col min="7575" max="7680" width="10" style="1"/>
    <col min="7681" max="7681" width="1.5703125" style="1" customWidth="1"/>
    <col min="7682" max="7682" width="1.42578125" style="1" customWidth="1"/>
    <col min="7683" max="7683" width="57.5703125" style="1" customWidth="1"/>
    <col min="7684" max="7684" width="2.7109375" style="1" customWidth="1"/>
    <col min="7685" max="7685" width="0" style="1" hidden="1" customWidth="1"/>
    <col min="7686" max="7687" width="1" style="1" customWidth="1"/>
    <col min="7688" max="7688" width="19.7109375" style="1" customWidth="1"/>
    <col min="7689" max="7690" width="1" style="1" customWidth="1"/>
    <col min="7691" max="7735" width="0" style="1" hidden="1" customWidth="1"/>
    <col min="7736" max="7737" width="1" style="1" customWidth="1"/>
    <col min="7738" max="7738" width="17.85546875" style="1" customWidth="1"/>
    <col min="7739" max="7740" width="1" style="1" customWidth="1"/>
    <col min="7741" max="7750" width="0" style="1" hidden="1" customWidth="1"/>
    <col min="7751" max="7752" width="1" style="1" customWidth="1"/>
    <col min="7753" max="7753" width="17.85546875" style="1" customWidth="1"/>
    <col min="7754" max="7757" width="1" style="1" customWidth="1"/>
    <col min="7758" max="7758" width="17.85546875" style="1" customWidth="1"/>
    <col min="7759" max="7760" width="1" style="1" customWidth="1"/>
    <col min="7761" max="7779" width="0" style="1" hidden="1" customWidth="1"/>
    <col min="7780" max="7780" width="1" style="1" customWidth="1"/>
    <col min="7781" max="7805" width="0" style="1" hidden="1" customWidth="1"/>
    <col min="7806" max="7807" width="1" style="1" customWidth="1"/>
    <col min="7808" max="7808" width="17.85546875" style="1" customWidth="1"/>
    <col min="7809" max="7810" width="1" style="1" customWidth="1"/>
    <col min="7811" max="7820" width="0" style="1" hidden="1" customWidth="1"/>
    <col min="7821" max="7822" width="1" style="1" customWidth="1"/>
    <col min="7823" max="7823" width="17.85546875" style="1" customWidth="1"/>
    <col min="7824" max="7825" width="1" style="1" customWidth="1"/>
    <col min="7826" max="7826" width="1.5703125" style="1" customWidth="1"/>
    <col min="7827" max="7827" width="0.7109375" style="1" customWidth="1"/>
    <col min="7828" max="7828" width="1.85546875" style="1" customWidth="1"/>
    <col min="7829" max="7829" width="10.7109375" style="1" customWidth="1"/>
    <col min="7830" max="7830" width="0" style="1" hidden="1" customWidth="1"/>
    <col min="7831" max="7936" width="10" style="1"/>
    <col min="7937" max="7937" width="1.5703125" style="1" customWidth="1"/>
    <col min="7938" max="7938" width="1.42578125" style="1" customWidth="1"/>
    <col min="7939" max="7939" width="57.5703125" style="1" customWidth="1"/>
    <col min="7940" max="7940" width="2.7109375" style="1" customWidth="1"/>
    <col min="7941" max="7941" width="0" style="1" hidden="1" customWidth="1"/>
    <col min="7942" max="7943" width="1" style="1" customWidth="1"/>
    <col min="7944" max="7944" width="19.7109375" style="1" customWidth="1"/>
    <col min="7945" max="7946" width="1" style="1" customWidth="1"/>
    <col min="7947" max="7991" width="0" style="1" hidden="1" customWidth="1"/>
    <col min="7992" max="7993" width="1" style="1" customWidth="1"/>
    <col min="7994" max="7994" width="17.85546875" style="1" customWidth="1"/>
    <col min="7995" max="7996" width="1" style="1" customWidth="1"/>
    <col min="7997" max="8006" width="0" style="1" hidden="1" customWidth="1"/>
    <col min="8007" max="8008" width="1" style="1" customWidth="1"/>
    <col min="8009" max="8009" width="17.85546875" style="1" customWidth="1"/>
    <col min="8010" max="8013" width="1" style="1" customWidth="1"/>
    <col min="8014" max="8014" width="17.85546875" style="1" customWidth="1"/>
    <col min="8015" max="8016" width="1" style="1" customWidth="1"/>
    <col min="8017" max="8035" width="0" style="1" hidden="1" customWidth="1"/>
    <col min="8036" max="8036" width="1" style="1" customWidth="1"/>
    <col min="8037" max="8061" width="0" style="1" hidden="1" customWidth="1"/>
    <col min="8062" max="8063" width="1" style="1" customWidth="1"/>
    <col min="8064" max="8064" width="17.85546875" style="1" customWidth="1"/>
    <col min="8065" max="8066" width="1" style="1" customWidth="1"/>
    <col min="8067" max="8076" width="0" style="1" hidden="1" customWidth="1"/>
    <col min="8077" max="8078" width="1" style="1" customWidth="1"/>
    <col min="8079" max="8079" width="17.85546875" style="1" customWidth="1"/>
    <col min="8080" max="8081" width="1" style="1" customWidth="1"/>
    <col min="8082" max="8082" width="1.5703125" style="1" customWidth="1"/>
    <col min="8083" max="8083" width="0.7109375" style="1" customWidth="1"/>
    <col min="8084" max="8084" width="1.85546875" style="1" customWidth="1"/>
    <col min="8085" max="8085" width="10.7109375" style="1" customWidth="1"/>
    <col min="8086" max="8086" width="0" style="1" hidden="1" customWidth="1"/>
    <col min="8087" max="8192" width="10" style="1"/>
    <col min="8193" max="8193" width="1.5703125" style="1" customWidth="1"/>
    <col min="8194" max="8194" width="1.42578125" style="1" customWidth="1"/>
    <col min="8195" max="8195" width="57.5703125" style="1" customWidth="1"/>
    <col min="8196" max="8196" width="2.7109375" style="1" customWidth="1"/>
    <col min="8197" max="8197" width="0" style="1" hidden="1" customWidth="1"/>
    <col min="8198" max="8199" width="1" style="1" customWidth="1"/>
    <col min="8200" max="8200" width="19.7109375" style="1" customWidth="1"/>
    <col min="8201" max="8202" width="1" style="1" customWidth="1"/>
    <col min="8203" max="8247" width="0" style="1" hidden="1" customWidth="1"/>
    <col min="8248" max="8249" width="1" style="1" customWidth="1"/>
    <col min="8250" max="8250" width="17.85546875" style="1" customWidth="1"/>
    <col min="8251" max="8252" width="1" style="1" customWidth="1"/>
    <col min="8253" max="8262" width="0" style="1" hidden="1" customWidth="1"/>
    <col min="8263" max="8264" width="1" style="1" customWidth="1"/>
    <col min="8265" max="8265" width="17.85546875" style="1" customWidth="1"/>
    <col min="8266" max="8269" width="1" style="1" customWidth="1"/>
    <col min="8270" max="8270" width="17.85546875" style="1" customWidth="1"/>
    <col min="8271" max="8272" width="1" style="1" customWidth="1"/>
    <col min="8273" max="8291" width="0" style="1" hidden="1" customWidth="1"/>
    <col min="8292" max="8292" width="1" style="1" customWidth="1"/>
    <col min="8293" max="8317" width="0" style="1" hidden="1" customWidth="1"/>
    <col min="8318" max="8319" width="1" style="1" customWidth="1"/>
    <col min="8320" max="8320" width="17.85546875" style="1" customWidth="1"/>
    <col min="8321" max="8322" width="1" style="1" customWidth="1"/>
    <col min="8323" max="8332" width="0" style="1" hidden="1" customWidth="1"/>
    <col min="8333" max="8334" width="1" style="1" customWidth="1"/>
    <col min="8335" max="8335" width="17.85546875" style="1" customWidth="1"/>
    <col min="8336" max="8337" width="1" style="1" customWidth="1"/>
    <col min="8338" max="8338" width="1.5703125" style="1" customWidth="1"/>
    <col min="8339" max="8339" width="0.7109375" style="1" customWidth="1"/>
    <col min="8340" max="8340" width="1.85546875" style="1" customWidth="1"/>
    <col min="8341" max="8341" width="10.7109375" style="1" customWidth="1"/>
    <col min="8342" max="8342" width="0" style="1" hidden="1" customWidth="1"/>
    <col min="8343" max="8448" width="10" style="1"/>
    <col min="8449" max="8449" width="1.5703125" style="1" customWidth="1"/>
    <col min="8450" max="8450" width="1.42578125" style="1" customWidth="1"/>
    <col min="8451" max="8451" width="57.5703125" style="1" customWidth="1"/>
    <col min="8452" max="8452" width="2.7109375" style="1" customWidth="1"/>
    <col min="8453" max="8453" width="0" style="1" hidden="1" customWidth="1"/>
    <col min="8454" max="8455" width="1" style="1" customWidth="1"/>
    <col min="8456" max="8456" width="19.7109375" style="1" customWidth="1"/>
    <col min="8457" max="8458" width="1" style="1" customWidth="1"/>
    <col min="8459" max="8503" width="0" style="1" hidden="1" customWidth="1"/>
    <col min="8504" max="8505" width="1" style="1" customWidth="1"/>
    <col min="8506" max="8506" width="17.85546875" style="1" customWidth="1"/>
    <col min="8507" max="8508" width="1" style="1" customWidth="1"/>
    <col min="8509" max="8518" width="0" style="1" hidden="1" customWidth="1"/>
    <col min="8519" max="8520" width="1" style="1" customWidth="1"/>
    <col min="8521" max="8521" width="17.85546875" style="1" customWidth="1"/>
    <col min="8522" max="8525" width="1" style="1" customWidth="1"/>
    <col min="8526" max="8526" width="17.85546875" style="1" customWidth="1"/>
    <col min="8527" max="8528" width="1" style="1" customWidth="1"/>
    <col min="8529" max="8547" width="0" style="1" hidden="1" customWidth="1"/>
    <col min="8548" max="8548" width="1" style="1" customWidth="1"/>
    <col min="8549" max="8573" width="0" style="1" hidden="1" customWidth="1"/>
    <col min="8574" max="8575" width="1" style="1" customWidth="1"/>
    <col min="8576" max="8576" width="17.85546875" style="1" customWidth="1"/>
    <col min="8577" max="8578" width="1" style="1" customWidth="1"/>
    <col min="8579" max="8588" width="0" style="1" hidden="1" customWidth="1"/>
    <col min="8589" max="8590" width="1" style="1" customWidth="1"/>
    <col min="8591" max="8591" width="17.85546875" style="1" customWidth="1"/>
    <col min="8592" max="8593" width="1" style="1" customWidth="1"/>
    <col min="8594" max="8594" width="1.5703125" style="1" customWidth="1"/>
    <col min="8595" max="8595" width="0.7109375" style="1" customWidth="1"/>
    <col min="8596" max="8596" width="1.85546875" style="1" customWidth="1"/>
    <col min="8597" max="8597" width="10.7109375" style="1" customWidth="1"/>
    <col min="8598" max="8598" width="0" style="1" hidden="1" customWidth="1"/>
    <col min="8599" max="8704" width="10" style="1"/>
    <col min="8705" max="8705" width="1.5703125" style="1" customWidth="1"/>
    <col min="8706" max="8706" width="1.42578125" style="1" customWidth="1"/>
    <col min="8707" max="8707" width="57.5703125" style="1" customWidth="1"/>
    <col min="8708" max="8708" width="2.7109375" style="1" customWidth="1"/>
    <col min="8709" max="8709" width="0" style="1" hidden="1" customWidth="1"/>
    <col min="8710" max="8711" width="1" style="1" customWidth="1"/>
    <col min="8712" max="8712" width="19.7109375" style="1" customWidth="1"/>
    <col min="8713" max="8714" width="1" style="1" customWidth="1"/>
    <col min="8715" max="8759" width="0" style="1" hidden="1" customWidth="1"/>
    <col min="8760" max="8761" width="1" style="1" customWidth="1"/>
    <col min="8762" max="8762" width="17.85546875" style="1" customWidth="1"/>
    <col min="8763" max="8764" width="1" style="1" customWidth="1"/>
    <col min="8765" max="8774" width="0" style="1" hidden="1" customWidth="1"/>
    <col min="8775" max="8776" width="1" style="1" customWidth="1"/>
    <col min="8777" max="8777" width="17.85546875" style="1" customWidth="1"/>
    <col min="8778" max="8781" width="1" style="1" customWidth="1"/>
    <col min="8782" max="8782" width="17.85546875" style="1" customWidth="1"/>
    <col min="8783" max="8784" width="1" style="1" customWidth="1"/>
    <col min="8785" max="8803" width="0" style="1" hidden="1" customWidth="1"/>
    <col min="8804" max="8804" width="1" style="1" customWidth="1"/>
    <col min="8805" max="8829" width="0" style="1" hidden="1" customWidth="1"/>
    <col min="8830" max="8831" width="1" style="1" customWidth="1"/>
    <col min="8832" max="8832" width="17.85546875" style="1" customWidth="1"/>
    <col min="8833" max="8834" width="1" style="1" customWidth="1"/>
    <col min="8835" max="8844" width="0" style="1" hidden="1" customWidth="1"/>
    <col min="8845" max="8846" width="1" style="1" customWidth="1"/>
    <col min="8847" max="8847" width="17.85546875" style="1" customWidth="1"/>
    <col min="8848" max="8849" width="1" style="1" customWidth="1"/>
    <col min="8850" max="8850" width="1.5703125" style="1" customWidth="1"/>
    <col min="8851" max="8851" width="0.7109375" style="1" customWidth="1"/>
    <col min="8852" max="8852" width="1.85546875" style="1" customWidth="1"/>
    <col min="8853" max="8853" width="10.7109375" style="1" customWidth="1"/>
    <col min="8854" max="8854" width="0" style="1" hidden="1" customWidth="1"/>
    <col min="8855" max="8960" width="10" style="1"/>
    <col min="8961" max="8961" width="1.5703125" style="1" customWidth="1"/>
    <col min="8962" max="8962" width="1.42578125" style="1" customWidth="1"/>
    <col min="8963" max="8963" width="57.5703125" style="1" customWidth="1"/>
    <col min="8964" max="8964" width="2.7109375" style="1" customWidth="1"/>
    <col min="8965" max="8965" width="0" style="1" hidden="1" customWidth="1"/>
    <col min="8966" max="8967" width="1" style="1" customWidth="1"/>
    <col min="8968" max="8968" width="19.7109375" style="1" customWidth="1"/>
    <col min="8969" max="8970" width="1" style="1" customWidth="1"/>
    <col min="8971" max="9015" width="0" style="1" hidden="1" customWidth="1"/>
    <col min="9016" max="9017" width="1" style="1" customWidth="1"/>
    <col min="9018" max="9018" width="17.85546875" style="1" customWidth="1"/>
    <col min="9019" max="9020" width="1" style="1" customWidth="1"/>
    <col min="9021" max="9030" width="0" style="1" hidden="1" customWidth="1"/>
    <col min="9031" max="9032" width="1" style="1" customWidth="1"/>
    <col min="9033" max="9033" width="17.85546875" style="1" customWidth="1"/>
    <col min="9034" max="9037" width="1" style="1" customWidth="1"/>
    <col min="9038" max="9038" width="17.85546875" style="1" customWidth="1"/>
    <col min="9039" max="9040" width="1" style="1" customWidth="1"/>
    <col min="9041" max="9059" width="0" style="1" hidden="1" customWidth="1"/>
    <col min="9060" max="9060" width="1" style="1" customWidth="1"/>
    <col min="9061" max="9085" width="0" style="1" hidden="1" customWidth="1"/>
    <col min="9086" max="9087" width="1" style="1" customWidth="1"/>
    <col min="9088" max="9088" width="17.85546875" style="1" customWidth="1"/>
    <col min="9089" max="9090" width="1" style="1" customWidth="1"/>
    <col min="9091" max="9100" width="0" style="1" hidden="1" customWidth="1"/>
    <col min="9101" max="9102" width="1" style="1" customWidth="1"/>
    <col min="9103" max="9103" width="17.85546875" style="1" customWidth="1"/>
    <col min="9104" max="9105" width="1" style="1" customWidth="1"/>
    <col min="9106" max="9106" width="1.5703125" style="1" customWidth="1"/>
    <col min="9107" max="9107" width="0.7109375" style="1" customWidth="1"/>
    <col min="9108" max="9108" width="1.85546875" style="1" customWidth="1"/>
    <col min="9109" max="9109" width="10.7109375" style="1" customWidth="1"/>
    <col min="9110" max="9110" width="0" style="1" hidden="1" customWidth="1"/>
    <col min="9111" max="9216" width="10" style="1"/>
    <col min="9217" max="9217" width="1.5703125" style="1" customWidth="1"/>
    <col min="9218" max="9218" width="1.42578125" style="1" customWidth="1"/>
    <col min="9219" max="9219" width="57.5703125" style="1" customWidth="1"/>
    <col min="9220" max="9220" width="2.7109375" style="1" customWidth="1"/>
    <col min="9221" max="9221" width="0" style="1" hidden="1" customWidth="1"/>
    <col min="9222" max="9223" width="1" style="1" customWidth="1"/>
    <col min="9224" max="9224" width="19.7109375" style="1" customWidth="1"/>
    <col min="9225" max="9226" width="1" style="1" customWidth="1"/>
    <col min="9227" max="9271" width="0" style="1" hidden="1" customWidth="1"/>
    <col min="9272" max="9273" width="1" style="1" customWidth="1"/>
    <col min="9274" max="9274" width="17.85546875" style="1" customWidth="1"/>
    <col min="9275" max="9276" width="1" style="1" customWidth="1"/>
    <col min="9277" max="9286" width="0" style="1" hidden="1" customWidth="1"/>
    <col min="9287" max="9288" width="1" style="1" customWidth="1"/>
    <col min="9289" max="9289" width="17.85546875" style="1" customWidth="1"/>
    <col min="9290" max="9293" width="1" style="1" customWidth="1"/>
    <col min="9294" max="9294" width="17.85546875" style="1" customWidth="1"/>
    <col min="9295" max="9296" width="1" style="1" customWidth="1"/>
    <col min="9297" max="9315" width="0" style="1" hidden="1" customWidth="1"/>
    <col min="9316" max="9316" width="1" style="1" customWidth="1"/>
    <col min="9317" max="9341" width="0" style="1" hidden="1" customWidth="1"/>
    <col min="9342" max="9343" width="1" style="1" customWidth="1"/>
    <col min="9344" max="9344" width="17.85546875" style="1" customWidth="1"/>
    <col min="9345" max="9346" width="1" style="1" customWidth="1"/>
    <col min="9347" max="9356" width="0" style="1" hidden="1" customWidth="1"/>
    <col min="9357" max="9358" width="1" style="1" customWidth="1"/>
    <col min="9359" max="9359" width="17.85546875" style="1" customWidth="1"/>
    <col min="9360" max="9361" width="1" style="1" customWidth="1"/>
    <col min="9362" max="9362" width="1.5703125" style="1" customWidth="1"/>
    <col min="9363" max="9363" width="0.7109375" style="1" customWidth="1"/>
    <col min="9364" max="9364" width="1.85546875" style="1" customWidth="1"/>
    <col min="9365" max="9365" width="10.7109375" style="1" customWidth="1"/>
    <col min="9366" max="9366" width="0" style="1" hidden="1" customWidth="1"/>
    <col min="9367" max="9472" width="10" style="1"/>
    <col min="9473" max="9473" width="1.5703125" style="1" customWidth="1"/>
    <col min="9474" max="9474" width="1.42578125" style="1" customWidth="1"/>
    <col min="9475" max="9475" width="57.5703125" style="1" customWidth="1"/>
    <col min="9476" max="9476" width="2.7109375" style="1" customWidth="1"/>
    <col min="9477" max="9477" width="0" style="1" hidden="1" customWidth="1"/>
    <col min="9478" max="9479" width="1" style="1" customWidth="1"/>
    <col min="9480" max="9480" width="19.7109375" style="1" customWidth="1"/>
    <col min="9481" max="9482" width="1" style="1" customWidth="1"/>
    <col min="9483" max="9527" width="0" style="1" hidden="1" customWidth="1"/>
    <col min="9528" max="9529" width="1" style="1" customWidth="1"/>
    <col min="9530" max="9530" width="17.85546875" style="1" customWidth="1"/>
    <col min="9531" max="9532" width="1" style="1" customWidth="1"/>
    <col min="9533" max="9542" width="0" style="1" hidden="1" customWidth="1"/>
    <col min="9543" max="9544" width="1" style="1" customWidth="1"/>
    <col min="9545" max="9545" width="17.85546875" style="1" customWidth="1"/>
    <col min="9546" max="9549" width="1" style="1" customWidth="1"/>
    <col min="9550" max="9550" width="17.85546875" style="1" customWidth="1"/>
    <col min="9551" max="9552" width="1" style="1" customWidth="1"/>
    <col min="9553" max="9571" width="0" style="1" hidden="1" customWidth="1"/>
    <col min="9572" max="9572" width="1" style="1" customWidth="1"/>
    <col min="9573" max="9597" width="0" style="1" hidden="1" customWidth="1"/>
    <col min="9598" max="9599" width="1" style="1" customWidth="1"/>
    <col min="9600" max="9600" width="17.85546875" style="1" customWidth="1"/>
    <col min="9601" max="9602" width="1" style="1" customWidth="1"/>
    <col min="9603" max="9612" width="0" style="1" hidden="1" customWidth="1"/>
    <col min="9613" max="9614" width="1" style="1" customWidth="1"/>
    <col min="9615" max="9615" width="17.85546875" style="1" customWidth="1"/>
    <col min="9616" max="9617" width="1" style="1" customWidth="1"/>
    <col min="9618" max="9618" width="1.5703125" style="1" customWidth="1"/>
    <col min="9619" max="9619" width="0.7109375" style="1" customWidth="1"/>
    <col min="9620" max="9620" width="1.85546875" style="1" customWidth="1"/>
    <col min="9621" max="9621" width="10.7109375" style="1" customWidth="1"/>
    <col min="9622" max="9622" width="0" style="1" hidden="1" customWidth="1"/>
    <col min="9623" max="9728" width="10" style="1"/>
    <col min="9729" max="9729" width="1.5703125" style="1" customWidth="1"/>
    <col min="9730" max="9730" width="1.42578125" style="1" customWidth="1"/>
    <col min="9731" max="9731" width="57.5703125" style="1" customWidth="1"/>
    <col min="9732" max="9732" width="2.7109375" style="1" customWidth="1"/>
    <col min="9733" max="9733" width="0" style="1" hidden="1" customWidth="1"/>
    <col min="9734" max="9735" width="1" style="1" customWidth="1"/>
    <col min="9736" max="9736" width="19.7109375" style="1" customWidth="1"/>
    <col min="9737" max="9738" width="1" style="1" customWidth="1"/>
    <col min="9739" max="9783" width="0" style="1" hidden="1" customWidth="1"/>
    <col min="9784" max="9785" width="1" style="1" customWidth="1"/>
    <col min="9786" max="9786" width="17.85546875" style="1" customWidth="1"/>
    <col min="9787" max="9788" width="1" style="1" customWidth="1"/>
    <col min="9789" max="9798" width="0" style="1" hidden="1" customWidth="1"/>
    <col min="9799" max="9800" width="1" style="1" customWidth="1"/>
    <col min="9801" max="9801" width="17.85546875" style="1" customWidth="1"/>
    <col min="9802" max="9805" width="1" style="1" customWidth="1"/>
    <col min="9806" max="9806" width="17.85546875" style="1" customWidth="1"/>
    <col min="9807" max="9808" width="1" style="1" customWidth="1"/>
    <col min="9809" max="9827" width="0" style="1" hidden="1" customWidth="1"/>
    <col min="9828" max="9828" width="1" style="1" customWidth="1"/>
    <col min="9829" max="9853" width="0" style="1" hidden="1" customWidth="1"/>
    <col min="9854" max="9855" width="1" style="1" customWidth="1"/>
    <col min="9856" max="9856" width="17.85546875" style="1" customWidth="1"/>
    <col min="9857" max="9858" width="1" style="1" customWidth="1"/>
    <col min="9859" max="9868" width="0" style="1" hidden="1" customWidth="1"/>
    <col min="9869" max="9870" width="1" style="1" customWidth="1"/>
    <col min="9871" max="9871" width="17.85546875" style="1" customWidth="1"/>
    <col min="9872" max="9873" width="1" style="1" customWidth="1"/>
    <col min="9874" max="9874" width="1.5703125" style="1" customWidth="1"/>
    <col min="9875" max="9875" width="0.7109375" style="1" customWidth="1"/>
    <col min="9876" max="9876" width="1.85546875" style="1" customWidth="1"/>
    <col min="9877" max="9877" width="10.7109375" style="1" customWidth="1"/>
    <col min="9878" max="9878" width="0" style="1" hidden="1" customWidth="1"/>
    <col min="9879" max="9984" width="10" style="1"/>
    <col min="9985" max="9985" width="1.5703125" style="1" customWidth="1"/>
    <col min="9986" max="9986" width="1.42578125" style="1" customWidth="1"/>
    <col min="9987" max="9987" width="57.5703125" style="1" customWidth="1"/>
    <col min="9988" max="9988" width="2.7109375" style="1" customWidth="1"/>
    <col min="9989" max="9989" width="0" style="1" hidden="1" customWidth="1"/>
    <col min="9990" max="9991" width="1" style="1" customWidth="1"/>
    <col min="9992" max="9992" width="19.7109375" style="1" customWidth="1"/>
    <col min="9993" max="9994" width="1" style="1" customWidth="1"/>
    <col min="9995" max="10039" width="0" style="1" hidden="1" customWidth="1"/>
    <col min="10040" max="10041" width="1" style="1" customWidth="1"/>
    <col min="10042" max="10042" width="17.85546875" style="1" customWidth="1"/>
    <col min="10043" max="10044" width="1" style="1" customWidth="1"/>
    <col min="10045" max="10054" width="0" style="1" hidden="1" customWidth="1"/>
    <col min="10055" max="10056" width="1" style="1" customWidth="1"/>
    <col min="10057" max="10057" width="17.85546875" style="1" customWidth="1"/>
    <col min="10058" max="10061" width="1" style="1" customWidth="1"/>
    <col min="10062" max="10062" width="17.85546875" style="1" customWidth="1"/>
    <col min="10063" max="10064" width="1" style="1" customWidth="1"/>
    <col min="10065" max="10083" width="0" style="1" hidden="1" customWidth="1"/>
    <col min="10084" max="10084" width="1" style="1" customWidth="1"/>
    <col min="10085" max="10109" width="0" style="1" hidden="1" customWidth="1"/>
    <col min="10110" max="10111" width="1" style="1" customWidth="1"/>
    <col min="10112" max="10112" width="17.85546875" style="1" customWidth="1"/>
    <col min="10113" max="10114" width="1" style="1" customWidth="1"/>
    <col min="10115" max="10124" width="0" style="1" hidden="1" customWidth="1"/>
    <col min="10125" max="10126" width="1" style="1" customWidth="1"/>
    <col min="10127" max="10127" width="17.85546875" style="1" customWidth="1"/>
    <col min="10128" max="10129" width="1" style="1" customWidth="1"/>
    <col min="10130" max="10130" width="1.5703125" style="1" customWidth="1"/>
    <col min="10131" max="10131" width="0.7109375" style="1" customWidth="1"/>
    <col min="10132" max="10132" width="1.85546875" style="1" customWidth="1"/>
    <col min="10133" max="10133" width="10.7109375" style="1" customWidth="1"/>
    <col min="10134" max="10134" width="0" style="1" hidden="1" customWidth="1"/>
    <col min="10135" max="10240" width="10" style="1"/>
    <col min="10241" max="10241" width="1.5703125" style="1" customWidth="1"/>
    <col min="10242" max="10242" width="1.42578125" style="1" customWidth="1"/>
    <col min="10243" max="10243" width="57.5703125" style="1" customWidth="1"/>
    <col min="10244" max="10244" width="2.7109375" style="1" customWidth="1"/>
    <col min="10245" max="10245" width="0" style="1" hidden="1" customWidth="1"/>
    <col min="10246" max="10247" width="1" style="1" customWidth="1"/>
    <col min="10248" max="10248" width="19.7109375" style="1" customWidth="1"/>
    <col min="10249" max="10250" width="1" style="1" customWidth="1"/>
    <col min="10251" max="10295" width="0" style="1" hidden="1" customWidth="1"/>
    <col min="10296" max="10297" width="1" style="1" customWidth="1"/>
    <col min="10298" max="10298" width="17.85546875" style="1" customWidth="1"/>
    <col min="10299" max="10300" width="1" style="1" customWidth="1"/>
    <col min="10301" max="10310" width="0" style="1" hidden="1" customWidth="1"/>
    <col min="10311" max="10312" width="1" style="1" customWidth="1"/>
    <col min="10313" max="10313" width="17.85546875" style="1" customWidth="1"/>
    <col min="10314" max="10317" width="1" style="1" customWidth="1"/>
    <col min="10318" max="10318" width="17.85546875" style="1" customWidth="1"/>
    <col min="10319" max="10320" width="1" style="1" customWidth="1"/>
    <col min="10321" max="10339" width="0" style="1" hidden="1" customWidth="1"/>
    <col min="10340" max="10340" width="1" style="1" customWidth="1"/>
    <col min="10341" max="10365" width="0" style="1" hidden="1" customWidth="1"/>
    <col min="10366" max="10367" width="1" style="1" customWidth="1"/>
    <col min="10368" max="10368" width="17.85546875" style="1" customWidth="1"/>
    <col min="10369" max="10370" width="1" style="1" customWidth="1"/>
    <col min="10371" max="10380" width="0" style="1" hidden="1" customWidth="1"/>
    <col min="10381" max="10382" width="1" style="1" customWidth="1"/>
    <col min="10383" max="10383" width="17.85546875" style="1" customWidth="1"/>
    <col min="10384" max="10385" width="1" style="1" customWidth="1"/>
    <col min="10386" max="10386" width="1.5703125" style="1" customWidth="1"/>
    <col min="10387" max="10387" width="0.7109375" style="1" customWidth="1"/>
    <col min="10388" max="10388" width="1.85546875" style="1" customWidth="1"/>
    <col min="10389" max="10389" width="10.7109375" style="1" customWidth="1"/>
    <col min="10390" max="10390" width="0" style="1" hidden="1" customWidth="1"/>
    <col min="10391" max="10496" width="10" style="1"/>
    <col min="10497" max="10497" width="1.5703125" style="1" customWidth="1"/>
    <col min="10498" max="10498" width="1.42578125" style="1" customWidth="1"/>
    <col min="10499" max="10499" width="57.5703125" style="1" customWidth="1"/>
    <col min="10500" max="10500" width="2.7109375" style="1" customWidth="1"/>
    <col min="10501" max="10501" width="0" style="1" hidden="1" customWidth="1"/>
    <col min="10502" max="10503" width="1" style="1" customWidth="1"/>
    <col min="10504" max="10504" width="19.7109375" style="1" customWidth="1"/>
    <col min="10505" max="10506" width="1" style="1" customWidth="1"/>
    <col min="10507" max="10551" width="0" style="1" hidden="1" customWidth="1"/>
    <col min="10552" max="10553" width="1" style="1" customWidth="1"/>
    <col min="10554" max="10554" width="17.85546875" style="1" customWidth="1"/>
    <col min="10555" max="10556" width="1" style="1" customWidth="1"/>
    <col min="10557" max="10566" width="0" style="1" hidden="1" customWidth="1"/>
    <col min="10567" max="10568" width="1" style="1" customWidth="1"/>
    <col min="10569" max="10569" width="17.85546875" style="1" customWidth="1"/>
    <col min="10570" max="10573" width="1" style="1" customWidth="1"/>
    <col min="10574" max="10574" width="17.85546875" style="1" customWidth="1"/>
    <col min="10575" max="10576" width="1" style="1" customWidth="1"/>
    <col min="10577" max="10595" width="0" style="1" hidden="1" customWidth="1"/>
    <col min="10596" max="10596" width="1" style="1" customWidth="1"/>
    <col min="10597" max="10621" width="0" style="1" hidden="1" customWidth="1"/>
    <col min="10622" max="10623" width="1" style="1" customWidth="1"/>
    <col min="10624" max="10624" width="17.85546875" style="1" customWidth="1"/>
    <col min="10625" max="10626" width="1" style="1" customWidth="1"/>
    <col min="10627" max="10636" width="0" style="1" hidden="1" customWidth="1"/>
    <col min="10637" max="10638" width="1" style="1" customWidth="1"/>
    <col min="10639" max="10639" width="17.85546875" style="1" customWidth="1"/>
    <col min="10640" max="10641" width="1" style="1" customWidth="1"/>
    <col min="10642" max="10642" width="1.5703125" style="1" customWidth="1"/>
    <col min="10643" max="10643" width="0.7109375" style="1" customWidth="1"/>
    <col min="10644" max="10644" width="1.85546875" style="1" customWidth="1"/>
    <col min="10645" max="10645" width="10.7109375" style="1" customWidth="1"/>
    <col min="10646" max="10646" width="0" style="1" hidden="1" customWidth="1"/>
    <col min="10647" max="10752" width="10" style="1"/>
    <col min="10753" max="10753" width="1.5703125" style="1" customWidth="1"/>
    <col min="10754" max="10754" width="1.42578125" style="1" customWidth="1"/>
    <col min="10755" max="10755" width="57.5703125" style="1" customWidth="1"/>
    <col min="10756" max="10756" width="2.7109375" style="1" customWidth="1"/>
    <col min="10757" max="10757" width="0" style="1" hidden="1" customWidth="1"/>
    <col min="10758" max="10759" width="1" style="1" customWidth="1"/>
    <col min="10760" max="10760" width="19.7109375" style="1" customWidth="1"/>
    <col min="10761" max="10762" width="1" style="1" customWidth="1"/>
    <col min="10763" max="10807" width="0" style="1" hidden="1" customWidth="1"/>
    <col min="10808" max="10809" width="1" style="1" customWidth="1"/>
    <col min="10810" max="10810" width="17.85546875" style="1" customWidth="1"/>
    <col min="10811" max="10812" width="1" style="1" customWidth="1"/>
    <col min="10813" max="10822" width="0" style="1" hidden="1" customWidth="1"/>
    <col min="10823" max="10824" width="1" style="1" customWidth="1"/>
    <col min="10825" max="10825" width="17.85546875" style="1" customWidth="1"/>
    <col min="10826" max="10829" width="1" style="1" customWidth="1"/>
    <col min="10830" max="10830" width="17.85546875" style="1" customWidth="1"/>
    <col min="10831" max="10832" width="1" style="1" customWidth="1"/>
    <col min="10833" max="10851" width="0" style="1" hidden="1" customWidth="1"/>
    <col min="10852" max="10852" width="1" style="1" customWidth="1"/>
    <col min="10853" max="10877" width="0" style="1" hidden="1" customWidth="1"/>
    <col min="10878" max="10879" width="1" style="1" customWidth="1"/>
    <col min="10880" max="10880" width="17.85546875" style="1" customWidth="1"/>
    <col min="10881" max="10882" width="1" style="1" customWidth="1"/>
    <col min="10883" max="10892" width="0" style="1" hidden="1" customWidth="1"/>
    <col min="10893" max="10894" width="1" style="1" customWidth="1"/>
    <col min="10895" max="10895" width="17.85546875" style="1" customWidth="1"/>
    <col min="10896" max="10897" width="1" style="1" customWidth="1"/>
    <col min="10898" max="10898" width="1.5703125" style="1" customWidth="1"/>
    <col min="10899" max="10899" width="0.7109375" style="1" customWidth="1"/>
    <col min="10900" max="10900" width="1.85546875" style="1" customWidth="1"/>
    <col min="10901" max="10901" width="10.7109375" style="1" customWidth="1"/>
    <col min="10902" max="10902" width="0" style="1" hidden="1" customWidth="1"/>
    <col min="10903" max="11008" width="10" style="1"/>
    <col min="11009" max="11009" width="1.5703125" style="1" customWidth="1"/>
    <col min="11010" max="11010" width="1.42578125" style="1" customWidth="1"/>
    <col min="11011" max="11011" width="57.5703125" style="1" customWidth="1"/>
    <col min="11012" max="11012" width="2.7109375" style="1" customWidth="1"/>
    <col min="11013" max="11013" width="0" style="1" hidden="1" customWidth="1"/>
    <col min="11014" max="11015" width="1" style="1" customWidth="1"/>
    <col min="11016" max="11016" width="19.7109375" style="1" customWidth="1"/>
    <col min="11017" max="11018" width="1" style="1" customWidth="1"/>
    <col min="11019" max="11063" width="0" style="1" hidden="1" customWidth="1"/>
    <col min="11064" max="11065" width="1" style="1" customWidth="1"/>
    <col min="11066" max="11066" width="17.85546875" style="1" customWidth="1"/>
    <col min="11067" max="11068" width="1" style="1" customWidth="1"/>
    <col min="11069" max="11078" width="0" style="1" hidden="1" customWidth="1"/>
    <col min="11079" max="11080" width="1" style="1" customWidth="1"/>
    <col min="11081" max="11081" width="17.85546875" style="1" customWidth="1"/>
    <col min="11082" max="11085" width="1" style="1" customWidth="1"/>
    <col min="11086" max="11086" width="17.85546875" style="1" customWidth="1"/>
    <col min="11087" max="11088" width="1" style="1" customWidth="1"/>
    <col min="11089" max="11107" width="0" style="1" hidden="1" customWidth="1"/>
    <col min="11108" max="11108" width="1" style="1" customWidth="1"/>
    <col min="11109" max="11133" width="0" style="1" hidden="1" customWidth="1"/>
    <col min="11134" max="11135" width="1" style="1" customWidth="1"/>
    <col min="11136" max="11136" width="17.85546875" style="1" customWidth="1"/>
    <col min="11137" max="11138" width="1" style="1" customWidth="1"/>
    <col min="11139" max="11148" width="0" style="1" hidden="1" customWidth="1"/>
    <col min="11149" max="11150" width="1" style="1" customWidth="1"/>
    <col min="11151" max="11151" width="17.85546875" style="1" customWidth="1"/>
    <col min="11152" max="11153" width="1" style="1" customWidth="1"/>
    <col min="11154" max="11154" width="1.5703125" style="1" customWidth="1"/>
    <col min="11155" max="11155" width="0.7109375" style="1" customWidth="1"/>
    <col min="11156" max="11156" width="1.85546875" style="1" customWidth="1"/>
    <col min="11157" max="11157" width="10.7109375" style="1" customWidth="1"/>
    <col min="11158" max="11158" width="0" style="1" hidden="1" customWidth="1"/>
    <col min="11159" max="11264" width="10" style="1"/>
    <col min="11265" max="11265" width="1.5703125" style="1" customWidth="1"/>
    <col min="11266" max="11266" width="1.42578125" style="1" customWidth="1"/>
    <col min="11267" max="11267" width="57.5703125" style="1" customWidth="1"/>
    <col min="11268" max="11268" width="2.7109375" style="1" customWidth="1"/>
    <col min="11269" max="11269" width="0" style="1" hidden="1" customWidth="1"/>
    <col min="11270" max="11271" width="1" style="1" customWidth="1"/>
    <col min="11272" max="11272" width="19.7109375" style="1" customWidth="1"/>
    <col min="11273" max="11274" width="1" style="1" customWidth="1"/>
    <col min="11275" max="11319" width="0" style="1" hidden="1" customWidth="1"/>
    <col min="11320" max="11321" width="1" style="1" customWidth="1"/>
    <col min="11322" max="11322" width="17.85546875" style="1" customWidth="1"/>
    <col min="11323" max="11324" width="1" style="1" customWidth="1"/>
    <col min="11325" max="11334" width="0" style="1" hidden="1" customWidth="1"/>
    <col min="11335" max="11336" width="1" style="1" customWidth="1"/>
    <col min="11337" max="11337" width="17.85546875" style="1" customWidth="1"/>
    <col min="11338" max="11341" width="1" style="1" customWidth="1"/>
    <col min="11342" max="11342" width="17.85546875" style="1" customWidth="1"/>
    <col min="11343" max="11344" width="1" style="1" customWidth="1"/>
    <col min="11345" max="11363" width="0" style="1" hidden="1" customWidth="1"/>
    <col min="11364" max="11364" width="1" style="1" customWidth="1"/>
    <col min="11365" max="11389" width="0" style="1" hidden="1" customWidth="1"/>
    <col min="11390" max="11391" width="1" style="1" customWidth="1"/>
    <col min="11392" max="11392" width="17.85546875" style="1" customWidth="1"/>
    <col min="11393" max="11394" width="1" style="1" customWidth="1"/>
    <col min="11395" max="11404" width="0" style="1" hidden="1" customWidth="1"/>
    <col min="11405" max="11406" width="1" style="1" customWidth="1"/>
    <col min="11407" max="11407" width="17.85546875" style="1" customWidth="1"/>
    <col min="11408" max="11409" width="1" style="1" customWidth="1"/>
    <col min="11410" max="11410" width="1.5703125" style="1" customWidth="1"/>
    <col min="11411" max="11411" width="0.7109375" style="1" customWidth="1"/>
    <col min="11412" max="11412" width="1.85546875" style="1" customWidth="1"/>
    <col min="11413" max="11413" width="10.7109375" style="1" customWidth="1"/>
    <col min="11414" max="11414" width="0" style="1" hidden="1" customWidth="1"/>
    <col min="11415" max="11520" width="10" style="1"/>
    <col min="11521" max="11521" width="1.5703125" style="1" customWidth="1"/>
    <col min="11522" max="11522" width="1.42578125" style="1" customWidth="1"/>
    <col min="11523" max="11523" width="57.5703125" style="1" customWidth="1"/>
    <col min="11524" max="11524" width="2.7109375" style="1" customWidth="1"/>
    <col min="11525" max="11525" width="0" style="1" hidden="1" customWidth="1"/>
    <col min="11526" max="11527" width="1" style="1" customWidth="1"/>
    <col min="11528" max="11528" width="19.7109375" style="1" customWidth="1"/>
    <col min="11529" max="11530" width="1" style="1" customWidth="1"/>
    <col min="11531" max="11575" width="0" style="1" hidden="1" customWidth="1"/>
    <col min="11576" max="11577" width="1" style="1" customWidth="1"/>
    <col min="11578" max="11578" width="17.85546875" style="1" customWidth="1"/>
    <col min="11579" max="11580" width="1" style="1" customWidth="1"/>
    <col min="11581" max="11590" width="0" style="1" hidden="1" customWidth="1"/>
    <col min="11591" max="11592" width="1" style="1" customWidth="1"/>
    <col min="11593" max="11593" width="17.85546875" style="1" customWidth="1"/>
    <col min="11594" max="11597" width="1" style="1" customWidth="1"/>
    <col min="11598" max="11598" width="17.85546875" style="1" customWidth="1"/>
    <col min="11599" max="11600" width="1" style="1" customWidth="1"/>
    <col min="11601" max="11619" width="0" style="1" hidden="1" customWidth="1"/>
    <col min="11620" max="11620" width="1" style="1" customWidth="1"/>
    <col min="11621" max="11645" width="0" style="1" hidden="1" customWidth="1"/>
    <col min="11646" max="11647" width="1" style="1" customWidth="1"/>
    <col min="11648" max="11648" width="17.85546875" style="1" customWidth="1"/>
    <col min="11649" max="11650" width="1" style="1" customWidth="1"/>
    <col min="11651" max="11660" width="0" style="1" hidden="1" customWidth="1"/>
    <col min="11661" max="11662" width="1" style="1" customWidth="1"/>
    <col min="11663" max="11663" width="17.85546875" style="1" customWidth="1"/>
    <col min="11664" max="11665" width="1" style="1" customWidth="1"/>
    <col min="11666" max="11666" width="1.5703125" style="1" customWidth="1"/>
    <col min="11667" max="11667" width="0.7109375" style="1" customWidth="1"/>
    <col min="11668" max="11668" width="1.85546875" style="1" customWidth="1"/>
    <col min="11669" max="11669" width="10.7109375" style="1" customWidth="1"/>
    <col min="11670" max="11670" width="0" style="1" hidden="1" customWidth="1"/>
    <col min="11671" max="11776" width="10" style="1"/>
    <col min="11777" max="11777" width="1.5703125" style="1" customWidth="1"/>
    <col min="11778" max="11778" width="1.42578125" style="1" customWidth="1"/>
    <col min="11779" max="11779" width="57.5703125" style="1" customWidth="1"/>
    <col min="11780" max="11780" width="2.7109375" style="1" customWidth="1"/>
    <col min="11781" max="11781" width="0" style="1" hidden="1" customWidth="1"/>
    <col min="11782" max="11783" width="1" style="1" customWidth="1"/>
    <col min="11784" max="11784" width="19.7109375" style="1" customWidth="1"/>
    <col min="11785" max="11786" width="1" style="1" customWidth="1"/>
    <col min="11787" max="11831" width="0" style="1" hidden="1" customWidth="1"/>
    <col min="11832" max="11833" width="1" style="1" customWidth="1"/>
    <col min="11834" max="11834" width="17.85546875" style="1" customWidth="1"/>
    <col min="11835" max="11836" width="1" style="1" customWidth="1"/>
    <col min="11837" max="11846" width="0" style="1" hidden="1" customWidth="1"/>
    <col min="11847" max="11848" width="1" style="1" customWidth="1"/>
    <col min="11849" max="11849" width="17.85546875" style="1" customWidth="1"/>
    <col min="11850" max="11853" width="1" style="1" customWidth="1"/>
    <col min="11854" max="11854" width="17.85546875" style="1" customWidth="1"/>
    <col min="11855" max="11856" width="1" style="1" customWidth="1"/>
    <col min="11857" max="11875" width="0" style="1" hidden="1" customWidth="1"/>
    <col min="11876" max="11876" width="1" style="1" customWidth="1"/>
    <col min="11877" max="11901" width="0" style="1" hidden="1" customWidth="1"/>
    <col min="11902" max="11903" width="1" style="1" customWidth="1"/>
    <col min="11904" max="11904" width="17.85546875" style="1" customWidth="1"/>
    <col min="11905" max="11906" width="1" style="1" customWidth="1"/>
    <col min="11907" max="11916" width="0" style="1" hidden="1" customWidth="1"/>
    <col min="11917" max="11918" width="1" style="1" customWidth="1"/>
    <col min="11919" max="11919" width="17.85546875" style="1" customWidth="1"/>
    <col min="11920" max="11921" width="1" style="1" customWidth="1"/>
    <col min="11922" max="11922" width="1.5703125" style="1" customWidth="1"/>
    <col min="11923" max="11923" width="0.7109375" style="1" customWidth="1"/>
    <col min="11924" max="11924" width="1.85546875" style="1" customWidth="1"/>
    <col min="11925" max="11925" width="10.7109375" style="1" customWidth="1"/>
    <col min="11926" max="11926" width="0" style="1" hidden="1" customWidth="1"/>
    <col min="11927" max="12032" width="10" style="1"/>
    <col min="12033" max="12033" width="1.5703125" style="1" customWidth="1"/>
    <col min="12034" max="12034" width="1.42578125" style="1" customWidth="1"/>
    <col min="12035" max="12035" width="57.5703125" style="1" customWidth="1"/>
    <col min="12036" max="12036" width="2.7109375" style="1" customWidth="1"/>
    <col min="12037" max="12037" width="0" style="1" hidden="1" customWidth="1"/>
    <col min="12038" max="12039" width="1" style="1" customWidth="1"/>
    <col min="12040" max="12040" width="19.7109375" style="1" customWidth="1"/>
    <col min="12041" max="12042" width="1" style="1" customWidth="1"/>
    <col min="12043" max="12087" width="0" style="1" hidden="1" customWidth="1"/>
    <col min="12088" max="12089" width="1" style="1" customWidth="1"/>
    <col min="12090" max="12090" width="17.85546875" style="1" customWidth="1"/>
    <col min="12091" max="12092" width="1" style="1" customWidth="1"/>
    <col min="12093" max="12102" width="0" style="1" hidden="1" customWidth="1"/>
    <col min="12103" max="12104" width="1" style="1" customWidth="1"/>
    <col min="12105" max="12105" width="17.85546875" style="1" customWidth="1"/>
    <col min="12106" max="12109" width="1" style="1" customWidth="1"/>
    <col min="12110" max="12110" width="17.85546875" style="1" customWidth="1"/>
    <col min="12111" max="12112" width="1" style="1" customWidth="1"/>
    <col min="12113" max="12131" width="0" style="1" hidden="1" customWidth="1"/>
    <col min="12132" max="12132" width="1" style="1" customWidth="1"/>
    <col min="12133" max="12157" width="0" style="1" hidden="1" customWidth="1"/>
    <col min="12158" max="12159" width="1" style="1" customWidth="1"/>
    <col min="12160" max="12160" width="17.85546875" style="1" customWidth="1"/>
    <col min="12161" max="12162" width="1" style="1" customWidth="1"/>
    <col min="12163" max="12172" width="0" style="1" hidden="1" customWidth="1"/>
    <col min="12173" max="12174" width="1" style="1" customWidth="1"/>
    <col min="12175" max="12175" width="17.85546875" style="1" customWidth="1"/>
    <col min="12176" max="12177" width="1" style="1" customWidth="1"/>
    <col min="12178" max="12178" width="1.5703125" style="1" customWidth="1"/>
    <col min="12179" max="12179" width="0.7109375" style="1" customWidth="1"/>
    <col min="12180" max="12180" width="1.85546875" style="1" customWidth="1"/>
    <col min="12181" max="12181" width="10.7109375" style="1" customWidth="1"/>
    <col min="12182" max="12182" width="0" style="1" hidden="1" customWidth="1"/>
    <col min="12183" max="12288" width="10" style="1"/>
    <col min="12289" max="12289" width="1.5703125" style="1" customWidth="1"/>
    <col min="12290" max="12290" width="1.42578125" style="1" customWidth="1"/>
    <col min="12291" max="12291" width="57.5703125" style="1" customWidth="1"/>
    <col min="12292" max="12292" width="2.7109375" style="1" customWidth="1"/>
    <col min="12293" max="12293" width="0" style="1" hidden="1" customWidth="1"/>
    <col min="12294" max="12295" width="1" style="1" customWidth="1"/>
    <col min="12296" max="12296" width="19.7109375" style="1" customWidth="1"/>
    <col min="12297" max="12298" width="1" style="1" customWidth="1"/>
    <col min="12299" max="12343" width="0" style="1" hidden="1" customWidth="1"/>
    <col min="12344" max="12345" width="1" style="1" customWidth="1"/>
    <col min="12346" max="12346" width="17.85546875" style="1" customWidth="1"/>
    <col min="12347" max="12348" width="1" style="1" customWidth="1"/>
    <col min="12349" max="12358" width="0" style="1" hidden="1" customWidth="1"/>
    <col min="12359" max="12360" width="1" style="1" customWidth="1"/>
    <col min="12361" max="12361" width="17.85546875" style="1" customWidth="1"/>
    <col min="12362" max="12365" width="1" style="1" customWidth="1"/>
    <col min="12366" max="12366" width="17.85546875" style="1" customWidth="1"/>
    <col min="12367" max="12368" width="1" style="1" customWidth="1"/>
    <col min="12369" max="12387" width="0" style="1" hidden="1" customWidth="1"/>
    <col min="12388" max="12388" width="1" style="1" customWidth="1"/>
    <col min="12389" max="12413" width="0" style="1" hidden="1" customWidth="1"/>
    <col min="12414" max="12415" width="1" style="1" customWidth="1"/>
    <col min="12416" max="12416" width="17.85546875" style="1" customWidth="1"/>
    <col min="12417" max="12418" width="1" style="1" customWidth="1"/>
    <col min="12419" max="12428" width="0" style="1" hidden="1" customWidth="1"/>
    <col min="12429" max="12430" width="1" style="1" customWidth="1"/>
    <col min="12431" max="12431" width="17.85546875" style="1" customWidth="1"/>
    <col min="12432" max="12433" width="1" style="1" customWidth="1"/>
    <col min="12434" max="12434" width="1.5703125" style="1" customWidth="1"/>
    <col min="12435" max="12435" width="0.7109375" style="1" customWidth="1"/>
    <col min="12436" max="12436" width="1.85546875" style="1" customWidth="1"/>
    <col min="12437" max="12437" width="10.7109375" style="1" customWidth="1"/>
    <col min="12438" max="12438" width="0" style="1" hidden="1" customWidth="1"/>
    <col min="12439" max="12544" width="10" style="1"/>
    <col min="12545" max="12545" width="1.5703125" style="1" customWidth="1"/>
    <col min="12546" max="12546" width="1.42578125" style="1" customWidth="1"/>
    <col min="12547" max="12547" width="57.5703125" style="1" customWidth="1"/>
    <col min="12548" max="12548" width="2.7109375" style="1" customWidth="1"/>
    <col min="12549" max="12549" width="0" style="1" hidden="1" customWidth="1"/>
    <col min="12550" max="12551" width="1" style="1" customWidth="1"/>
    <col min="12552" max="12552" width="19.7109375" style="1" customWidth="1"/>
    <col min="12553" max="12554" width="1" style="1" customWidth="1"/>
    <col min="12555" max="12599" width="0" style="1" hidden="1" customWidth="1"/>
    <col min="12600" max="12601" width="1" style="1" customWidth="1"/>
    <col min="12602" max="12602" width="17.85546875" style="1" customWidth="1"/>
    <col min="12603" max="12604" width="1" style="1" customWidth="1"/>
    <col min="12605" max="12614" width="0" style="1" hidden="1" customWidth="1"/>
    <col min="12615" max="12616" width="1" style="1" customWidth="1"/>
    <col min="12617" max="12617" width="17.85546875" style="1" customWidth="1"/>
    <col min="12618" max="12621" width="1" style="1" customWidth="1"/>
    <col min="12622" max="12622" width="17.85546875" style="1" customWidth="1"/>
    <col min="12623" max="12624" width="1" style="1" customWidth="1"/>
    <col min="12625" max="12643" width="0" style="1" hidden="1" customWidth="1"/>
    <col min="12644" max="12644" width="1" style="1" customWidth="1"/>
    <col min="12645" max="12669" width="0" style="1" hidden="1" customWidth="1"/>
    <col min="12670" max="12671" width="1" style="1" customWidth="1"/>
    <col min="12672" max="12672" width="17.85546875" style="1" customWidth="1"/>
    <col min="12673" max="12674" width="1" style="1" customWidth="1"/>
    <col min="12675" max="12684" width="0" style="1" hidden="1" customWidth="1"/>
    <col min="12685" max="12686" width="1" style="1" customWidth="1"/>
    <col min="12687" max="12687" width="17.85546875" style="1" customWidth="1"/>
    <col min="12688" max="12689" width="1" style="1" customWidth="1"/>
    <col min="12690" max="12690" width="1.5703125" style="1" customWidth="1"/>
    <col min="12691" max="12691" width="0.7109375" style="1" customWidth="1"/>
    <col min="12692" max="12692" width="1.85546875" style="1" customWidth="1"/>
    <col min="12693" max="12693" width="10.7109375" style="1" customWidth="1"/>
    <col min="12694" max="12694" width="0" style="1" hidden="1" customWidth="1"/>
    <col min="12695" max="12800" width="10" style="1"/>
    <col min="12801" max="12801" width="1.5703125" style="1" customWidth="1"/>
    <col min="12802" max="12802" width="1.42578125" style="1" customWidth="1"/>
    <col min="12803" max="12803" width="57.5703125" style="1" customWidth="1"/>
    <col min="12804" max="12804" width="2.7109375" style="1" customWidth="1"/>
    <col min="12805" max="12805" width="0" style="1" hidden="1" customWidth="1"/>
    <col min="12806" max="12807" width="1" style="1" customWidth="1"/>
    <col min="12808" max="12808" width="19.7109375" style="1" customWidth="1"/>
    <col min="12809" max="12810" width="1" style="1" customWidth="1"/>
    <col min="12811" max="12855" width="0" style="1" hidden="1" customWidth="1"/>
    <col min="12856" max="12857" width="1" style="1" customWidth="1"/>
    <col min="12858" max="12858" width="17.85546875" style="1" customWidth="1"/>
    <col min="12859" max="12860" width="1" style="1" customWidth="1"/>
    <col min="12861" max="12870" width="0" style="1" hidden="1" customWidth="1"/>
    <col min="12871" max="12872" width="1" style="1" customWidth="1"/>
    <col min="12873" max="12873" width="17.85546875" style="1" customWidth="1"/>
    <col min="12874" max="12877" width="1" style="1" customWidth="1"/>
    <col min="12878" max="12878" width="17.85546875" style="1" customWidth="1"/>
    <col min="12879" max="12880" width="1" style="1" customWidth="1"/>
    <col min="12881" max="12899" width="0" style="1" hidden="1" customWidth="1"/>
    <col min="12900" max="12900" width="1" style="1" customWidth="1"/>
    <col min="12901" max="12925" width="0" style="1" hidden="1" customWidth="1"/>
    <col min="12926" max="12927" width="1" style="1" customWidth="1"/>
    <col min="12928" max="12928" width="17.85546875" style="1" customWidth="1"/>
    <col min="12929" max="12930" width="1" style="1" customWidth="1"/>
    <col min="12931" max="12940" width="0" style="1" hidden="1" customWidth="1"/>
    <col min="12941" max="12942" width="1" style="1" customWidth="1"/>
    <col min="12943" max="12943" width="17.85546875" style="1" customWidth="1"/>
    <col min="12944" max="12945" width="1" style="1" customWidth="1"/>
    <col min="12946" max="12946" width="1.5703125" style="1" customWidth="1"/>
    <col min="12947" max="12947" width="0.7109375" style="1" customWidth="1"/>
    <col min="12948" max="12948" width="1.85546875" style="1" customWidth="1"/>
    <col min="12949" max="12949" width="10.7109375" style="1" customWidth="1"/>
    <col min="12950" max="12950" width="0" style="1" hidden="1" customWidth="1"/>
    <col min="12951" max="13056" width="10" style="1"/>
    <col min="13057" max="13057" width="1.5703125" style="1" customWidth="1"/>
    <col min="13058" max="13058" width="1.42578125" style="1" customWidth="1"/>
    <col min="13059" max="13059" width="57.5703125" style="1" customWidth="1"/>
    <col min="13060" max="13060" width="2.7109375" style="1" customWidth="1"/>
    <col min="13061" max="13061" width="0" style="1" hidden="1" customWidth="1"/>
    <col min="13062" max="13063" width="1" style="1" customWidth="1"/>
    <col min="13064" max="13064" width="19.7109375" style="1" customWidth="1"/>
    <col min="13065" max="13066" width="1" style="1" customWidth="1"/>
    <col min="13067" max="13111" width="0" style="1" hidden="1" customWidth="1"/>
    <col min="13112" max="13113" width="1" style="1" customWidth="1"/>
    <col min="13114" max="13114" width="17.85546875" style="1" customWidth="1"/>
    <col min="13115" max="13116" width="1" style="1" customWidth="1"/>
    <col min="13117" max="13126" width="0" style="1" hidden="1" customWidth="1"/>
    <col min="13127" max="13128" width="1" style="1" customWidth="1"/>
    <col min="13129" max="13129" width="17.85546875" style="1" customWidth="1"/>
    <col min="13130" max="13133" width="1" style="1" customWidth="1"/>
    <col min="13134" max="13134" width="17.85546875" style="1" customWidth="1"/>
    <col min="13135" max="13136" width="1" style="1" customWidth="1"/>
    <col min="13137" max="13155" width="0" style="1" hidden="1" customWidth="1"/>
    <col min="13156" max="13156" width="1" style="1" customWidth="1"/>
    <col min="13157" max="13181" width="0" style="1" hidden="1" customWidth="1"/>
    <col min="13182" max="13183" width="1" style="1" customWidth="1"/>
    <col min="13184" max="13184" width="17.85546875" style="1" customWidth="1"/>
    <col min="13185" max="13186" width="1" style="1" customWidth="1"/>
    <col min="13187" max="13196" width="0" style="1" hidden="1" customWidth="1"/>
    <col min="13197" max="13198" width="1" style="1" customWidth="1"/>
    <col min="13199" max="13199" width="17.85546875" style="1" customWidth="1"/>
    <col min="13200" max="13201" width="1" style="1" customWidth="1"/>
    <col min="13202" max="13202" width="1.5703125" style="1" customWidth="1"/>
    <col min="13203" max="13203" width="0.7109375" style="1" customWidth="1"/>
    <col min="13204" max="13204" width="1.85546875" style="1" customWidth="1"/>
    <col min="13205" max="13205" width="10.7109375" style="1" customWidth="1"/>
    <col min="13206" max="13206" width="0" style="1" hidden="1" customWidth="1"/>
    <col min="13207" max="13312" width="10" style="1"/>
    <col min="13313" max="13313" width="1.5703125" style="1" customWidth="1"/>
    <col min="13314" max="13314" width="1.42578125" style="1" customWidth="1"/>
    <col min="13315" max="13315" width="57.5703125" style="1" customWidth="1"/>
    <col min="13316" max="13316" width="2.7109375" style="1" customWidth="1"/>
    <col min="13317" max="13317" width="0" style="1" hidden="1" customWidth="1"/>
    <col min="13318" max="13319" width="1" style="1" customWidth="1"/>
    <col min="13320" max="13320" width="19.7109375" style="1" customWidth="1"/>
    <col min="13321" max="13322" width="1" style="1" customWidth="1"/>
    <col min="13323" max="13367" width="0" style="1" hidden="1" customWidth="1"/>
    <col min="13368" max="13369" width="1" style="1" customWidth="1"/>
    <col min="13370" max="13370" width="17.85546875" style="1" customWidth="1"/>
    <col min="13371" max="13372" width="1" style="1" customWidth="1"/>
    <col min="13373" max="13382" width="0" style="1" hidden="1" customWidth="1"/>
    <col min="13383" max="13384" width="1" style="1" customWidth="1"/>
    <col min="13385" max="13385" width="17.85546875" style="1" customWidth="1"/>
    <col min="13386" max="13389" width="1" style="1" customWidth="1"/>
    <col min="13390" max="13390" width="17.85546875" style="1" customWidth="1"/>
    <col min="13391" max="13392" width="1" style="1" customWidth="1"/>
    <col min="13393" max="13411" width="0" style="1" hidden="1" customWidth="1"/>
    <col min="13412" max="13412" width="1" style="1" customWidth="1"/>
    <col min="13413" max="13437" width="0" style="1" hidden="1" customWidth="1"/>
    <col min="13438" max="13439" width="1" style="1" customWidth="1"/>
    <col min="13440" max="13440" width="17.85546875" style="1" customWidth="1"/>
    <col min="13441" max="13442" width="1" style="1" customWidth="1"/>
    <col min="13443" max="13452" width="0" style="1" hidden="1" customWidth="1"/>
    <col min="13453" max="13454" width="1" style="1" customWidth="1"/>
    <col min="13455" max="13455" width="17.85546875" style="1" customWidth="1"/>
    <col min="13456" max="13457" width="1" style="1" customWidth="1"/>
    <col min="13458" max="13458" width="1.5703125" style="1" customWidth="1"/>
    <col min="13459" max="13459" width="0.7109375" style="1" customWidth="1"/>
    <col min="13460" max="13460" width="1.85546875" style="1" customWidth="1"/>
    <col min="13461" max="13461" width="10.7109375" style="1" customWidth="1"/>
    <col min="13462" max="13462" width="0" style="1" hidden="1" customWidth="1"/>
    <col min="13463" max="13568" width="10" style="1"/>
    <col min="13569" max="13569" width="1.5703125" style="1" customWidth="1"/>
    <col min="13570" max="13570" width="1.42578125" style="1" customWidth="1"/>
    <col min="13571" max="13571" width="57.5703125" style="1" customWidth="1"/>
    <col min="13572" max="13572" width="2.7109375" style="1" customWidth="1"/>
    <col min="13573" max="13573" width="0" style="1" hidden="1" customWidth="1"/>
    <col min="13574" max="13575" width="1" style="1" customWidth="1"/>
    <col min="13576" max="13576" width="19.7109375" style="1" customWidth="1"/>
    <col min="13577" max="13578" width="1" style="1" customWidth="1"/>
    <col min="13579" max="13623" width="0" style="1" hidden="1" customWidth="1"/>
    <col min="13624" max="13625" width="1" style="1" customWidth="1"/>
    <col min="13626" max="13626" width="17.85546875" style="1" customWidth="1"/>
    <col min="13627" max="13628" width="1" style="1" customWidth="1"/>
    <col min="13629" max="13638" width="0" style="1" hidden="1" customWidth="1"/>
    <col min="13639" max="13640" width="1" style="1" customWidth="1"/>
    <col min="13641" max="13641" width="17.85546875" style="1" customWidth="1"/>
    <col min="13642" max="13645" width="1" style="1" customWidth="1"/>
    <col min="13646" max="13646" width="17.85546875" style="1" customWidth="1"/>
    <col min="13647" max="13648" width="1" style="1" customWidth="1"/>
    <col min="13649" max="13667" width="0" style="1" hidden="1" customWidth="1"/>
    <col min="13668" max="13668" width="1" style="1" customWidth="1"/>
    <col min="13669" max="13693" width="0" style="1" hidden="1" customWidth="1"/>
    <col min="13694" max="13695" width="1" style="1" customWidth="1"/>
    <col min="13696" max="13696" width="17.85546875" style="1" customWidth="1"/>
    <col min="13697" max="13698" width="1" style="1" customWidth="1"/>
    <col min="13699" max="13708" width="0" style="1" hidden="1" customWidth="1"/>
    <col min="13709" max="13710" width="1" style="1" customWidth="1"/>
    <col min="13711" max="13711" width="17.85546875" style="1" customWidth="1"/>
    <col min="13712" max="13713" width="1" style="1" customWidth="1"/>
    <col min="13714" max="13714" width="1.5703125" style="1" customWidth="1"/>
    <col min="13715" max="13715" width="0.7109375" style="1" customWidth="1"/>
    <col min="13716" max="13716" width="1.85546875" style="1" customWidth="1"/>
    <col min="13717" max="13717" width="10.7109375" style="1" customWidth="1"/>
    <col min="13718" max="13718" width="0" style="1" hidden="1" customWidth="1"/>
    <col min="13719" max="13824" width="10" style="1"/>
    <col min="13825" max="13825" width="1.5703125" style="1" customWidth="1"/>
    <col min="13826" max="13826" width="1.42578125" style="1" customWidth="1"/>
    <col min="13827" max="13827" width="57.5703125" style="1" customWidth="1"/>
    <col min="13828" max="13828" width="2.7109375" style="1" customWidth="1"/>
    <col min="13829" max="13829" width="0" style="1" hidden="1" customWidth="1"/>
    <col min="13830" max="13831" width="1" style="1" customWidth="1"/>
    <col min="13832" max="13832" width="19.7109375" style="1" customWidth="1"/>
    <col min="13833" max="13834" width="1" style="1" customWidth="1"/>
    <col min="13835" max="13879" width="0" style="1" hidden="1" customWidth="1"/>
    <col min="13880" max="13881" width="1" style="1" customWidth="1"/>
    <col min="13882" max="13882" width="17.85546875" style="1" customWidth="1"/>
    <col min="13883" max="13884" width="1" style="1" customWidth="1"/>
    <col min="13885" max="13894" width="0" style="1" hidden="1" customWidth="1"/>
    <col min="13895" max="13896" width="1" style="1" customWidth="1"/>
    <col min="13897" max="13897" width="17.85546875" style="1" customWidth="1"/>
    <col min="13898" max="13901" width="1" style="1" customWidth="1"/>
    <col min="13902" max="13902" width="17.85546875" style="1" customWidth="1"/>
    <col min="13903" max="13904" width="1" style="1" customWidth="1"/>
    <col min="13905" max="13923" width="0" style="1" hidden="1" customWidth="1"/>
    <col min="13924" max="13924" width="1" style="1" customWidth="1"/>
    <col min="13925" max="13949" width="0" style="1" hidden="1" customWidth="1"/>
    <col min="13950" max="13951" width="1" style="1" customWidth="1"/>
    <col min="13952" max="13952" width="17.85546875" style="1" customWidth="1"/>
    <col min="13953" max="13954" width="1" style="1" customWidth="1"/>
    <col min="13955" max="13964" width="0" style="1" hidden="1" customWidth="1"/>
    <col min="13965" max="13966" width="1" style="1" customWidth="1"/>
    <col min="13967" max="13967" width="17.85546875" style="1" customWidth="1"/>
    <col min="13968" max="13969" width="1" style="1" customWidth="1"/>
    <col min="13970" max="13970" width="1.5703125" style="1" customWidth="1"/>
    <col min="13971" max="13971" width="0.7109375" style="1" customWidth="1"/>
    <col min="13972" max="13972" width="1.85546875" style="1" customWidth="1"/>
    <col min="13973" max="13973" width="10.7109375" style="1" customWidth="1"/>
    <col min="13974" max="13974" width="0" style="1" hidden="1" customWidth="1"/>
    <col min="13975" max="14080" width="10" style="1"/>
    <col min="14081" max="14081" width="1.5703125" style="1" customWidth="1"/>
    <col min="14082" max="14082" width="1.42578125" style="1" customWidth="1"/>
    <col min="14083" max="14083" width="57.5703125" style="1" customWidth="1"/>
    <col min="14084" max="14084" width="2.7109375" style="1" customWidth="1"/>
    <col min="14085" max="14085" width="0" style="1" hidden="1" customWidth="1"/>
    <col min="14086" max="14087" width="1" style="1" customWidth="1"/>
    <col min="14088" max="14088" width="19.7109375" style="1" customWidth="1"/>
    <col min="14089" max="14090" width="1" style="1" customWidth="1"/>
    <col min="14091" max="14135" width="0" style="1" hidden="1" customWidth="1"/>
    <col min="14136" max="14137" width="1" style="1" customWidth="1"/>
    <col min="14138" max="14138" width="17.85546875" style="1" customWidth="1"/>
    <col min="14139" max="14140" width="1" style="1" customWidth="1"/>
    <col min="14141" max="14150" width="0" style="1" hidden="1" customWidth="1"/>
    <col min="14151" max="14152" width="1" style="1" customWidth="1"/>
    <col min="14153" max="14153" width="17.85546875" style="1" customWidth="1"/>
    <col min="14154" max="14157" width="1" style="1" customWidth="1"/>
    <col min="14158" max="14158" width="17.85546875" style="1" customWidth="1"/>
    <col min="14159" max="14160" width="1" style="1" customWidth="1"/>
    <col min="14161" max="14179" width="0" style="1" hidden="1" customWidth="1"/>
    <col min="14180" max="14180" width="1" style="1" customWidth="1"/>
    <col min="14181" max="14205" width="0" style="1" hidden="1" customWidth="1"/>
    <col min="14206" max="14207" width="1" style="1" customWidth="1"/>
    <col min="14208" max="14208" width="17.85546875" style="1" customWidth="1"/>
    <col min="14209" max="14210" width="1" style="1" customWidth="1"/>
    <col min="14211" max="14220" width="0" style="1" hidden="1" customWidth="1"/>
    <col min="14221" max="14222" width="1" style="1" customWidth="1"/>
    <col min="14223" max="14223" width="17.85546875" style="1" customWidth="1"/>
    <col min="14224" max="14225" width="1" style="1" customWidth="1"/>
    <col min="14226" max="14226" width="1.5703125" style="1" customWidth="1"/>
    <col min="14227" max="14227" width="0.7109375" style="1" customWidth="1"/>
    <col min="14228" max="14228" width="1.85546875" style="1" customWidth="1"/>
    <col min="14229" max="14229" width="10.7109375" style="1" customWidth="1"/>
    <col min="14230" max="14230" width="0" style="1" hidden="1" customWidth="1"/>
    <col min="14231" max="14336" width="10" style="1"/>
    <col min="14337" max="14337" width="1.5703125" style="1" customWidth="1"/>
    <col min="14338" max="14338" width="1.42578125" style="1" customWidth="1"/>
    <col min="14339" max="14339" width="57.5703125" style="1" customWidth="1"/>
    <col min="14340" max="14340" width="2.7109375" style="1" customWidth="1"/>
    <col min="14341" max="14341" width="0" style="1" hidden="1" customWidth="1"/>
    <col min="14342" max="14343" width="1" style="1" customWidth="1"/>
    <col min="14344" max="14344" width="19.7109375" style="1" customWidth="1"/>
    <col min="14345" max="14346" width="1" style="1" customWidth="1"/>
    <col min="14347" max="14391" width="0" style="1" hidden="1" customWidth="1"/>
    <col min="14392" max="14393" width="1" style="1" customWidth="1"/>
    <col min="14394" max="14394" width="17.85546875" style="1" customWidth="1"/>
    <col min="14395" max="14396" width="1" style="1" customWidth="1"/>
    <col min="14397" max="14406" width="0" style="1" hidden="1" customWidth="1"/>
    <col min="14407" max="14408" width="1" style="1" customWidth="1"/>
    <col min="14409" max="14409" width="17.85546875" style="1" customWidth="1"/>
    <col min="14410" max="14413" width="1" style="1" customWidth="1"/>
    <col min="14414" max="14414" width="17.85546875" style="1" customWidth="1"/>
    <col min="14415" max="14416" width="1" style="1" customWidth="1"/>
    <col min="14417" max="14435" width="0" style="1" hidden="1" customWidth="1"/>
    <col min="14436" max="14436" width="1" style="1" customWidth="1"/>
    <col min="14437" max="14461" width="0" style="1" hidden="1" customWidth="1"/>
    <col min="14462" max="14463" width="1" style="1" customWidth="1"/>
    <col min="14464" max="14464" width="17.85546875" style="1" customWidth="1"/>
    <col min="14465" max="14466" width="1" style="1" customWidth="1"/>
    <col min="14467" max="14476" width="0" style="1" hidden="1" customWidth="1"/>
    <col min="14477" max="14478" width="1" style="1" customWidth="1"/>
    <col min="14479" max="14479" width="17.85546875" style="1" customWidth="1"/>
    <col min="14480" max="14481" width="1" style="1" customWidth="1"/>
    <col min="14482" max="14482" width="1.5703125" style="1" customWidth="1"/>
    <col min="14483" max="14483" width="0.7109375" style="1" customWidth="1"/>
    <col min="14484" max="14484" width="1.85546875" style="1" customWidth="1"/>
    <col min="14485" max="14485" width="10.7109375" style="1" customWidth="1"/>
    <col min="14486" max="14486" width="0" style="1" hidden="1" customWidth="1"/>
    <col min="14487" max="14592" width="10" style="1"/>
    <col min="14593" max="14593" width="1.5703125" style="1" customWidth="1"/>
    <col min="14594" max="14594" width="1.42578125" style="1" customWidth="1"/>
    <col min="14595" max="14595" width="57.5703125" style="1" customWidth="1"/>
    <col min="14596" max="14596" width="2.7109375" style="1" customWidth="1"/>
    <col min="14597" max="14597" width="0" style="1" hidden="1" customWidth="1"/>
    <col min="14598" max="14599" width="1" style="1" customWidth="1"/>
    <col min="14600" max="14600" width="19.7109375" style="1" customWidth="1"/>
    <col min="14601" max="14602" width="1" style="1" customWidth="1"/>
    <col min="14603" max="14647" width="0" style="1" hidden="1" customWidth="1"/>
    <col min="14648" max="14649" width="1" style="1" customWidth="1"/>
    <col min="14650" max="14650" width="17.85546875" style="1" customWidth="1"/>
    <col min="14651" max="14652" width="1" style="1" customWidth="1"/>
    <col min="14653" max="14662" width="0" style="1" hidden="1" customWidth="1"/>
    <col min="14663" max="14664" width="1" style="1" customWidth="1"/>
    <col min="14665" max="14665" width="17.85546875" style="1" customWidth="1"/>
    <col min="14666" max="14669" width="1" style="1" customWidth="1"/>
    <col min="14670" max="14670" width="17.85546875" style="1" customWidth="1"/>
    <col min="14671" max="14672" width="1" style="1" customWidth="1"/>
    <col min="14673" max="14691" width="0" style="1" hidden="1" customWidth="1"/>
    <col min="14692" max="14692" width="1" style="1" customWidth="1"/>
    <col min="14693" max="14717" width="0" style="1" hidden="1" customWidth="1"/>
    <col min="14718" max="14719" width="1" style="1" customWidth="1"/>
    <col min="14720" max="14720" width="17.85546875" style="1" customWidth="1"/>
    <col min="14721" max="14722" width="1" style="1" customWidth="1"/>
    <col min="14723" max="14732" width="0" style="1" hidden="1" customWidth="1"/>
    <col min="14733" max="14734" width="1" style="1" customWidth="1"/>
    <col min="14735" max="14735" width="17.85546875" style="1" customWidth="1"/>
    <col min="14736" max="14737" width="1" style="1" customWidth="1"/>
    <col min="14738" max="14738" width="1.5703125" style="1" customWidth="1"/>
    <col min="14739" max="14739" width="0.7109375" style="1" customWidth="1"/>
    <col min="14740" max="14740" width="1.85546875" style="1" customWidth="1"/>
    <col min="14741" max="14741" width="10.7109375" style="1" customWidth="1"/>
    <col min="14742" max="14742" width="0" style="1" hidden="1" customWidth="1"/>
    <col min="14743" max="14848" width="10" style="1"/>
    <col min="14849" max="14849" width="1.5703125" style="1" customWidth="1"/>
    <col min="14850" max="14850" width="1.42578125" style="1" customWidth="1"/>
    <col min="14851" max="14851" width="57.5703125" style="1" customWidth="1"/>
    <col min="14852" max="14852" width="2.7109375" style="1" customWidth="1"/>
    <col min="14853" max="14853" width="0" style="1" hidden="1" customWidth="1"/>
    <col min="14854" max="14855" width="1" style="1" customWidth="1"/>
    <col min="14856" max="14856" width="19.7109375" style="1" customWidth="1"/>
    <col min="14857" max="14858" width="1" style="1" customWidth="1"/>
    <col min="14859" max="14903" width="0" style="1" hidden="1" customWidth="1"/>
    <col min="14904" max="14905" width="1" style="1" customWidth="1"/>
    <col min="14906" max="14906" width="17.85546875" style="1" customWidth="1"/>
    <col min="14907" max="14908" width="1" style="1" customWidth="1"/>
    <col min="14909" max="14918" width="0" style="1" hidden="1" customWidth="1"/>
    <col min="14919" max="14920" width="1" style="1" customWidth="1"/>
    <col min="14921" max="14921" width="17.85546875" style="1" customWidth="1"/>
    <col min="14922" max="14925" width="1" style="1" customWidth="1"/>
    <col min="14926" max="14926" width="17.85546875" style="1" customWidth="1"/>
    <col min="14927" max="14928" width="1" style="1" customWidth="1"/>
    <col min="14929" max="14947" width="0" style="1" hidden="1" customWidth="1"/>
    <col min="14948" max="14948" width="1" style="1" customWidth="1"/>
    <col min="14949" max="14973" width="0" style="1" hidden="1" customWidth="1"/>
    <col min="14974" max="14975" width="1" style="1" customWidth="1"/>
    <col min="14976" max="14976" width="17.85546875" style="1" customWidth="1"/>
    <col min="14977" max="14978" width="1" style="1" customWidth="1"/>
    <col min="14979" max="14988" width="0" style="1" hidden="1" customWidth="1"/>
    <col min="14989" max="14990" width="1" style="1" customWidth="1"/>
    <col min="14991" max="14991" width="17.85546875" style="1" customWidth="1"/>
    <col min="14992" max="14993" width="1" style="1" customWidth="1"/>
    <col min="14994" max="14994" width="1.5703125" style="1" customWidth="1"/>
    <col min="14995" max="14995" width="0.7109375" style="1" customWidth="1"/>
    <col min="14996" max="14996" width="1.85546875" style="1" customWidth="1"/>
    <col min="14997" max="14997" width="10.7109375" style="1" customWidth="1"/>
    <col min="14998" max="14998" width="0" style="1" hidden="1" customWidth="1"/>
    <col min="14999" max="15104" width="10" style="1"/>
    <col min="15105" max="15105" width="1.5703125" style="1" customWidth="1"/>
    <col min="15106" max="15106" width="1.42578125" style="1" customWidth="1"/>
    <col min="15107" max="15107" width="57.5703125" style="1" customWidth="1"/>
    <col min="15108" max="15108" width="2.7109375" style="1" customWidth="1"/>
    <col min="15109" max="15109" width="0" style="1" hidden="1" customWidth="1"/>
    <col min="15110" max="15111" width="1" style="1" customWidth="1"/>
    <col min="15112" max="15112" width="19.7109375" style="1" customWidth="1"/>
    <col min="15113" max="15114" width="1" style="1" customWidth="1"/>
    <col min="15115" max="15159" width="0" style="1" hidden="1" customWidth="1"/>
    <col min="15160" max="15161" width="1" style="1" customWidth="1"/>
    <col min="15162" max="15162" width="17.85546875" style="1" customWidth="1"/>
    <col min="15163" max="15164" width="1" style="1" customWidth="1"/>
    <col min="15165" max="15174" width="0" style="1" hidden="1" customWidth="1"/>
    <col min="15175" max="15176" width="1" style="1" customWidth="1"/>
    <col min="15177" max="15177" width="17.85546875" style="1" customWidth="1"/>
    <col min="15178" max="15181" width="1" style="1" customWidth="1"/>
    <col min="15182" max="15182" width="17.85546875" style="1" customWidth="1"/>
    <col min="15183" max="15184" width="1" style="1" customWidth="1"/>
    <col min="15185" max="15203" width="0" style="1" hidden="1" customWidth="1"/>
    <col min="15204" max="15204" width="1" style="1" customWidth="1"/>
    <col min="15205" max="15229" width="0" style="1" hidden="1" customWidth="1"/>
    <col min="15230" max="15231" width="1" style="1" customWidth="1"/>
    <col min="15232" max="15232" width="17.85546875" style="1" customWidth="1"/>
    <col min="15233" max="15234" width="1" style="1" customWidth="1"/>
    <col min="15235" max="15244" width="0" style="1" hidden="1" customWidth="1"/>
    <col min="15245" max="15246" width="1" style="1" customWidth="1"/>
    <col min="15247" max="15247" width="17.85546875" style="1" customWidth="1"/>
    <col min="15248" max="15249" width="1" style="1" customWidth="1"/>
    <col min="15250" max="15250" width="1.5703125" style="1" customWidth="1"/>
    <col min="15251" max="15251" width="0.7109375" style="1" customWidth="1"/>
    <col min="15252" max="15252" width="1.85546875" style="1" customWidth="1"/>
    <col min="15253" max="15253" width="10.7109375" style="1" customWidth="1"/>
    <col min="15254" max="15254" width="0" style="1" hidden="1" customWidth="1"/>
    <col min="15255" max="15360" width="10" style="1"/>
    <col min="15361" max="15361" width="1.5703125" style="1" customWidth="1"/>
    <col min="15362" max="15362" width="1.42578125" style="1" customWidth="1"/>
    <col min="15363" max="15363" width="57.5703125" style="1" customWidth="1"/>
    <col min="15364" max="15364" width="2.7109375" style="1" customWidth="1"/>
    <col min="15365" max="15365" width="0" style="1" hidden="1" customWidth="1"/>
    <col min="15366" max="15367" width="1" style="1" customWidth="1"/>
    <col min="15368" max="15368" width="19.7109375" style="1" customWidth="1"/>
    <col min="15369" max="15370" width="1" style="1" customWidth="1"/>
    <col min="15371" max="15415" width="0" style="1" hidden="1" customWidth="1"/>
    <col min="15416" max="15417" width="1" style="1" customWidth="1"/>
    <col min="15418" max="15418" width="17.85546875" style="1" customWidth="1"/>
    <col min="15419" max="15420" width="1" style="1" customWidth="1"/>
    <col min="15421" max="15430" width="0" style="1" hidden="1" customWidth="1"/>
    <col min="15431" max="15432" width="1" style="1" customWidth="1"/>
    <col min="15433" max="15433" width="17.85546875" style="1" customWidth="1"/>
    <col min="15434" max="15437" width="1" style="1" customWidth="1"/>
    <col min="15438" max="15438" width="17.85546875" style="1" customWidth="1"/>
    <col min="15439" max="15440" width="1" style="1" customWidth="1"/>
    <col min="15441" max="15459" width="0" style="1" hidden="1" customWidth="1"/>
    <col min="15460" max="15460" width="1" style="1" customWidth="1"/>
    <col min="15461" max="15485" width="0" style="1" hidden="1" customWidth="1"/>
    <col min="15486" max="15487" width="1" style="1" customWidth="1"/>
    <col min="15488" max="15488" width="17.85546875" style="1" customWidth="1"/>
    <col min="15489" max="15490" width="1" style="1" customWidth="1"/>
    <col min="15491" max="15500" width="0" style="1" hidden="1" customWidth="1"/>
    <col min="15501" max="15502" width="1" style="1" customWidth="1"/>
    <col min="15503" max="15503" width="17.85546875" style="1" customWidth="1"/>
    <col min="15504" max="15505" width="1" style="1" customWidth="1"/>
    <col min="15506" max="15506" width="1.5703125" style="1" customWidth="1"/>
    <col min="15507" max="15507" width="0.7109375" style="1" customWidth="1"/>
    <col min="15508" max="15508" width="1.85546875" style="1" customWidth="1"/>
    <col min="15509" max="15509" width="10.7109375" style="1" customWidth="1"/>
    <col min="15510" max="15510" width="0" style="1" hidden="1" customWidth="1"/>
    <col min="15511" max="15616" width="10" style="1"/>
    <col min="15617" max="15617" width="1.5703125" style="1" customWidth="1"/>
    <col min="15618" max="15618" width="1.42578125" style="1" customWidth="1"/>
    <col min="15619" max="15619" width="57.5703125" style="1" customWidth="1"/>
    <col min="15620" max="15620" width="2.7109375" style="1" customWidth="1"/>
    <col min="15621" max="15621" width="0" style="1" hidden="1" customWidth="1"/>
    <col min="15622" max="15623" width="1" style="1" customWidth="1"/>
    <col min="15624" max="15624" width="19.7109375" style="1" customWidth="1"/>
    <col min="15625" max="15626" width="1" style="1" customWidth="1"/>
    <col min="15627" max="15671" width="0" style="1" hidden="1" customWidth="1"/>
    <col min="15672" max="15673" width="1" style="1" customWidth="1"/>
    <col min="15674" max="15674" width="17.85546875" style="1" customWidth="1"/>
    <col min="15675" max="15676" width="1" style="1" customWidth="1"/>
    <col min="15677" max="15686" width="0" style="1" hidden="1" customWidth="1"/>
    <col min="15687" max="15688" width="1" style="1" customWidth="1"/>
    <col min="15689" max="15689" width="17.85546875" style="1" customWidth="1"/>
    <col min="15690" max="15693" width="1" style="1" customWidth="1"/>
    <col min="15694" max="15694" width="17.85546875" style="1" customWidth="1"/>
    <col min="15695" max="15696" width="1" style="1" customWidth="1"/>
    <col min="15697" max="15715" width="0" style="1" hidden="1" customWidth="1"/>
    <col min="15716" max="15716" width="1" style="1" customWidth="1"/>
    <col min="15717" max="15741" width="0" style="1" hidden="1" customWidth="1"/>
    <col min="15742" max="15743" width="1" style="1" customWidth="1"/>
    <col min="15744" max="15744" width="17.85546875" style="1" customWidth="1"/>
    <col min="15745" max="15746" width="1" style="1" customWidth="1"/>
    <col min="15747" max="15756" width="0" style="1" hidden="1" customWidth="1"/>
    <col min="15757" max="15758" width="1" style="1" customWidth="1"/>
    <col min="15759" max="15759" width="17.85546875" style="1" customWidth="1"/>
    <col min="15760" max="15761" width="1" style="1" customWidth="1"/>
    <col min="15762" max="15762" width="1.5703125" style="1" customWidth="1"/>
    <col min="15763" max="15763" width="0.7109375" style="1" customWidth="1"/>
    <col min="15764" max="15764" width="1.85546875" style="1" customWidth="1"/>
    <col min="15765" max="15765" width="10.7109375" style="1" customWidth="1"/>
    <col min="15766" max="15766" width="0" style="1" hidden="1" customWidth="1"/>
    <col min="15767" max="15872" width="10" style="1"/>
    <col min="15873" max="15873" width="1.5703125" style="1" customWidth="1"/>
    <col min="15874" max="15874" width="1.42578125" style="1" customWidth="1"/>
    <col min="15875" max="15875" width="57.5703125" style="1" customWidth="1"/>
    <col min="15876" max="15876" width="2.7109375" style="1" customWidth="1"/>
    <col min="15877" max="15877" width="0" style="1" hidden="1" customWidth="1"/>
    <col min="15878" max="15879" width="1" style="1" customWidth="1"/>
    <col min="15880" max="15880" width="19.7109375" style="1" customWidth="1"/>
    <col min="15881" max="15882" width="1" style="1" customWidth="1"/>
    <col min="15883" max="15927" width="0" style="1" hidden="1" customWidth="1"/>
    <col min="15928" max="15929" width="1" style="1" customWidth="1"/>
    <col min="15930" max="15930" width="17.85546875" style="1" customWidth="1"/>
    <col min="15931" max="15932" width="1" style="1" customWidth="1"/>
    <col min="15933" max="15942" width="0" style="1" hidden="1" customWidth="1"/>
    <col min="15943" max="15944" width="1" style="1" customWidth="1"/>
    <col min="15945" max="15945" width="17.85546875" style="1" customWidth="1"/>
    <col min="15946" max="15949" width="1" style="1" customWidth="1"/>
    <col min="15950" max="15950" width="17.85546875" style="1" customWidth="1"/>
    <col min="15951" max="15952" width="1" style="1" customWidth="1"/>
    <col min="15953" max="15971" width="0" style="1" hidden="1" customWidth="1"/>
    <col min="15972" max="15972" width="1" style="1" customWidth="1"/>
    <col min="15973" max="15997" width="0" style="1" hidden="1" customWidth="1"/>
    <col min="15998" max="15999" width="1" style="1" customWidth="1"/>
    <col min="16000" max="16000" width="17.85546875" style="1" customWidth="1"/>
    <col min="16001" max="16002" width="1" style="1" customWidth="1"/>
    <col min="16003" max="16012" width="0" style="1" hidden="1" customWidth="1"/>
    <col min="16013" max="16014" width="1" style="1" customWidth="1"/>
    <col min="16015" max="16015" width="17.85546875" style="1" customWidth="1"/>
    <col min="16016" max="16017" width="1" style="1" customWidth="1"/>
    <col min="16018" max="16018" width="1.5703125" style="1" customWidth="1"/>
    <col min="16019" max="16019" width="0.7109375" style="1" customWidth="1"/>
    <col min="16020" max="16020" width="1.85546875" style="1" customWidth="1"/>
    <col min="16021" max="16021" width="10.7109375" style="1" customWidth="1"/>
    <col min="16022" max="16022" width="0" style="1" hidden="1" customWidth="1"/>
    <col min="16023" max="16128" width="10" style="1"/>
    <col min="16129" max="16129" width="1.5703125" style="1" customWidth="1"/>
    <col min="16130" max="16130" width="1.42578125" style="1" customWidth="1"/>
    <col min="16131" max="16131" width="57.5703125" style="1" customWidth="1"/>
    <col min="16132" max="16132" width="2.7109375" style="1" customWidth="1"/>
    <col min="16133" max="16133" width="0" style="1" hidden="1" customWidth="1"/>
    <col min="16134" max="16135" width="1" style="1" customWidth="1"/>
    <col min="16136" max="16136" width="19.7109375" style="1" customWidth="1"/>
    <col min="16137" max="16138" width="1" style="1" customWidth="1"/>
    <col min="16139" max="16183" width="0" style="1" hidden="1" customWidth="1"/>
    <col min="16184" max="16185" width="1" style="1" customWidth="1"/>
    <col min="16186" max="16186" width="17.85546875" style="1" customWidth="1"/>
    <col min="16187" max="16188" width="1" style="1" customWidth="1"/>
    <col min="16189" max="16198" width="0" style="1" hidden="1" customWidth="1"/>
    <col min="16199" max="16200" width="1" style="1" customWidth="1"/>
    <col min="16201" max="16201" width="17.85546875" style="1" customWidth="1"/>
    <col min="16202" max="16205" width="1" style="1" customWidth="1"/>
    <col min="16206" max="16206" width="17.85546875" style="1" customWidth="1"/>
    <col min="16207" max="16208" width="1" style="1" customWidth="1"/>
    <col min="16209" max="16227" width="0" style="1" hidden="1" customWidth="1"/>
    <col min="16228" max="16228" width="1" style="1" customWidth="1"/>
    <col min="16229" max="16253" width="0" style="1" hidden="1" customWidth="1"/>
    <col min="16254" max="16255" width="1" style="1" customWidth="1"/>
    <col min="16256" max="16256" width="17.85546875" style="1" customWidth="1"/>
    <col min="16257" max="16258" width="1" style="1" customWidth="1"/>
    <col min="16259" max="16268" width="0" style="1" hidden="1" customWidth="1"/>
    <col min="16269" max="16270" width="1" style="1" customWidth="1"/>
    <col min="16271" max="16271" width="17.85546875" style="1" customWidth="1"/>
    <col min="16272" max="16273" width="1" style="1" customWidth="1"/>
    <col min="16274" max="16274" width="1.5703125" style="1" customWidth="1"/>
    <col min="16275" max="16275" width="0.7109375" style="1" customWidth="1"/>
    <col min="16276" max="16276" width="1.85546875" style="1" customWidth="1"/>
    <col min="16277" max="16277" width="10.7109375" style="1" customWidth="1"/>
    <col min="16278" max="16278" width="0" style="1" hidden="1" customWidth="1"/>
    <col min="16279" max="16384" width="10" style="1"/>
  </cols>
  <sheetData>
    <row r="2" spans="3:150" ht="5.25" customHeight="1" x14ac:dyDescent="0.2"/>
    <row r="4" spans="3:150" x14ac:dyDescent="0.2">
      <c r="C4" s="14"/>
      <c r="D4" s="14"/>
    </row>
    <row r="5" spans="3:150" x14ac:dyDescent="0.2">
      <c r="D5" s="14"/>
    </row>
    <row r="7" spans="3:150" ht="15" customHeight="1" x14ac:dyDescent="0.25">
      <c r="C7" s="354" t="s">
        <v>292</v>
      </c>
      <c r="D7" s="3"/>
    </row>
    <row r="8" spans="3:150" x14ac:dyDescent="0.2">
      <c r="C8" s="4"/>
      <c r="E8" s="355"/>
      <c r="F8" s="356"/>
      <c r="G8" s="357"/>
      <c r="H8" s="8" t="s">
        <v>1</v>
      </c>
      <c r="I8" s="8"/>
      <c r="J8" s="8"/>
      <c r="K8" s="8"/>
      <c r="L8" s="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c r="BA8" s="358"/>
      <c r="BB8" s="358"/>
      <c r="BC8" s="358"/>
      <c r="BD8" s="358"/>
      <c r="BE8" s="358"/>
      <c r="BF8" s="358"/>
      <c r="BG8" s="358"/>
      <c r="BH8" s="358"/>
      <c r="BI8" s="358"/>
      <c r="BJ8" s="358"/>
      <c r="BK8" s="358"/>
      <c r="BL8" s="358"/>
      <c r="BM8" s="358"/>
      <c r="BN8" s="358"/>
      <c r="BO8" s="358"/>
      <c r="BP8" s="358"/>
      <c r="BQ8" s="358"/>
      <c r="BR8" s="358"/>
      <c r="BS8" s="358"/>
      <c r="BT8" s="358"/>
      <c r="BU8" s="358"/>
      <c r="BV8" s="359"/>
      <c r="BW8" s="359"/>
      <c r="BX8" s="360"/>
      <c r="BY8" s="359"/>
      <c r="BZ8" s="8" t="s">
        <v>2</v>
      </c>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361"/>
      <c r="EO8" s="362"/>
      <c r="EP8" s="13"/>
    </row>
    <row r="9" spans="3:150" ht="18" customHeight="1" x14ac:dyDescent="0.2">
      <c r="C9" s="13"/>
      <c r="E9" s="66" t="s">
        <v>293</v>
      </c>
      <c r="F9" s="42"/>
      <c r="G9" s="23"/>
      <c r="H9" s="363" t="s">
        <v>3</v>
      </c>
      <c r="I9" s="23"/>
      <c r="J9" s="23"/>
      <c r="K9" s="42"/>
      <c r="L9" s="23"/>
      <c r="M9" s="23" t="s">
        <v>4</v>
      </c>
      <c r="N9" s="23"/>
      <c r="O9" s="23"/>
      <c r="P9" s="42"/>
      <c r="Q9" s="23"/>
      <c r="R9" s="23" t="s">
        <v>5</v>
      </c>
      <c r="S9" s="23"/>
      <c r="T9" s="23"/>
      <c r="U9" s="42"/>
      <c r="V9" s="23"/>
      <c r="W9" s="23" t="s">
        <v>6</v>
      </c>
      <c r="X9" s="23"/>
      <c r="Y9" s="23"/>
      <c r="Z9" s="42"/>
      <c r="AA9" s="23"/>
      <c r="AB9" s="23" t="s">
        <v>7</v>
      </c>
      <c r="AC9" s="23"/>
      <c r="AD9" s="23"/>
      <c r="AE9" s="42"/>
      <c r="AF9" s="23"/>
      <c r="AG9" s="23" t="s">
        <v>8</v>
      </c>
      <c r="AH9" s="23"/>
      <c r="AI9" s="23"/>
      <c r="AJ9" s="42"/>
      <c r="AK9" s="23"/>
      <c r="AL9" s="23" t="s">
        <v>9</v>
      </c>
      <c r="AM9" s="23"/>
      <c r="AN9" s="23"/>
      <c r="AO9" s="42"/>
      <c r="AP9" s="23"/>
      <c r="AQ9" s="23" t="s">
        <v>10</v>
      </c>
      <c r="AR9" s="23"/>
      <c r="AS9" s="23"/>
      <c r="AT9" s="42"/>
      <c r="AU9" s="23"/>
      <c r="AV9" s="23" t="s">
        <v>11</v>
      </c>
      <c r="AW9" s="23"/>
      <c r="AX9" s="23"/>
      <c r="AY9" s="42"/>
      <c r="AZ9" s="23"/>
      <c r="BA9" s="23" t="s">
        <v>12</v>
      </c>
      <c r="BB9" s="23"/>
      <c r="BC9" s="23"/>
      <c r="BD9" s="42"/>
      <c r="BE9" s="23"/>
      <c r="BF9" s="23" t="s">
        <v>13</v>
      </c>
      <c r="BG9" s="23"/>
      <c r="BH9" s="23"/>
      <c r="BI9" s="42"/>
      <c r="BJ9" s="23"/>
      <c r="BK9" s="23" t="s">
        <v>14</v>
      </c>
      <c r="BL9" s="23"/>
      <c r="BM9" s="23"/>
      <c r="BN9" s="42"/>
      <c r="BO9" s="23"/>
      <c r="BP9" s="23" t="s">
        <v>15</v>
      </c>
      <c r="BQ9" s="23"/>
      <c r="BR9" s="23"/>
      <c r="BS9" s="42"/>
      <c r="BT9" s="23"/>
      <c r="BU9" s="23" t="s">
        <v>16</v>
      </c>
      <c r="BV9" s="23"/>
      <c r="BW9" s="23"/>
      <c r="BX9" s="65"/>
      <c r="BY9" s="23"/>
      <c r="BZ9" s="363" t="s">
        <v>294</v>
      </c>
      <c r="CA9" s="23"/>
      <c r="CB9" s="23"/>
      <c r="CC9" s="42"/>
      <c r="CD9" s="23"/>
      <c r="CE9" s="23" t="s">
        <v>4</v>
      </c>
      <c r="CF9" s="23"/>
      <c r="CG9" s="23"/>
      <c r="CH9" s="42"/>
      <c r="CI9" s="23"/>
      <c r="CJ9" s="23" t="s">
        <v>5</v>
      </c>
      <c r="CK9" s="23"/>
      <c r="CL9" s="23"/>
      <c r="CM9" s="42"/>
      <c r="CN9" s="23"/>
      <c r="CO9" s="23" t="s">
        <v>6</v>
      </c>
      <c r="CP9" s="23"/>
      <c r="CQ9" s="23"/>
      <c r="CR9" s="42"/>
      <c r="CS9" s="23"/>
      <c r="CT9" s="23" t="s">
        <v>7</v>
      </c>
      <c r="CU9" s="23"/>
      <c r="CV9" s="23"/>
      <c r="CW9" s="42"/>
      <c r="CX9" s="23"/>
      <c r="CY9" s="23" t="s">
        <v>8</v>
      </c>
      <c r="CZ9" s="23"/>
      <c r="DA9" s="23"/>
      <c r="DB9" s="42"/>
      <c r="DC9" s="23"/>
      <c r="DD9" s="23" t="s">
        <v>9</v>
      </c>
      <c r="DE9" s="23"/>
      <c r="DF9" s="23"/>
      <c r="DG9" s="42"/>
      <c r="DH9" s="23"/>
      <c r="DI9" s="23" t="s">
        <v>10</v>
      </c>
      <c r="DJ9" s="23"/>
      <c r="DK9" s="23"/>
      <c r="DL9" s="42"/>
      <c r="DM9" s="23"/>
      <c r="DN9" s="23" t="s">
        <v>11</v>
      </c>
      <c r="DO9" s="23"/>
      <c r="DP9" s="23"/>
      <c r="DQ9" s="42"/>
      <c r="DR9" s="23"/>
      <c r="DS9" s="23" t="s">
        <v>12</v>
      </c>
      <c r="DT9" s="23"/>
      <c r="DU9" s="23"/>
      <c r="DV9" s="42"/>
      <c r="DW9" s="23"/>
      <c r="DX9" s="23" t="s">
        <v>13</v>
      </c>
      <c r="DY9" s="23"/>
      <c r="DZ9" s="23"/>
      <c r="EA9" s="42"/>
      <c r="EB9" s="23"/>
      <c r="EC9" s="23" t="s">
        <v>14</v>
      </c>
      <c r="ED9" s="23"/>
      <c r="EE9" s="23"/>
      <c r="EF9" s="42"/>
      <c r="EG9" s="23"/>
      <c r="EH9" s="23" t="s">
        <v>15</v>
      </c>
      <c r="EI9" s="23"/>
      <c r="EJ9" s="23"/>
      <c r="EK9" s="42"/>
      <c r="EL9" s="23"/>
      <c r="EM9" s="23" t="s">
        <v>16</v>
      </c>
      <c r="EN9" s="23"/>
      <c r="EO9" s="23"/>
      <c r="EP9" s="13"/>
    </row>
    <row r="10" spans="3:150" ht="14.25" customHeight="1" x14ac:dyDescent="0.2">
      <c r="C10" s="364" t="s">
        <v>19</v>
      </c>
      <c r="D10" s="365"/>
      <c r="E10" s="104"/>
      <c r="F10" s="366"/>
      <c r="G10" s="105"/>
      <c r="H10" s="367" t="s">
        <v>20</v>
      </c>
      <c r="I10" s="105"/>
      <c r="J10" s="105"/>
      <c r="K10" s="366"/>
      <c r="L10" s="105"/>
      <c r="M10" s="105"/>
      <c r="N10" s="105"/>
      <c r="O10" s="105"/>
      <c r="P10" s="366"/>
      <c r="Q10" s="105"/>
      <c r="R10" s="105"/>
      <c r="S10" s="105"/>
      <c r="T10" s="105"/>
      <c r="U10" s="366"/>
      <c r="V10" s="105"/>
      <c r="W10" s="105"/>
      <c r="X10" s="105"/>
      <c r="Y10" s="105"/>
      <c r="Z10" s="366"/>
      <c r="AA10" s="105"/>
      <c r="AB10" s="105"/>
      <c r="AC10" s="105"/>
      <c r="AD10" s="105"/>
      <c r="AE10" s="366"/>
      <c r="AF10" s="105"/>
      <c r="AG10" s="105"/>
      <c r="AH10" s="105"/>
      <c r="AI10" s="105"/>
      <c r="AJ10" s="366"/>
      <c r="AK10" s="105"/>
      <c r="AL10" s="105"/>
      <c r="AM10" s="105"/>
      <c r="AN10" s="105"/>
      <c r="AO10" s="366"/>
      <c r="AP10" s="105"/>
      <c r="AQ10" s="105"/>
      <c r="AR10" s="105"/>
      <c r="AS10" s="105"/>
      <c r="AT10" s="366"/>
      <c r="AU10" s="105"/>
      <c r="AV10" s="105"/>
      <c r="AW10" s="105"/>
      <c r="AX10" s="105"/>
      <c r="AY10" s="366"/>
      <c r="AZ10" s="105"/>
      <c r="BA10" s="105"/>
      <c r="BB10" s="105"/>
      <c r="BC10" s="105"/>
      <c r="BD10" s="366"/>
      <c r="BE10" s="105"/>
      <c r="BF10" s="105"/>
      <c r="BG10" s="105"/>
      <c r="BH10" s="105"/>
      <c r="BI10" s="366"/>
      <c r="BJ10" s="105"/>
      <c r="BK10" s="105"/>
      <c r="BL10" s="105"/>
      <c r="BM10" s="105"/>
      <c r="BN10" s="366"/>
      <c r="BO10" s="105"/>
      <c r="BP10" s="105"/>
      <c r="BQ10" s="105"/>
      <c r="BR10" s="105"/>
      <c r="BS10" s="366"/>
      <c r="BT10" s="105"/>
      <c r="BU10" s="105"/>
      <c r="BV10" s="105"/>
      <c r="BW10" s="105"/>
      <c r="BX10" s="366"/>
      <c r="BY10" s="105"/>
      <c r="BZ10" s="367" t="s">
        <v>21</v>
      </c>
      <c r="CA10" s="105"/>
      <c r="CB10" s="105"/>
      <c r="CC10" s="366"/>
      <c r="CD10" s="105"/>
      <c r="CE10" s="105"/>
      <c r="CF10" s="105"/>
      <c r="CG10" s="105"/>
      <c r="CH10" s="366"/>
      <c r="CI10" s="105"/>
      <c r="CJ10" s="105"/>
      <c r="CK10" s="105"/>
      <c r="CL10" s="105"/>
      <c r="CM10" s="366"/>
      <c r="CN10" s="105"/>
      <c r="CO10" s="105"/>
      <c r="CP10" s="105"/>
      <c r="CQ10" s="105"/>
      <c r="CR10" s="366"/>
      <c r="CS10" s="105"/>
      <c r="CT10" s="105"/>
      <c r="CU10" s="105"/>
      <c r="CV10" s="105"/>
      <c r="CW10" s="366"/>
      <c r="CX10" s="105"/>
      <c r="CY10" s="105"/>
      <c r="CZ10" s="105"/>
      <c r="DA10" s="105"/>
      <c r="DB10" s="366"/>
      <c r="DC10" s="105"/>
      <c r="DD10" s="105"/>
      <c r="DE10" s="105"/>
      <c r="DF10" s="105"/>
      <c r="DG10" s="366"/>
      <c r="DH10" s="105"/>
      <c r="DI10" s="105"/>
      <c r="DJ10" s="105"/>
      <c r="DK10" s="105"/>
      <c r="DL10" s="366"/>
      <c r="DM10" s="105"/>
      <c r="DN10" s="105"/>
      <c r="DO10" s="105"/>
      <c r="DP10" s="105"/>
      <c r="DQ10" s="366"/>
      <c r="DR10" s="105"/>
      <c r="DS10" s="105"/>
      <c r="DT10" s="105"/>
      <c r="DU10" s="105"/>
      <c r="DV10" s="366"/>
      <c r="DW10" s="105"/>
      <c r="DX10" s="105"/>
      <c r="DY10" s="105"/>
      <c r="DZ10" s="105"/>
      <c r="EA10" s="366"/>
      <c r="EB10" s="105"/>
      <c r="EC10" s="105"/>
      <c r="ED10" s="105"/>
      <c r="EE10" s="105"/>
      <c r="EF10" s="366"/>
      <c r="EG10" s="105"/>
      <c r="EH10" s="105"/>
      <c r="EI10" s="105"/>
      <c r="EJ10" s="105"/>
      <c r="EK10" s="366"/>
      <c r="EL10" s="105"/>
      <c r="EM10" s="105"/>
      <c r="EN10" s="105"/>
      <c r="EO10" s="368"/>
      <c r="EP10" s="13"/>
    </row>
    <row r="11" spans="3:150" x14ac:dyDescent="0.2">
      <c r="C11" s="13"/>
      <c r="E11" s="369"/>
      <c r="F11" s="198"/>
      <c r="K11" s="198"/>
      <c r="P11" s="198"/>
      <c r="U11" s="198"/>
      <c r="Z11" s="198"/>
      <c r="AE11" s="198"/>
      <c r="AJ11" s="198"/>
      <c r="AO11" s="198"/>
      <c r="AT11" s="198"/>
      <c r="AY11" s="198"/>
      <c r="BD11" s="198"/>
      <c r="BI11" s="198"/>
      <c r="BN11" s="198"/>
      <c r="BS11" s="198"/>
      <c r="BX11" s="198"/>
      <c r="CC11" s="198"/>
      <c r="CH11" s="198"/>
      <c r="CM11" s="198"/>
      <c r="CR11" s="198"/>
      <c r="CW11" s="198"/>
      <c r="DB11" s="198"/>
      <c r="DG11" s="198"/>
      <c r="DL11" s="198"/>
      <c r="DQ11" s="198"/>
      <c r="DV11" s="198"/>
      <c r="EA11" s="198"/>
      <c r="EF11" s="198"/>
      <c r="EK11" s="198"/>
      <c r="EP11" s="13"/>
    </row>
    <row r="12" spans="3:150" x14ac:dyDescent="0.2">
      <c r="C12" s="13"/>
      <c r="E12" s="369"/>
      <c r="F12" s="198"/>
      <c r="K12" s="198"/>
      <c r="P12" s="198"/>
      <c r="U12" s="198"/>
      <c r="Z12" s="198"/>
      <c r="AE12" s="198"/>
      <c r="AJ12" s="198"/>
      <c r="AO12" s="198"/>
      <c r="AT12" s="198"/>
      <c r="AY12" s="198"/>
      <c r="BD12" s="198"/>
      <c r="BI12" s="198"/>
      <c r="BN12" s="198"/>
      <c r="BS12" s="198"/>
      <c r="BX12" s="198"/>
      <c r="CC12" s="198"/>
      <c r="CH12" s="198"/>
      <c r="CM12" s="198"/>
      <c r="CR12" s="198"/>
      <c r="CW12" s="198"/>
      <c r="DB12" s="198"/>
      <c r="DG12" s="198"/>
      <c r="DL12" s="198"/>
      <c r="DQ12" s="198"/>
      <c r="DV12" s="198"/>
      <c r="EA12" s="198"/>
      <c r="EF12" s="198"/>
      <c r="EK12" s="198"/>
      <c r="EP12" s="13"/>
    </row>
    <row r="13" spans="3:150" s="14" customFormat="1" x14ac:dyDescent="0.2">
      <c r="C13" s="93" t="s">
        <v>295</v>
      </c>
      <c r="E13" s="370"/>
      <c r="F13" s="180"/>
      <c r="H13" s="14">
        <f>+H14+H21</f>
        <v>143000000</v>
      </c>
      <c r="K13" s="180"/>
      <c r="M13" s="371">
        <f>+M14+M21</f>
        <v>37582688</v>
      </c>
      <c r="P13" s="180"/>
      <c r="R13" s="371">
        <f>+R14+R21</f>
        <v>16125619</v>
      </c>
      <c r="U13" s="180"/>
      <c r="W13" s="371">
        <f>+W14+W21</f>
        <v>11567828</v>
      </c>
      <c r="Z13" s="180"/>
      <c r="AB13" s="371">
        <f>+AB14+AB21</f>
        <v>26289577</v>
      </c>
      <c r="AE13" s="180"/>
      <c r="AG13" s="371">
        <f>+AG14+AG21</f>
        <v>-5974831</v>
      </c>
      <c r="AJ13" s="180"/>
      <c r="AL13" s="371">
        <f>+AL14+AL21</f>
        <v>1315362</v>
      </c>
      <c r="AO13" s="180"/>
      <c r="AQ13" s="371">
        <f>+AQ14+AQ21</f>
        <v>31098565</v>
      </c>
      <c r="AT13" s="180"/>
      <c r="AV13" s="371">
        <f>+AV14+AV21</f>
        <v>295423</v>
      </c>
      <c r="AY13" s="180"/>
      <c r="BA13" s="371">
        <f>+BA14+BA21</f>
        <v>-33015782</v>
      </c>
      <c r="BD13" s="180"/>
      <c r="BF13" s="371">
        <f>+BF14+BF21</f>
        <v>15701292</v>
      </c>
      <c r="BI13" s="180"/>
      <c r="BK13" s="371">
        <f>+BK14+BK21</f>
        <v>0</v>
      </c>
      <c r="BL13" s="371"/>
      <c r="BM13" s="371"/>
      <c r="BN13" s="372"/>
      <c r="BO13" s="371"/>
      <c r="BP13" s="371">
        <f>+BP14+BP21</f>
        <v>0</v>
      </c>
      <c r="BS13" s="180"/>
      <c r="BU13" s="14">
        <f>+BU14+BU21</f>
        <v>100985741</v>
      </c>
      <c r="BX13" s="180"/>
      <c r="BZ13" s="373">
        <f>+BZ14+BZ21</f>
        <v>36077502</v>
      </c>
      <c r="CC13" s="180"/>
      <c r="CE13" s="371">
        <f>+CE14+CE21</f>
        <v>32089095</v>
      </c>
      <c r="CH13" s="180"/>
      <c r="CJ13" s="371">
        <f>+CJ14+CJ21</f>
        <v>12375928</v>
      </c>
      <c r="CM13" s="180"/>
      <c r="CO13" s="371">
        <f>+CO14+CO21</f>
        <v>21645154</v>
      </c>
      <c r="CR13" s="180"/>
      <c r="CT13" s="371">
        <f>+CT14+CT21</f>
        <v>4387554</v>
      </c>
      <c r="CW13" s="180"/>
      <c r="CY13" s="371">
        <f>+CY14+CY21</f>
        <v>10613091</v>
      </c>
      <c r="DB13" s="180"/>
      <c r="DD13" s="371">
        <f>+DD14+DD21</f>
        <v>-17323880</v>
      </c>
      <c r="DG13" s="180"/>
      <c r="DI13" s="371">
        <f>+DI14+DI21</f>
        <v>7778423</v>
      </c>
      <c r="DL13" s="180"/>
      <c r="DN13" s="371">
        <f>+DN14+DN21</f>
        <v>6126860</v>
      </c>
      <c r="DQ13" s="180"/>
      <c r="DS13" s="371">
        <f>+DS14+DS21</f>
        <v>-16508019</v>
      </c>
      <c r="DV13" s="180"/>
      <c r="DX13" s="371">
        <f>+DX14+DX21</f>
        <v>13250851</v>
      </c>
      <c r="EA13" s="180"/>
      <c r="EC13" s="371">
        <f>+EC14+EC21</f>
        <v>-2500139</v>
      </c>
      <c r="ED13" s="371"/>
      <c r="EE13" s="371"/>
      <c r="EF13" s="372"/>
      <c r="EG13" s="371"/>
      <c r="EH13" s="371">
        <f>+EH14+EH21</f>
        <v>-35857416</v>
      </c>
      <c r="EK13" s="180"/>
      <c r="EM13" s="14">
        <f>+EM14+EM21</f>
        <v>74435057</v>
      </c>
      <c r="EP13" s="93"/>
      <c r="ET13" s="14">
        <f>EM13-BZ13</f>
        <v>38357555</v>
      </c>
    </row>
    <row r="14" spans="3:150" x14ac:dyDescent="0.2">
      <c r="C14" s="13" t="s">
        <v>296</v>
      </c>
      <c r="E14" s="369"/>
      <c r="F14" s="198"/>
      <c r="G14" s="374"/>
      <c r="H14" s="101">
        <f>SUM(H15:H19)</f>
        <v>143000000</v>
      </c>
      <c r="I14" s="375"/>
      <c r="K14" s="198"/>
      <c r="L14" s="374"/>
      <c r="M14" s="376">
        <f>SUM(M15:M19)</f>
        <v>3561000</v>
      </c>
      <c r="N14" s="375"/>
      <c r="P14" s="198"/>
      <c r="Q14" s="374"/>
      <c r="R14" s="376">
        <f>SUM(R15:R19)</f>
        <v>10247350</v>
      </c>
      <c r="S14" s="375"/>
      <c r="U14" s="198"/>
      <c r="V14" s="374"/>
      <c r="W14" s="376">
        <f>SUM(W15:W19)</f>
        <v>11808200</v>
      </c>
      <c r="X14" s="375"/>
      <c r="Z14" s="198"/>
      <c r="AA14" s="374"/>
      <c r="AB14" s="376">
        <f>SUM(AB15:AB19)</f>
        <v>16584620</v>
      </c>
      <c r="AC14" s="375"/>
      <c r="AE14" s="198"/>
      <c r="AF14" s="374"/>
      <c r="AG14" s="376">
        <f>SUM(AG15:AG19)</f>
        <v>12547400</v>
      </c>
      <c r="AH14" s="375"/>
      <c r="AJ14" s="198"/>
      <c r="AK14" s="374"/>
      <c r="AL14" s="376">
        <f>SUM(AL15:AL19)</f>
        <v>17988450</v>
      </c>
      <c r="AM14" s="375"/>
      <c r="AO14" s="198"/>
      <c r="AP14" s="374"/>
      <c r="AQ14" s="376">
        <f>SUM(AQ15:AQ19)</f>
        <v>12270800</v>
      </c>
      <c r="AR14" s="375"/>
      <c r="AT14" s="198"/>
      <c r="AU14" s="374"/>
      <c r="AV14" s="376">
        <f>SUM(AV15:AV19)</f>
        <v>9515730</v>
      </c>
      <c r="AW14" s="375"/>
      <c r="AY14" s="198"/>
      <c r="AZ14" s="374"/>
      <c r="BA14" s="376">
        <f>SUM(BA15:BA19)</f>
        <v>517060</v>
      </c>
      <c r="BB14" s="375"/>
      <c r="BD14" s="198"/>
      <c r="BE14" s="374"/>
      <c r="BF14" s="376">
        <f>SUM(BF15:BF19)</f>
        <v>8378430</v>
      </c>
      <c r="BG14" s="375"/>
      <c r="BI14" s="198"/>
      <c r="BJ14" s="374"/>
      <c r="BK14" s="376">
        <f>SUM(BK15:BK19)</f>
        <v>0</v>
      </c>
      <c r="BL14" s="375"/>
      <c r="BN14" s="198"/>
      <c r="BO14" s="374"/>
      <c r="BP14" s="377">
        <f>SUM(BP15:BP19)</f>
        <v>0</v>
      </c>
      <c r="BQ14" s="375"/>
      <c r="BS14" s="198"/>
      <c r="BT14" s="374"/>
      <c r="BU14" s="101">
        <f>SUM(BU15:BU19)</f>
        <v>103419040</v>
      </c>
      <c r="BV14" s="375"/>
      <c r="BX14" s="198"/>
      <c r="BY14" s="374"/>
      <c r="BZ14" s="378">
        <f>SUM(BZ15:BZ19)</f>
        <v>26000430</v>
      </c>
      <c r="CA14" s="375"/>
      <c r="CC14" s="198"/>
      <c r="CD14" s="374"/>
      <c r="CE14" s="376">
        <f>SUM(CE15:CE19)</f>
        <v>5045000</v>
      </c>
      <c r="CF14" s="375"/>
      <c r="CH14" s="198"/>
      <c r="CI14" s="374"/>
      <c r="CJ14" s="376">
        <f>SUM(CJ15:CJ19)</f>
        <v>14852000</v>
      </c>
      <c r="CK14" s="375"/>
      <c r="CM14" s="198"/>
      <c r="CN14" s="374"/>
      <c r="CO14" s="376">
        <f>SUM(CO15:CO19)</f>
        <v>12705000</v>
      </c>
      <c r="CP14" s="375"/>
      <c r="CR14" s="198"/>
      <c r="CS14" s="374"/>
      <c r="CT14" s="376">
        <f>SUM(CT15:CT19)</f>
        <v>4164510</v>
      </c>
      <c r="CU14" s="375"/>
      <c r="CW14" s="198"/>
      <c r="CX14" s="374"/>
      <c r="CY14" s="376">
        <f>SUM(CY15:CY19)</f>
        <v>6693000</v>
      </c>
      <c r="CZ14" s="375"/>
      <c r="DB14" s="198"/>
      <c r="DC14" s="374"/>
      <c r="DD14" s="376">
        <f>SUM(DD15:DD19)</f>
        <v>7998300</v>
      </c>
      <c r="DE14" s="375"/>
      <c r="DG14" s="198"/>
      <c r="DH14" s="374"/>
      <c r="DI14" s="376">
        <f>SUM(DI15:DI19)</f>
        <v>3752730</v>
      </c>
      <c r="DJ14" s="375"/>
      <c r="DL14" s="198"/>
      <c r="DM14" s="374"/>
      <c r="DN14" s="376">
        <f>SUM(DN15:DN19)</f>
        <v>1301000</v>
      </c>
      <c r="DO14" s="375"/>
      <c r="DQ14" s="198"/>
      <c r="DR14" s="374"/>
      <c r="DS14" s="376">
        <f>SUM(DS15:DS19)</f>
        <v>-6212410</v>
      </c>
      <c r="DT14" s="375"/>
      <c r="DV14" s="198"/>
      <c r="DW14" s="374"/>
      <c r="DX14" s="376">
        <f>SUM(DX15:DX19)</f>
        <v>-8057160</v>
      </c>
      <c r="DY14" s="375"/>
      <c r="EA14" s="198"/>
      <c r="EB14" s="374"/>
      <c r="EC14" s="376">
        <f>SUM(EC15:EC19)</f>
        <v>-9474050</v>
      </c>
      <c r="ED14" s="375"/>
      <c r="EF14" s="198"/>
      <c r="EG14" s="374"/>
      <c r="EH14" s="377">
        <f>SUM(EH15:EH19)</f>
        <v>-6767490</v>
      </c>
      <c r="EI14" s="375"/>
      <c r="EK14" s="198"/>
      <c r="EL14" s="374"/>
      <c r="EM14" s="101">
        <f>SUM(EM15:EM19)</f>
        <v>42241970</v>
      </c>
      <c r="EN14" s="375"/>
      <c r="EP14" s="13"/>
      <c r="ES14" s="14"/>
      <c r="ET14" s="14">
        <f>EM14-BZ14</f>
        <v>16241540</v>
      </c>
    </row>
    <row r="15" spans="3:150" hidden="1" x14ac:dyDescent="0.2">
      <c r="C15" s="187" t="s">
        <v>297</v>
      </c>
      <c r="D15" s="188"/>
      <c r="E15" s="369"/>
      <c r="F15" s="198"/>
      <c r="G15" s="198"/>
      <c r="H15" s="379">
        <v>0</v>
      </c>
      <c r="I15" s="189"/>
      <c r="K15" s="198"/>
      <c r="L15" s="198"/>
      <c r="M15" s="380">
        <v>0</v>
      </c>
      <c r="N15" s="189"/>
      <c r="P15" s="198"/>
      <c r="Q15" s="198"/>
      <c r="R15" s="380">
        <v>0</v>
      </c>
      <c r="S15" s="189"/>
      <c r="U15" s="198"/>
      <c r="V15" s="198"/>
      <c r="W15" s="380">
        <v>0</v>
      </c>
      <c r="X15" s="189"/>
      <c r="Z15" s="198"/>
      <c r="AA15" s="198"/>
      <c r="AB15" s="380">
        <v>0</v>
      </c>
      <c r="AC15" s="189"/>
      <c r="AE15" s="198"/>
      <c r="AF15" s="198"/>
      <c r="AG15" s="380">
        <v>0</v>
      </c>
      <c r="AH15" s="189"/>
      <c r="AJ15" s="198"/>
      <c r="AK15" s="198"/>
      <c r="AL15" s="380">
        <v>0</v>
      </c>
      <c r="AM15" s="189"/>
      <c r="AO15" s="198"/>
      <c r="AP15" s="198"/>
      <c r="AQ15" s="380">
        <v>0</v>
      </c>
      <c r="AR15" s="189"/>
      <c r="AT15" s="198"/>
      <c r="AU15" s="198"/>
      <c r="AV15" s="380">
        <v>0</v>
      </c>
      <c r="AW15" s="189"/>
      <c r="AY15" s="198"/>
      <c r="AZ15" s="198"/>
      <c r="BA15" s="380">
        <v>0</v>
      </c>
      <c r="BB15" s="189"/>
      <c r="BD15" s="198"/>
      <c r="BE15" s="198"/>
      <c r="BF15" s="380">
        <v>0</v>
      </c>
      <c r="BG15" s="189"/>
      <c r="BI15" s="198"/>
      <c r="BJ15" s="198"/>
      <c r="BK15" s="380">
        <v>0</v>
      </c>
      <c r="BL15" s="189"/>
      <c r="BN15" s="198"/>
      <c r="BO15" s="198"/>
      <c r="BP15" s="380">
        <v>0</v>
      </c>
      <c r="BQ15" s="189"/>
      <c r="BS15" s="198"/>
      <c r="BT15" s="198"/>
      <c r="BU15" s="380">
        <f>SUM(M15:BP15)</f>
        <v>0</v>
      </c>
      <c r="BV15" s="189"/>
      <c r="BX15" s="198"/>
      <c r="BY15" s="198"/>
      <c r="BZ15" s="379">
        <v>0</v>
      </c>
      <c r="CA15" s="189"/>
      <c r="CC15" s="198"/>
      <c r="CD15" s="198"/>
      <c r="CE15" s="380">
        <v>0</v>
      </c>
      <c r="CF15" s="189"/>
      <c r="CH15" s="198"/>
      <c r="CI15" s="198"/>
      <c r="CJ15" s="380">
        <v>0</v>
      </c>
      <c r="CK15" s="189"/>
      <c r="CM15" s="198"/>
      <c r="CN15" s="198"/>
      <c r="CO15" s="380">
        <v>0</v>
      </c>
      <c r="CP15" s="189"/>
      <c r="CR15" s="198"/>
      <c r="CS15" s="198"/>
      <c r="CT15" s="380">
        <v>0</v>
      </c>
      <c r="CU15" s="189"/>
      <c r="CW15" s="198"/>
      <c r="CX15" s="198"/>
      <c r="CY15" s="380">
        <v>0</v>
      </c>
      <c r="CZ15" s="189"/>
      <c r="DB15" s="198"/>
      <c r="DC15" s="198"/>
      <c r="DD15" s="380">
        <v>0</v>
      </c>
      <c r="DE15" s="189"/>
      <c r="DG15" s="198"/>
      <c r="DH15" s="198"/>
      <c r="DI15" s="380">
        <v>0</v>
      </c>
      <c r="DJ15" s="189"/>
      <c r="DL15" s="198"/>
      <c r="DM15" s="198"/>
      <c r="DN15" s="380">
        <v>0</v>
      </c>
      <c r="DO15" s="189"/>
      <c r="DQ15" s="198"/>
      <c r="DR15" s="198"/>
      <c r="DS15" s="380">
        <v>0</v>
      </c>
      <c r="DT15" s="189"/>
      <c r="DV15" s="198"/>
      <c r="DW15" s="198"/>
      <c r="DX15" s="380">
        <v>0</v>
      </c>
      <c r="DY15" s="189"/>
      <c r="EA15" s="198"/>
      <c r="EB15" s="198"/>
      <c r="EC15" s="380">
        <v>0</v>
      </c>
      <c r="ED15" s="189"/>
      <c r="EF15" s="198"/>
      <c r="EG15" s="198"/>
      <c r="EH15" s="380">
        <v>0</v>
      </c>
      <c r="EI15" s="189"/>
      <c r="EK15" s="198"/>
      <c r="EL15" s="198"/>
      <c r="EM15" s="380">
        <f>SUM(CE15:DS15)</f>
        <v>0</v>
      </c>
      <c r="EN15" s="189"/>
      <c r="EP15" s="13"/>
      <c r="ES15" s="14"/>
      <c r="ET15" s="14">
        <f t="shared" ref="ET15:ET74" si="0">EM15-BZ15</f>
        <v>0</v>
      </c>
    </row>
    <row r="16" spans="3:150" x14ac:dyDescent="0.2">
      <c r="C16" s="187" t="s">
        <v>298</v>
      </c>
      <c r="D16" s="188"/>
      <c r="E16" s="369"/>
      <c r="F16" s="198"/>
      <c r="G16" s="198"/>
      <c r="H16" s="379">
        <v>7600000</v>
      </c>
      <c r="I16" s="189"/>
      <c r="K16" s="198"/>
      <c r="L16" s="198"/>
      <c r="M16" s="380">
        <v>1151700</v>
      </c>
      <c r="N16" s="189"/>
      <c r="P16" s="198"/>
      <c r="Q16" s="198"/>
      <c r="R16" s="380">
        <v>3396850</v>
      </c>
      <c r="S16" s="189"/>
      <c r="U16" s="198"/>
      <c r="V16" s="198"/>
      <c r="W16" s="380">
        <v>3277100</v>
      </c>
      <c r="X16" s="189"/>
      <c r="Z16" s="198"/>
      <c r="AA16" s="198"/>
      <c r="AB16" s="380">
        <v>1390400</v>
      </c>
      <c r="AC16" s="189"/>
      <c r="AE16" s="198"/>
      <c r="AF16" s="198"/>
      <c r="AG16" s="380">
        <v>-727100</v>
      </c>
      <c r="AH16" s="189"/>
      <c r="AJ16" s="198"/>
      <c r="AK16" s="198"/>
      <c r="AL16" s="380">
        <v>-1077800</v>
      </c>
      <c r="AM16" s="189"/>
      <c r="AO16" s="198"/>
      <c r="AP16" s="198"/>
      <c r="AQ16" s="380">
        <v>187300</v>
      </c>
      <c r="AR16" s="189"/>
      <c r="AT16" s="198"/>
      <c r="AU16" s="198"/>
      <c r="AV16" s="380">
        <v>-426670</v>
      </c>
      <c r="AW16" s="189"/>
      <c r="AY16" s="198"/>
      <c r="AZ16" s="198"/>
      <c r="BA16" s="380">
        <v>-407000</v>
      </c>
      <c r="BB16" s="189"/>
      <c r="BD16" s="124"/>
      <c r="BE16" s="198"/>
      <c r="BF16" s="380">
        <v>-496600</v>
      </c>
      <c r="BG16" s="189"/>
      <c r="BI16" s="198"/>
      <c r="BJ16" s="198"/>
      <c r="BK16" s="380">
        <v>0</v>
      </c>
      <c r="BL16" s="189"/>
      <c r="BN16" s="198"/>
      <c r="BO16" s="198"/>
      <c r="BP16" s="124">
        <v>0</v>
      </c>
      <c r="BQ16" s="189"/>
      <c r="BS16" s="198"/>
      <c r="BT16" s="198"/>
      <c r="BU16" s="380">
        <f>SUM(M16:BP16)</f>
        <v>6268180</v>
      </c>
      <c r="BV16" s="189"/>
      <c r="BX16" s="198"/>
      <c r="BY16" s="198"/>
      <c r="BZ16" s="379">
        <v>-6398450</v>
      </c>
      <c r="CA16" s="189"/>
      <c r="CC16" s="198"/>
      <c r="CD16" s="198"/>
      <c r="CE16" s="380">
        <v>1215940</v>
      </c>
      <c r="CF16" s="189"/>
      <c r="CH16" s="198"/>
      <c r="CI16" s="198"/>
      <c r="CJ16" s="380">
        <v>5467000</v>
      </c>
      <c r="CK16" s="189"/>
      <c r="CM16" s="198"/>
      <c r="CN16" s="198"/>
      <c r="CO16" s="380">
        <v>2901200</v>
      </c>
      <c r="CP16" s="189"/>
      <c r="CR16" s="198"/>
      <c r="CS16" s="198"/>
      <c r="CT16" s="380">
        <v>1840830</v>
      </c>
      <c r="CU16" s="189"/>
      <c r="CW16" s="198"/>
      <c r="CX16" s="198"/>
      <c r="CY16" s="380">
        <v>950000</v>
      </c>
      <c r="CZ16" s="189"/>
      <c r="DB16" s="198"/>
      <c r="DC16" s="198"/>
      <c r="DD16" s="380">
        <v>2698800</v>
      </c>
      <c r="DE16" s="189"/>
      <c r="DG16" s="198"/>
      <c r="DH16" s="198"/>
      <c r="DI16" s="380">
        <v>-3840070</v>
      </c>
      <c r="DJ16" s="189"/>
      <c r="DL16" s="198"/>
      <c r="DM16" s="198"/>
      <c r="DN16" s="380">
        <v>-786900</v>
      </c>
      <c r="DO16" s="189"/>
      <c r="DQ16" s="198"/>
      <c r="DR16" s="198"/>
      <c r="DS16" s="380">
        <v>-4877810</v>
      </c>
      <c r="DT16" s="189"/>
      <c r="DV16" s="124"/>
      <c r="DW16" s="198"/>
      <c r="DX16" s="380">
        <v>-4546100</v>
      </c>
      <c r="DY16" s="189"/>
      <c r="EA16" s="198"/>
      <c r="EB16" s="198"/>
      <c r="EC16" s="380">
        <v>-6099850</v>
      </c>
      <c r="ED16" s="189"/>
      <c r="EF16" s="198"/>
      <c r="EG16" s="198"/>
      <c r="EH16" s="124">
        <v>-1321490</v>
      </c>
      <c r="EI16" s="189"/>
      <c r="EK16" s="198"/>
      <c r="EL16" s="198"/>
      <c r="EM16" s="380">
        <f>SUM(CE16:DX16)</f>
        <v>1022890</v>
      </c>
      <c r="EN16" s="189"/>
      <c r="EP16" s="13"/>
      <c r="ES16" s="14"/>
      <c r="ET16" s="14">
        <f t="shared" si="0"/>
        <v>7421340</v>
      </c>
    </row>
    <row r="17" spans="3:150" x14ac:dyDescent="0.2">
      <c r="C17" s="187" t="s">
        <v>299</v>
      </c>
      <c r="D17" s="188"/>
      <c r="E17" s="369"/>
      <c r="F17" s="198"/>
      <c r="G17" s="198"/>
      <c r="H17" s="381">
        <v>21966000</v>
      </c>
      <c r="I17" s="189"/>
      <c r="K17" s="198"/>
      <c r="L17" s="198"/>
      <c r="M17" s="124">
        <v>-102350</v>
      </c>
      <c r="N17" s="189"/>
      <c r="P17" s="198"/>
      <c r="Q17" s="198"/>
      <c r="R17" s="124">
        <v>4585900</v>
      </c>
      <c r="S17" s="189"/>
      <c r="U17" s="198"/>
      <c r="V17" s="198"/>
      <c r="W17" s="124">
        <v>5164300</v>
      </c>
      <c r="X17" s="189"/>
      <c r="Z17" s="198"/>
      <c r="AA17" s="198"/>
      <c r="AB17" s="124">
        <v>4295800</v>
      </c>
      <c r="AC17" s="189"/>
      <c r="AE17" s="198"/>
      <c r="AF17" s="198"/>
      <c r="AG17" s="124">
        <v>4060000</v>
      </c>
      <c r="AH17" s="189"/>
      <c r="AJ17" s="198"/>
      <c r="AK17" s="198"/>
      <c r="AL17" s="124">
        <v>4689950</v>
      </c>
      <c r="AM17" s="189"/>
      <c r="AO17" s="198"/>
      <c r="AP17" s="198"/>
      <c r="AQ17" s="124">
        <v>1089600</v>
      </c>
      <c r="AR17" s="189"/>
      <c r="AT17" s="198"/>
      <c r="AU17" s="198"/>
      <c r="AV17" s="124">
        <v>-648800</v>
      </c>
      <c r="AW17" s="189"/>
      <c r="AY17" s="198"/>
      <c r="AZ17" s="198"/>
      <c r="BA17" s="124">
        <v>-7467800</v>
      </c>
      <c r="BB17" s="189"/>
      <c r="BD17" s="198"/>
      <c r="BE17" s="198"/>
      <c r="BF17" s="124">
        <v>0</v>
      </c>
      <c r="BG17" s="189"/>
      <c r="BI17" s="198"/>
      <c r="BJ17" s="198"/>
      <c r="BK17" s="124">
        <v>0</v>
      </c>
      <c r="BL17" s="189"/>
      <c r="BN17" s="198"/>
      <c r="BO17" s="198"/>
      <c r="BP17" s="124">
        <v>0</v>
      </c>
      <c r="BQ17" s="189"/>
      <c r="BS17" s="198"/>
      <c r="BT17" s="198"/>
      <c r="BU17" s="124">
        <f>SUM(M17:BP17)</f>
        <v>15666600</v>
      </c>
      <c r="BV17" s="189"/>
      <c r="BX17" s="198"/>
      <c r="BY17" s="198"/>
      <c r="BZ17" s="381">
        <v>-2450200</v>
      </c>
      <c r="CA17" s="189"/>
      <c r="CC17" s="198"/>
      <c r="CD17" s="198"/>
      <c r="CE17" s="124">
        <v>-934500</v>
      </c>
      <c r="CF17" s="189"/>
      <c r="CH17" s="198"/>
      <c r="CI17" s="198"/>
      <c r="CJ17" s="124">
        <v>862000</v>
      </c>
      <c r="CK17" s="189"/>
      <c r="CM17" s="198"/>
      <c r="CN17" s="198"/>
      <c r="CO17" s="124">
        <v>3843800</v>
      </c>
      <c r="CP17" s="189"/>
      <c r="CR17" s="198"/>
      <c r="CS17" s="198"/>
      <c r="CT17" s="124">
        <v>-2062500</v>
      </c>
      <c r="CU17" s="189"/>
      <c r="CW17" s="198"/>
      <c r="CX17" s="198"/>
      <c r="CY17" s="124">
        <v>725000</v>
      </c>
      <c r="CZ17" s="189"/>
      <c r="DB17" s="198"/>
      <c r="DC17" s="198"/>
      <c r="DD17" s="124">
        <v>2080000</v>
      </c>
      <c r="DE17" s="189"/>
      <c r="DG17" s="198"/>
      <c r="DH17" s="198"/>
      <c r="DI17" s="124">
        <v>1107900</v>
      </c>
      <c r="DJ17" s="189"/>
      <c r="DL17" s="198"/>
      <c r="DM17" s="198"/>
      <c r="DN17" s="124">
        <v>-2092100</v>
      </c>
      <c r="DO17" s="189"/>
      <c r="DQ17" s="198"/>
      <c r="DR17" s="198"/>
      <c r="DS17" s="124">
        <v>-2481300</v>
      </c>
      <c r="DT17" s="189"/>
      <c r="DV17" s="198"/>
      <c r="DW17" s="198"/>
      <c r="DX17" s="124">
        <v>-287500</v>
      </c>
      <c r="DY17" s="189"/>
      <c r="EA17" s="198"/>
      <c r="EB17" s="198"/>
      <c r="EC17" s="124">
        <v>-1005000</v>
      </c>
      <c r="ED17" s="189"/>
      <c r="EF17" s="198"/>
      <c r="EG17" s="198"/>
      <c r="EH17" s="124">
        <v>-2206000</v>
      </c>
      <c r="EI17" s="189"/>
      <c r="EK17" s="198"/>
      <c r="EL17" s="198"/>
      <c r="EM17" s="124">
        <f>SUM(CE17:DX17)</f>
        <v>760800</v>
      </c>
      <c r="EN17" s="189"/>
      <c r="EP17" s="13"/>
      <c r="ES17" s="14"/>
      <c r="ET17" s="14">
        <f>EM17-BZ17</f>
        <v>3211000</v>
      </c>
    </row>
    <row r="18" spans="3:150" x14ac:dyDescent="0.2">
      <c r="C18" s="187" t="s">
        <v>300</v>
      </c>
      <c r="D18" s="188"/>
      <c r="E18" s="369"/>
      <c r="F18" s="198"/>
      <c r="G18" s="198"/>
      <c r="H18" s="381">
        <v>48507000</v>
      </c>
      <c r="I18" s="189"/>
      <c r="K18" s="198"/>
      <c r="L18" s="198"/>
      <c r="M18" s="124">
        <v>830100</v>
      </c>
      <c r="N18" s="189"/>
      <c r="P18" s="198"/>
      <c r="Q18" s="198"/>
      <c r="R18" s="124">
        <v>1373600</v>
      </c>
      <c r="S18" s="189"/>
      <c r="U18" s="198"/>
      <c r="V18" s="198"/>
      <c r="W18" s="124">
        <v>1756500</v>
      </c>
      <c r="X18" s="189"/>
      <c r="Z18" s="198"/>
      <c r="AA18" s="198"/>
      <c r="AB18" s="124">
        <v>4166600</v>
      </c>
      <c r="AC18" s="189"/>
      <c r="AE18" s="198"/>
      <c r="AF18" s="198"/>
      <c r="AG18" s="124">
        <v>4360000</v>
      </c>
      <c r="AH18" s="189"/>
      <c r="AJ18" s="198"/>
      <c r="AK18" s="198"/>
      <c r="AL18" s="124">
        <v>7501300</v>
      </c>
      <c r="AM18" s="189"/>
      <c r="AO18" s="198"/>
      <c r="AP18" s="198"/>
      <c r="AQ18" s="124">
        <v>6284700</v>
      </c>
      <c r="AR18" s="189"/>
      <c r="AT18" s="198"/>
      <c r="AU18" s="198"/>
      <c r="AV18" s="124">
        <v>5731200</v>
      </c>
      <c r="AW18" s="189"/>
      <c r="AY18" s="198"/>
      <c r="AZ18" s="198"/>
      <c r="BA18" s="124">
        <v>3549100</v>
      </c>
      <c r="BB18" s="189"/>
      <c r="BD18" s="198"/>
      <c r="BE18" s="198"/>
      <c r="BF18" s="124">
        <v>3400000</v>
      </c>
      <c r="BG18" s="189"/>
      <c r="BI18" s="198"/>
      <c r="BJ18" s="198"/>
      <c r="BK18" s="124">
        <v>0</v>
      </c>
      <c r="BL18" s="189"/>
      <c r="BN18" s="198"/>
      <c r="BO18" s="198"/>
      <c r="BP18" s="124">
        <v>0</v>
      </c>
      <c r="BQ18" s="189"/>
      <c r="BS18" s="198"/>
      <c r="BT18" s="198"/>
      <c r="BU18" s="124">
        <f>SUM(M18:BP18)</f>
        <v>38953100</v>
      </c>
      <c r="BV18" s="189"/>
      <c r="BX18" s="198"/>
      <c r="BY18" s="198"/>
      <c r="BZ18" s="381">
        <v>10789400</v>
      </c>
      <c r="CA18" s="189"/>
      <c r="CC18" s="198"/>
      <c r="CD18" s="198"/>
      <c r="CE18" s="124">
        <v>1893560</v>
      </c>
      <c r="CF18" s="189"/>
      <c r="CH18" s="198"/>
      <c r="CI18" s="198"/>
      <c r="CJ18" s="124">
        <v>3478000</v>
      </c>
      <c r="CK18" s="189"/>
      <c r="CM18" s="198"/>
      <c r="CN18" s="198"/>
      <c r="CO18" s="124">
        <v>2070000</v>
      </c>
      <c r="CP18" s="189"/>
      <c r="CR18" s="198"/>
      <c r="CS18" s="198"/>
      <c r="CT18" s="124">
        <v>1500</v>
      </c>
      <c r="CU18" s="189"/>
      <c r="CW18" s="198"/>
      <c r="CX18" s="198"/>
      <c r="CY18" s="124">
        <v>1752500</v>
      </c>
      <c r="CZ18" s="189"/>
      <c r="DB18" s="198"/>
      <c r="DC18" s="198"/>
      <c r="DD18" s="124">
        <v>1409500</v>
      </c>
      <c r="DE18" s="189"/>
      <c r="DG18" s="198"/>
      <c r="DH18" s="198"/>
      <c r="DI18" s="124">
        <v>3058400</v>
      </c>
      <c r="DJ18" s="189"/>
      <c r="DL18" s="198"/>
      <c r="DM18" s="198"/>
      <c r="DN18" s="124">
        <v>2220000</v>
      </c>
      <c r="DO18" s="189"/>
      <c r="DQ18" s="198"/>
      <c r="DR18" s="198"/>
      <c r="DS18" s="124">
        <v>748700</v>
      </c>
      <c r="DT18" s="189"/>
      <c r="DV18" s="198"/>
      <c r="DW18" s="198"/>
      <c r="DX18" s="124">
        <v>-2073560</v>
      </c>
      <c r="DY18" s="189"/>
      <c r="EA18" s="198"/>
      <c r="EB18" s="198"/>
      <c r="EC18" s="124">
        <v>-1449200</v>
      </c>
      <c r="ED18" s="189"/>
      <c r="EF18" s="198"/>
      <c r="EG18" s="198"/>
      <c r="EH18" s="124">
        <v>-2320000</v>
      </c>
      <c r="EI18" s="189"/>
      <c r="EK18" s="198"/>
      <c r="EL18" s="198"/>
      <c r="EM18" s="124">
        <f>SUM(CE18:DX18)</f>
        <v>14558600</v>
      </c>
      <c r="EN18" s="189"/>
      <c r="EP18" s="13"/>
      <c r="ES18" s="14"/>
      <c r="ET18" s="14">
        <f t="shared" si="0"/>
        <v>3769200</v>
      </c>
    </row>
    <row r="19" spans="3:150" x14ac:dyDescent="0.2">
      <c r="C19" s="187" t="s">
        <v>301</v>
      </c>
      <c r="D19" s="188"/>
      <c r="E19" s="369"/>
      <c r="F19" s="198"/>
      <c r="G19" s="198"/>
      <c r="H19" s="382">
        <v>64927000</v>
      </c>
      <c r="I19" s="189"/>
      <c r="K19" s="198"/>
      <c r="L19" s="198"/>
      <c r="M19" s="213">
        <v>1681550</v>
      </c>
      <c r="N19" s="189"/>
      <c r="P19" s="198"/>
      <c r="Q19" s="198"/>
      <c r="R19" s="213">
        <v>891000</v>
      </c>
      <c r="S19" s="189"/>
      <c r="U19" s="198"/>
      <c r="V19" s="198"/>
      <c r="W19" s="213">
        <v>1610300</v>
      </c>
      <c r="X19" s="189"/>
      <c r="Z19" s="198"/>
      <c r="AA19" s="198"/>
      <c r="AB19" s="213">
        <v>6731820</v>
      </c>
      <c r="AC19" s="189"/>
      <c r="AE19" s="198"/>
      <c r="AF19" s="198"/>
      <c r="AG19" s="213">
        <v>4854500</v>
      </c>
      <c r="AH19" s="189"/>
      <c r="AJ19" s="198"/>
      <c r="AK19" s="198"/>
      <c r="AL19" s="213">
        <v>6875000</v>
      </c>
      <c r="AM19" s="189"/>
      <c r="AO19" s="198"/>
      <c r="AP19" s="198"/>
      <c r="AQ19" s="213">
        <v>4709200</v>
      </c>
      <c r="AR19" s="189"/>
      <c r="AT19" s="198"/>
      <c r="AU19" s="198"/>
      <c r="AV19" s="213">
        <v>4860000</v>
      </c>
      <c r="AW19" s="189"/>
      <c r="AY19" s="198"/>
      <c r="AZ19" s="198"/>
      <c r="BA19" s="213">
        <v>4842760</v>
      </c>
      <c r="BB19" s="189"/>
      <c r="BD19" s="198"/>
      <c r="BE19" s="198"/>
      <c r="BF19" s="213">
        <v>5475030</v>
      </c>
      <c r="BG19" s="189"/>
      <c r="BI19" s="198"/>
      <c r="BJ19" s="198"/>
      <c r="BK19" s="213">
        <v>0</v>
      </c>
      <c r="BL19" s="189"/>
      <c r="BN19" s="198"/>
      <c r="BO19" s="198"/>
      <c r="BP19" s="213">
        <v>0</v>
      </c>
      <c r="BQ19" s="189"/>
      <c r="BS19" s="198"/>
      <c r="BT19" s="198"/>
      <c r="BU19" s="213">
        <f>SUM(M19:BP19)</f>
        <v>42531160</v>
      </c>
      <c r="BV19" s="189"/>
      <c r="BX19" s="198"/>
      <c r="BY19" s="198"/>
      <c r="BZ19" s="382">
        <v>24059680</v>
      </c>
      <c r="CA19" s="189"/>
      <c r="CC19" s="198"/>
      <c r="CD19" s="198"/>
      <c r="CE19" s="213">
        <v>2870000</v>
      </c>
      <c r="CF19" s="189"/>
      <c r="CH19" s="198"/>
      <c r="CI19" s="198"/>
      <c r="CJ19" s="213">
        <v>5045000</v>
      </c>
      <c r="CK19" s="189"/>
      <c r="CM19" s="198"/>
      <c r="CN19" s="198"/>
      <c r="CO19" s="213">
        <v>3890000</v>
      </c>
      <c r="CP19" s="189"/>
      <c r="CR19" s="198"/>
      <c r="CS19" s="198"/>
      <c r="CT19" s="213">
        <v>4384680</v>
      </c>
      <c r="CU19" s="189"/>
      <c r="CW19" s="198"/>
      <c r="CX19" s="198"/>
      <c r="CY19" s="213">
        <v>3265500</v>
      </c>
      <c r="CZ19" s="189"/>
      <c r="DB19" s="198"/>
      <c r="DC19" s="198"/>
      <c r="DD19" s="213">
        <v>1810000</v>
      </c>
      <c r="DE19" s="189"/>
      <c r="DG19" s="198"/>
      <c r="DH19" s="198"/>
      <c r="DI19" s="213">
        <v>3426500</v>
      </c>
      <c r="DJ19" s="189"/>
      <c r="DL19" s="198"/>
      <c r="DM19" s="198"/>
      <c r="DN19" s="213">
        <v>1960000</v>
      </c>
      <c r="DO19" s="189"/>
      <c r="DQ19" s="198"/>
      <c r="DR19" s="198"/>
      <c r="DS19" s="213">
        <v>398000</v>
      </c>
      <c r="DT19" s="189"/>
      <c r="DV19" s="198"/>
      <c r="DW19" s="198"/>
      <c r="DX19" s="213">
        <v>-1150000</v>
      </c>
      <c r="DY19" s="189"/>
      <c r="EA19" s="198"/>
      <c r="EB19" s="198"/>
      <c r="EC19" s="213">
        <v>-920000</v>
      </c>
      <c r="ED19" s="189"/>
      <c r="EF19" s="198"/>
      <c r="EG19" s="198"/>
      <c r="EH19" s="213">
        <v>-920000</v>
      </c>
      <c r="EI19" s="189"/>
      <c r="EK19" s="198"/>
      <c r="EL19" s="198"/>
      <c r="EM19" s="213">
        <f>SUM(CE19:DX19)</f>
        <v>25899680</v>
      </c>
      <c r="EN19" s="189"/>
      <c r="EP19" s="13"/>
      <c r="ES19" s="14"/>
      <c r="ET19" s="14">
        <f t="shared" si="0"/>
        <v>1840000</v>
      </c>
    </row>
    <row r="20" spans="3:150" x14ac:dyDescent="0.2">
      <c r="C20" s="13"/>
      <c r="E20" s="369"/>
      <c r="F20" s="198"/>
      <c r="G20" s="198"/>
      <c r="I20" s="189"/>
      <c r="K20" s="198"/>
      <c r="L20" s="198"/>
      <c r="N20" s="189"/>
      <c r="P20" s="198"/>
      <c r="Q20" s="198"/>
      <c r="S20" s="189"/>
      <c r="U20" s="198"/>
      <c r="V20" s="198"/>
      <c r="X20" s="189"/>
      <c r="Z20" s="198"/>
      <c r="AA20" s="198"/>
      <c r="AC20" s="189"/>
      <c r="AE20" s="198"/>
      <c r="AF20" s="198"/>
      <c r="AH20" s="189"/>
      <c r="AJ20" s="198"/>
      <c r="AK20" s="198"/>
      <c r="AM20" s="189"/>
      <c r="AO20" s="198"/>
      <c r="AP20" s="198"/>
      <c r="AR20" s="189"/>
      <c r="AT20" s="198"/>
      <c r="AU20" s="198"/>
      <c r="AW20" s="189"/>
      <c r="AY20" s="198"/>
      <c r="AZ20" s="198"/>
      <c r="BB20" s="189"/>
      <c r="BD20" s="198"/>
      <c r="BE20" s="198"/>
      <c r="BG20" s="189"/>
      <c r="BI20" s="198"/>
      <c r="BJ20" s="198"/>
      <c r="BL20" s="189"/>
      <c r="BN20" s="198"/>
      <c r="BO20" s="198"/>
      <c r="BQ20" s="189"/>
      <c r="BS20" s="198"/>
      <c r="BT20" s="198"/>
      <c r="BV20" s="189"/>
      <c r="BX20" s="198"/>
      <c r="BY20" s="198"/>
      <c r="BZ20" s="383"/>
      <c r="CA20" s="189"/>
      <c r="CC20" s="198"/>
      <c r="CD20" s="198"/>
      <c r="CF20" s="189"/>
      <c r="CH20" s="198"/>
      <c r="CI20" s="198"/>
      <c r="CK20" s="189"/>
      <c r="CM20" s="198"/>
      <c r="CN20" s="198"/>
      <c r="CP20" s="189"/>
      <c r="CR20" s="198"/>
      <c r="CS20" s="198"/>
      <c r="CU20" s="189"/>
      <c r="CW20" s="198"/>
      <c r="CX20" s="198"/>
      <c r="CZ20" s="189"/>
      <c r="DB20" s="198"/>
      <c r="DC20" s="198"/>
      <c r="DE20" s="189"/>
      <c r="DG20" s="198"/>
      <c r="DH20" s="198"/>
      <c r="DJ20" s="189"/>
      <c r="DL20" s="198"/>
      <c r="DM20" s="198"/>
      <c r="DO20" s="189"/>
      <c r="DQ20" s="198"/>
      <c r="DR20" s="198"/>
      <c r="DT20" s="189"/>
      <c r="DV20" s="198"/>
      <c r="DW20" s="198"/>
      <c r="DY20" s="189"/>
      <c r="EA20" s="198"/>
      <c r="EB20" s="198"/>
      <c r="ED20" s="189"/>
      <c r="EF20" s="198"/>
      <c r="EG20" s="198"/>
      <c r="EI20" s="189"/>
      <c r="EK20" s="198"/>
      <c r="EL20" s="198"/>
      <c r="EN20" s="189"/>
      <c r="EP20" s="13"/>
      <c r="ES20" s="14"/>
      <c r="ET20" s="14">
        <f t="shared" si="0"/>
        <v>0</v>
      </c>
    </row>
    <row r="21" spans="3:150" x14ac:dyDescent="0.2">
      <c r="C21" s="384" t="s">
        <v>302</v>
      </c>
      <c r="D21" s="188"/>
      <c r="E21" s="369"/>
      <c r="F21" s="198"/>
      <c r="G21" s="385"/>
      <c r="H21" s="386">
        <v>0</v>
      </c>
      <c r="I21" s="212"/>
      <c r="K21" s="198"/>
      <c r="L21" s="385"/>
      <c r="M21" s="201">
        <v>34021688</v>
      </c>
      <c r="N21" s="212"/>
      <c r="P21" s="198"/>
      <c r="Q21" s="385"/>
      <c r="R21" s="201">
        <v>5878269</v>
      </c>
      <c r="S21" s="212"/>
      <c r="U21" s="198"/>
      <c r="V21" s="385"/>
      <c r="W21" s="201">
        <v>-240372</v>
      </c>
      <c r="X21" s="212"/>
      <c r="Z21" s="198"/>
      <c r="AA21" s="385"/>
      <c r="AB21" s="201">
        <v>9704957</v>
      </c>
      <c r="AC21" s="212"/>
      <c r="AE21" s="198"/>
      <c r="AF21" s="385"/>
      <c r="AG21" s="201">
        <v>-18522231</v>
      </c>
      <c r="AH21" s="212"/>
      <c r="AJ21" s="198"/>
      <c r="AK21" s="385"/>
      <c r="AL21" s="201">
        <v>-16673088</v>
      </c>
      <c r="AM21" s="212"/>
      <c r="AO21" s="198"/>
      <c r="AP21" s="385"/>
      <c r="AQ21" s="201">
        <v>18827765</v>
      </c>
      <c r="AR21" s="212"/>
      <c r="AT21" s="198"/>
      <c r="AU21" s="385"/>
      <c r="AV21" s="201">
        <v>-9220307</v>
      </c>
      <c r="AW21" s="212"/>
      <c r="AY21" s="198"/>
      <c r="AZ21" s="385"/>
      <c r="BA21" s="201">
        <v>-33532842</v>
      </c>
      <c r="BB21" s="212"/>
      <c r="BD21" s="198"/>
      <c r="BE21" s="385"/>
      <c r="BF21" s="201">
        <v>7322862</v>
      </c>
      <c r="BG21" s="212"/>
      <c r="BI21" s="198"/>
      <c r="BJ21" s="385"/>
      <c r="BK21" s="201">
        <v>0</v>
      </c>
      <c r="BL21" s="212"/>
      <c r="BN21" s="198"/>
      <c r="BO21" s="385"/>
      <c r="BP21" s="201">
        <v>0</v>
      </c>
      <c r="BQ21" s="212"/>
      <c r="BS21" s="198"/>
      <c r="BT21" s="385"/>
      <c r="BU21" s="201">
        <f>SUM(M21:BP21)</f>
        <v>-2433299</v>
      </c>
      <c r="BV21" s="212"/>
      <c r="BX21" s="198"/>
      <c r="BY21" s="385"/>
      <c r="BZ21" s="386">
        <v>10077072</v>
      </c>
      <c r="CA21" s="212"/>
      <c r="CC21" s="198"/>
      <c r="CD21" s="385"/>
      <c r="CE21" s="201">
        <v>27044095</v>
      </c>
      <c r="CF21" s="212"/>
      <c r="CH21" s="198"/>
      <c r="CI21" s="385"/>
      <c r="CJ21" s="201">
        <v>-2476072</v>
      </c>
      <c r="CK21" s="212"/>
      <c r="CM21" s="198"/>
      <c r="CN21" s="385"/>
      <c r="CO21" s="201">
        <v>8940154</v>
      </c>
      <c r="CP21" s="212"/>
      <c r="CR21" s="198"/>
      <c r="CS21" s="385"/>
      <c r="CT21" s="201">
        <v>223044</v>
      </c>
      <c r="CU21" s="212"/>
      <c r="CW21" s="198"/>
      <c r="CX21" s="385"/>
      <c r="CY21" s="201">
        <v>3920091</v>
      </c>
      <c r="CZ21" s="212"/>
      <c r="DB21" s="198"/>
      <c r="DC21" s="385"/>
      <c r="DD21" s="201">
        <v>-25322180</v>
      </c>
      <c r="DE21" s="212"/>
      <c r="DG21" s="198"/>
      <c r="DH21" s="385"/>
      <c r="DI21" s="201">
        <v>4025693</v>
      </c>
      <c r="DJ21" s="212"/>
      <c r="DL21" s="198"/>
      <c r="DM21" s="385"/>
      <c r="DN21" s="201">
        <v>4825860</v>
      </c>
      <c r="DO21" s="212"/>
      <c r="DQ21" s="198"/>
      <c r="DR21" s="385"/>
      <c r="DS21" s="201">
        <v>-10295609</v>
      </c>
      <c r="DT21" s="212"/>
      <c r="DV21" s="198"/>
      <c r="DW21" s="385"/>
      <c r="DX21" s="201">
        <v>21308011</v>
      </c>
      <c r="DY21" s="212"/>
      <c r="EA21" s="198"/>
      <c r="EB21" s="385"/>
      <c r="EC21" s="201">
        <v>6973911</v>
      </c>
      <c r="ED21" s="212"/>
      <c r="EF21" s="198"/>
      <c r="EG21" s="385"/>
      <c r="EH21" s="201">
        <v>-29089926</v>
      </c>
      <c r="EI21" s="212"/>
      <c r="EK21" s="198"/>
      <c r="EL21" s="385"/>
      <c r="EM21" s="201">
        <f>SUM(CE21:DX21)</f>
        <v>32193087</v>
      </c>
      <c r="EN21" s="212"/>
      <c r="EP21" s="13"/>
      <c r="ES21" s="14"/>
      <c r="ET21" s="14">
        <f>EM21-BZ21</f>
        <v>22116015</v>
      </c>
    </row>
    <row r="22" spans="3:150" x14ac:dyDescent="0.2">
      <c r="C22" s="13"/>
      <c r="E22" s="369"/>
      <c r="F22" s="387"/>
      <c r="G22" s="388"/>
      <c r="K22" s="198"/>
      <c r="P22" s="198"/>
      <c r="U22" s="198"/>
      <c r="Z22" s="198"/>
      <c r="AE22" s="198"/>
      <c r="AJ22" s="198"/>
      <c r="AO22" s="198"/>
      <c r="AT22" s="198"/>
      <c r="AY22" s="198"/>
      <c r="BD22" s="198"/>
      <c r="BI22" s="198"/>
      <c r="BN22" s="198"/>
      <c r="BS22" s="198"/>
      <c r="BX22" s="198"/>
      <c r="BZ22" s="383"/>
      <c r="CC22" s="198"/>
      <c r="CH22" s="198"/>
      <c r="CM22" s="198"/>
      <c r="CR22" s="198"/>
      <c r="CW22" s="198"/>
      <c r="DB22" s="198"/>
      <c r="DG22" s="198"/>
      <c r="DL22" s="198"/>
      <c r="DQ22" s="198"/>
      <c r="DV22" s="198"/>
      <c r="EA22" s="198"/>
      <c r="EF22" s="198"/>
      <c r="EK22" s="198"/>
      <c r="EP22" s="13"/>
      <c r="ES22" s="14"/>
      <c r="ET22" s="14">
        <f t="shared" si="0"/>
        <v>0</v>
      </c>
    </row>
    <row r="23" spans="3:150" s="14" customFormat="1" x14ac:dyDescent="0.2">
      <c r="C23" s="93" t="s">
        <v>303</v>
      </c>
      <c r="E23" s="370"/>
      <c r="F23" s="389"/>
      <c r="G23" s="390"/>
      <c r="H23" s="14">
        <f>H24+H30+H35+H39</f>
        <v>410035000</v>
      </c>
      <c r="K23" s="180"/>
      <c r="M23" s="14">
        <f>M24+M30+M35</f>
        <v>32850713</v>
      </c>
      <c r="P23" s="180"/>
      <c r="R23" s="14">
        <f>R24+R30+R35+R39</f>
        <v>40638036.743999995</v>
      </c>
      <c r="U23" s="180"/>
      <c r="W23" s="14">
        <f>W24+W30+W35+W39</f>
        <v>43402900</v>
      </c>
      <c r="Z23" s="180"/>
      <c r="AB23" s="14">
        <f>AB24+AB30+AB35+AB39</f>
        <v>60600922</v>
      </c>
      <c r="AE23" s="180"/>
      <c r="AG23" s="14">
        <f>AG24+AG30+AG35+AG39</f>
        <v>37229982</v>
      </c>
      <c r="AJ23" s="180"/>
      <c r="AL23" s="14">
        <f>AL24+AL30+AL35+AL39</f>
        <v>50427153</v>
      </c>
      <c r="AO23" s="180"/>
      <c r="AQ23" s="14">
        <f>AQ24+AQ30+AQ35+AQ39</f>
        <v>50571945</v>
      </c>
      <c r="AT23" s="180"/>
      <c r="AV23" s="14">
        <f>AV24+AV30+AV35+AV39</f>
        <v>39211461</v>
      </c>
      <c r="AY23" s="180"/>
      <c r="BA23" s="14">
        <f>BA24+BA30+BA35+BA39</f>
        <v>45711722</v>
      </c>
      <c r="BD23" s="180"/>
      <c r="BF23" s="14">
        <f>BF24+BF30+BF35+BF39</f>
        <v>34673258</v>
      </c>
      <c r="BI23" s="180"/>
      <c r="BK23" s="14">
        <f>BK24+BK30+BK35+BK39</f>
        <v>0</v>
      </c>
      <c r="BN23" s="180"/>
      <c r="BP23" s="14">
        <f>BP24+BP30+BP35+BP39</f>
        <v>0</v>
      </c>
      <c r="BS23" s="180"/>
      <c r="BU23" s="14">
        <f>BU24+BU30+BU35+BU39</f>
        <v>435318092.74399996</v>
      </c>
      <c r="BX23" s="180"/>
      <c r="BZ23" s="373">
        <f>BZ24+BZ30+BZ35+BZ39</f>
        <v>286021581</v>
      </c>
      <c r="CC23" s="180"/>
      <c r="CE23" s="14">
        <f>CE24+CE30+CE35+CE39</f>
        <v>19134410</v>
      </c>
      <c r="CH23" s="180"/>
      <c r="CJ23" s="14">
        <f>CJ24+CJ30+CJ35+CJ39</f>
        <v>24383035</v>
      </c>
      <c r="CM23" s="180"/>
      <c r="CO23" s="14">
        <f>CO24+CO30+CO35+CO39</f>
        <v>19205091</v>
      </c>
      <c r="CR23" s="180"/>
      <c r="CT23" s="14">
        <f>CT24+CT30+CT35+CT39</f>
        <v>22800224</v>
      </c>
      <c r="CW23" s="180"/>
      <c r="CY23" s="14">
        <f>CY24+CY30+CY35+CY39</f>
        <v>28165310</v>
      </c>
      <c r="DB23" s="180"/>
      <c r="DD23" s="14">
        <f>DD24+DD30+DD35+DD39</f>
        <v>29107369</v>
      </c>
      <c r="DG23" s="180"/>
      <c r="DI23" s="14">
        <f>DI24+DI30+DI35+DI39</f>
        <v>30927020</v>
      </c>
      <c r="DL23" s="180"/>
      <c r="DN23" s="14">
        <f>DN24+DN30+DN35+DN39</f>
        <v>30718792</v>
      </c>
      <c r="DQ23" s="180"/>
      <c r="DS23" s="14">
        <f>DS24+DS30+DS35+DS39</f>
        <v>23853310</v>
      </c>
      <c r="DV23" s="180"/>
      <c r="DX23" s="14">
        <f>DX24+DX30+DX35+DX39</f>
        <v>3150815</v>
      </c>
      <c r="EA23" s="180"/>
      <c r="EC23" s="14">
        <f>EC24+EC30+EC35+EC39</f>
        <v>29159155</v>
      </c>
      <c r="EF23" s="180"/>
      <c r="EH23" s="14">
        <f>EH24+EH30+EH35+EH39</f>
        <v>25417050</v>
      </c>
      <c r="EK23" s="180"/>
      <c r="EM23" s="14">
        <f>EM24+EM30+EM35+EM39</f>
        <v>231445376</v>
      </c>
      <c r="EP23" s="93"/>
      <c r="ET23" s="14">
        <f>EM23-BZ23</f>
        <v>-54576205</v>
      </c>
    </row>
    <row r="24" spans="3:150" x14ac:dyDescent="0.2">
      <c r="C24" s="13" t="s">
        <v>304</v>
      </c>
      <c r="E24" s="369"/>
      <c r="F24" s="387"/>
      <c r="G24" s="391"/>
      <c r="H24" s="101">
        <f>SUM(H25:H28)</f>
        <v>410035000</v>
      </c>
      <c r="I24" s="375"/>
      <c r="K24" s="198"/>
      <c r="L24" s="374"/>
      <c r="M24" s="101">
        <f>SUM(M25:M28)</f>
        <v>32850713</v>
      </c>
      <c r="N24" s="375"/>
      <c r="P24" s="198"/>
      <c r="Q24" s="374"/>
      <c r="R24" s="101">
        <f>SUM(R25:R28)</f>
        <v>40638036.743999995</v>
      </c>
      <c r="S24" s="375"/>
      <c r="U24" s="198"/>
      <c r="V24" s="374"/>
      <c r="W24" s="101">
        <f>SUM(W25:W28)</f>
        <v>43402900</v>
      </c>
      <c r="X24" s="375"/>
      <c r="Z24" s="198"/>
      <c r="AA24" s="374"/>
      <c r="AB24" s="101">
        <f>SUM(AB25:AB28)</f>
        <v>60600922</v>
      </c>
      <c r="AC24" s="375"/>
      <c r="AE24" s="198"/>
      <c r="AF24" s="374"/>
      <c r="AG24" s="101">
        <f>SUM(AG25:AG28)</f>
        <v>37229982</v>
      </c>
      <c r="AH24" s="375"/>
      <c r="AJ24" s="198"/>
      <c r="AK24" s="374"/>
      <c r="AL24" s="101">
        <f>SUM(AL25:AL28)</f>
        <v>50427153</v>
      </c>
      <c r="AM24" s="375"/>
      <c r="AO24" s="198"/>
      <c r="AP24" s="374"/>
      <c r="AQ24" s="101">
        <f>SUM(AQ25:AQ28)</f>
        <v>50571945</v>
      </c>
      <c r="AR24" s="375"/>
      <c r="AT24" s="198"/>
      <c r="AU24" s="374"/>
      <c r="AV24" s="101">
        <f>SUM(AV25:AV28)</f>
        <v>39125584</v>
      </c>
      <c r="AW24" s="375"/>
      <c r="AY24" s="198"/>
      <c r="AZ24" s="374"/>
      <c r="BA24" s="101">
        <f>SUM(BA25:BA28)</f>
        <v>45797599</v>
      </c>
      <c r="BB24" s="375"/>
      <c r="BD24" s="198"/>
      <c r="BE24" s="374"/>
      <c r="BF24" s="101">
        <f>SUM(BF25:BF28)</f>
        <v>34673258</v>
      </c>
      <c r="BG24" s="375"/>
      <c r="BI24" s="198"/>
      <c r="BJ24" s="374"/>
      <c r="BK24" s="101">
        <f>SUM(BK25:BK28)</f>
        <v>0</v>
      </c>
      <c r="BL24" s="375"/>
      <c r="BN24" s="198"/>
      <c r="BO24" s="374"/>
      <c r="BP24" s="101">
        <f>SUM(BP25:BP28)</f>
        <v>0</v>
      </c>
      <c r="BQ24" s="375"/>
      <c r="BS24" s="198"/>
      <c r="BT24" s="374"/>
      <c r="BU24" s="101">
        <f>SUM(BU25:BU28)</f>
        <v>435318092.74399996</v>
      </c>
      <c r="BV24" s="375"/>
      <c r="BX24" s="198"/>
      <c r="BY24" s="374"/>
      <c r="BZ24" s="378">
        <f>SUM(BZ25:BZ28)</f>
        <v>286310871</v>
      </c>
      <c r="CA24" s="375"/>
      <c r="CC24" s="198"/>
      <c r="CD24" s="374"/>
      <c r="CE24" s="101">
        <f>SUM(CE25:CE28)</f>
        <v>19134410</v>
      </c>
      <c r="CF24" s="375"/>
      <c r="CH24" s="198"/>
      <c r="CI24" s="374"/>
      <c r="CJ24" s="101">
        <f>SUM(CJ25:CJ28)</f>
        <v>24672325</v>
      </c>
      <c r="CK24" s="375"/>
      <c r="CM24" s="198"/>
      <c r="CN24" s="374"/>
      <c r="CO24" s="101">
        <f>SUM(CO25:CO28)</f>
        <v>19205091</v>
      </c>
      <c r="CP24" s="375"/>
      <c r="CR24" s="198"/>
      <c r="CS24" s="374"/>
      <c r="CT24" s="101">
        <f>SUM(CT25:CT28)</f>
        <v>22800224</v>
      </c>
      <c r="CU24" s="375"/>
      <c r="CW24" s="198"/>
      <c r="CX24" s="374"/>
      <c r="CY24" s="101">
        <f>SUM(CY25:CY28)</f>
        <v>28165310</v>
      </c>
      <c r="CZ24" s="375"/>
      <c r="DB24" s="198"/>
      <c r="DC24" s="374"/>
      <c r="DD24" s="101">
        <f>SUM(DD25:DD28)</f>
        <v>29107369</v>
      </c>
      <c r="DE24" s="375"/>
      <c r="DG24" s="198"/>
      <c r="DH24" s="374"/>
      <c r="DI24" s="101">
        <f>SUM(DI25:DI28)</f>
        <v>30927020</v>
      </c>
      <c r="DJ24" s="375"/>
      <c r="DL24" s="198"/>
      <c r="DM24" s="374"/>
      <c r="DN24" s="101">
        <f>SUM(DN25:DN28)</f>
        <v>30718792</v>
      </c>
      <c r="DO24" s="375"/>
      <c r="DQ24" s="198"/>
      <c r="DR24" s="374"/>
      <c r="DS24" s="101">
        <f>SUM(DS25:DS28)</f>
        <v>23853310</v>
      </c>
      <c r="DT24" s="375"/>
      <c r="DV24" s="198"/>
      <c r="DW24" s="374"/>
      <c r="DX24" s="101">
        <f>SUM(DX25:DX28)</f>
        <v>3150815</v>
      </c>
      <c r="DY24" s="375"/>
      <c r="EA24" s="198"/>
      <c r="EB24" s="374"/>
      <c r="EC24" s="101">
        <f>SUM(EC25:EC28)</f>
        <v>29159155</v>
      </c>
      <c r="ED24" s="375"/>
      <c r="EF24" s="198"/>
      <c r="EG24" s="374"/>
      <c r="EH24" s="101">
        <f>SUM(EH25:EH28)</f>
        <v>25417050</v>
      </c>
      <c r="EI24" s="375"/>
      <c r="EK24" s="198"/>
      <c r="EL24" s="374"/>
      <c r="EM24" s="101">
        <f>SUM(EM25:EM28)</f>
        <v>231734666</v>
      </c>
      <c r="EN24" s="375"/>
      <c r="EP24" s="13"/>
      <c r="ES24" s="14"/>
      <c r="ET24" s="14">
        <f>EM24-BZ24</f>
        <v>-54576205</v>
      </c>
    </row>
    <row r="25" spans="3:150" x14ac:dyDescent="0.2">
      <c r="C25" s="13" t="s">
        <v>305</v>
      </c>
      <c r="E25" s="392" t="s">
        <v>306</v>
      </c>
      <c r="F25" s="393"/>
      <c r="G25" s="393"/>
      <c r="H25" s="380">
        <f>[31]domlongtermissues!G13</f>
        <v>514767000</v>
      </c>
      <c r="I25" s="189"/>
      <c r="K25" s="198"/>
      <c r="L25" s="198"/>
      <c r="M25" s="380">
        <f>[31]domlongtermissues!L13</f>
        <v>38350619</v>
      </c>
      <c r="N25" s="189"/>
      <c r="P25" s="198"/>
      <c r="Q25" s="198"/>
      <c r="R25" s="380">
        <f>[31]domlongtermissues!Q13</f>
        <v>45031287.743999995</v>
      </c>
      <c r="S25" s="189"/>
      <c r="U25" s="198"/>
      <c r="V25" s="198"/>
      <c r="W25" s="380">
        <f>[31]domlongtermissues!V13</f>
        <v>49600848</v>
      </c>
      <c r="X25" s="189"/>
      <c r="Z25" s="198"/>
      <c r="AA25" s="198"/>
      <c r="AB25" s="380">
        <f>[31]domlongtermissues!AA13</f>
        <v>69933031</v>
      </c>
      <c r="AC25" s="189"/>
      <c r="AE25" s="198"/>
      <c r="AF25" s="198"/>
      <c r="AG25" s="380">
        <f>[31]domlongtermissues!AF13</f>
        <v>44319358</v>
      </c>
      <c r="AH25" s="189"/>
      <c r="AJ25" s="198"/>
      <c r="AK25" s="198"/>
      <c r="AL25" s="380">
        <f>[31]domlongtermissues!AK13</f>
        <v>61486843</v>
      </c>
      <c r="AM25" s="189"/>
      <c r="AO25" s="198"/>
      <c r="AP25" s="198"/>
      <c r="AQ25" s="380">
        <f>[31]domlongtermissues!AP13</f>
        <v>59931421</v>
      </c>
      <c r="AR25" s="189"/>
      <c r="AT25" s="198"/>
      <c r="AU25" s="198"/>
      <c r="AV25" s="380">
        <f>[31]domlongtermissues!AU13</f>
        <v>46634910</v>
      </c>
      <c r="AW25" s="189"/>
      <c r="AY25" s="198"/>
      <c r="AZ25" s="198"/>
      <c r="BA25" s="380">
        <f>[31]domlongtermissues!AZ13</f>
        <v>52191398</v>
      </c>
      <c r="BB25" s="189"/>
      <c r="BD25" s="198"/>
      <c r="BE25" s="198"/>
      <c r="BF25" s="380">
        <f>[31]domlongtermissues!BE13</f>
        <v>39060638</v>
      </c>
      <c r="BG25" s="189"/>
      <c r="BI25" s="198"/>
      <c r="BJ25" s="198"/>
      <c r="BK25" s="380">
        <f>[31]domlongtermissues!BJ13</f>
        <v>0</v>
      </c>
      <c r="BL25" s="189"/>
      <c r="BN25" s="198"/>
      <c r="BO25" s="198"/>
      <c r="BP25" s="380">
        <f>[31]domlongtermissues!BO13</f>
        <v>0</v>
      </c>
      <c r="BQ25" s="189"/>
      <c r="BS25" s="198"/>
      <c r="BT25" s="198"/>
      <c r="BU25" s="380">
        <f>[31]domlongtermissues!BT13</f>
        <v>506540353.74399996</v>
      </c>
      <c r="BV25" s="189"/>
      <c r="BX25" s="198"/>
      <c r="BY25" s="198"/>
      <c r="BZ25" s="379">
        <f>+[31]domlongtermissues!BY13</f>
        <v>335517549</v>
      </c>
      <c r="CA25" s="189"/>
      <c r="CC25" s="198"/>
      <c r="CD25" s="198"/>
      <c r="CE25" s="380">
        <f>[31]domlongtermissues!CD13</f>
        <v>20725876</v>
      </c>
      <c r="CF25" s="189"/>
      <c r="CH25" s="198"/>
      <c r="CI25" s="198"/>
      <c r="CJ25" s="380">
        <f>[31]domlongtermissues!CI13</f>
        <v>26579251</v>
      </c>
      <c r="CK25" s="189"/>
      <c r="CM25" s="198"/>
      <c r="CN25" s="198"/>
      <c r="CO25" s="380">
        <f>[31]domlongtermissues!CN13</f>
        <v>21124207</v>
      </c>
      <c r="CP25" s="189"/>
      <c r="CR25" s="198"/>
      <c r="CS25" s="198"/>
      <c r="CT25" s="380">
        <f>[31]domlongtermissues!CS13</f>
        <v>24760828</v>
      </c>
      <c r="CU25" s="189"/>
      <c r="CW25" s="198"/>
      <c r="CX25" s="198"/>
      <c r="CY25" s="380">
        <f>[31]domlongtermissues!CX13</f>
        <v>30904734</v>
      </c>
      <c r="CZ25" s="189"/>
      <c r="DB25" s="198"/>
      <c r="DC25" s="198"/>
      <c r="DD25" s="380">
        <f>[31]domlongtermissues!DC13</f>
        <v>32089447</v>
      </c>
      <c r="DE25" s="189"/>
      <c r="DG25" s="198"/>
      <c r="DH25" s="198"/>
      <c r="DI25" s="380">
        <f>[31]domlongtermissues!DH13</f>
        <v>33970885</v>
      </c>
      <c r="DJ25" s="189"/>
      <c r="DL25" s="198"/>
      <c r="DM25" s="198"/>
      <c r="DN25" s="380">
        <f>[31]domlongtermissues!DM13</f>
        <v>34588835</v>
      </c>
      <c r="DO25" s="189"/>
      <c r="DQ25" s="198"/>
      <c r="DR25" s="198"/>
      <c r="DS25" s="380">
        <f>[31]domlongtermissues!DR13</f>
        <v>26476333</v>
      </c>
      <c r="DT25" s="189"/>
      <c r="DV25" s="198"/>
      <c r="DW25" s="198"/>
      <c r="DX25" s="380">
        <f>[31]domlongtermissues!DW13</f>
        <v>21562772</v>
      </c>
      <c r="DY25" s="189"/>
      <c r="EA25" s="198"/>
      <c r="EB25" s="198"/>
      <c r="EC25" s="380">
        <f>[31]domlongtermissues!EB13</f>
        <v>32267535</v>
      </c>
      <c r="ED25" s="189"/>
      <c r="EF25" s="198"/>
      <c r="EG25" s="198"/>
      <c r="EH25" s="380">
        <f>[31]domlongtermissues!EG13</f>
        <v>30466846</v>
      </c>
      <c r="EI25" s="189"/>
      <c r="EK25" s="198"/>
      <c r="EL25" s="198"/>
      <c r="EM25" s="380">
        <f>[31]domlongtermissues!EL13</f>
        <v>272783168</v>
      </c>
      <c r="EN25" s="189"/>
      <c r="EP25" s="13"/>
      <c r="ES25" s="14"/>
      <c r="ET25" s="14">
        <f>EM25-BZ25</f>
        <v>-62734381</v>
      </c>
    </row>
    <row r="26" spans="3:150" x14ac:dyDescent="0.2">
      <c r="C26" s="13" t="s">
        <v>307</v>
      </c>
      <c r="E26" s="392" t="s">
        <v>306</v>
      </c>
      <c r="F26" s="393"/>
      <c r="G26" s="393"/>
      <c r="H26" s="124">
        <f>-[31]domlongtermissues!G20</f>
        <v>-52267000</v>
      </c>
      <c r="I26" s="189"/>
      <c r="K26" s="198"/>
      <c r="L26" s="198"/>
      <c r="M26" s="124">
        <f>-[31]domlongtermissues!L20</f>
        <v>-4299769</v>
      </c>
      <c r="N26" s="189"/>
      <c r="P26" s="198"/>
      <c r="Q26" s="198"/>
      <c r="R26" s="124">
        <f>-[31]domlongtermissues!Q20</f>
        <v>-4058204</v>
      </c>
      <c r="S26" s="189"/>
      <c r="U26" s="198"/>
      <c r="V26" s="198"/>
      <c r="W26" s="124">
        <f>-[31]domlongtermissues!V20</f>
        <v>-6085389</v>
      </c>
      <c r="X26" s="189"/>
      <c r="Z26" s="198"/>
      <c r="AA26" s="198"/>
      <c r="AB26" s="124">
        <f>-[31]domlongtermissues!AA20</f>
        <v>-8992564</v>
      </c>
      <c r="AC26" s="189"/>
      <c r="AE26" s="198"/>
      <c r="AF26" s="198"/>
      <c r="AG26" s="124">
        <f>-[31]domlongtermissues!AF20</f>
        <v>-6877121</v>
      </c>
      <c r="AH26" s="189"/>
      <c r="AJ26" s="198"/>
      <c r="AK26" s="198"/>
      <c r="AL26" s="124">
        <f>-[31]domlongtermissues!AK20</f>
        <v>-10836667</v>
      </c>
      <c r="AM26" s="189"/>
      <c r="AO26" s="198"/>
      <c r="AP26" s="198"/>
      <c r="AQ26" s="124">
        <f>-[31]domlongtermissues!AP20</f>
        <v>-9026146</v>
      </c>
      <c r="AR26" s="189"/>
      <c r="AT26" s="198"/>
      <c r="AU26" s="198"/>
      <c r="AV26" s="124">
        <f>-[31]domlongtermissues!AU20</f>
        <v>-7195171</v>
      </c>
      <c r="AW26" s="189"/>
      <c r="AY26" s="198"/>
      <c r="AZ26" s="198"/>
      <c r="BA26" s="124">
        <f>-[31]domlongtermissues!AZ20</f>
        <v>-6333842</v>
      </c>
      <c r="BB26" s="189"/>
      <c r="BD26" s="198"/>
      <c r="BE26" s="198"/>
      <c r="BF26" s="124">
        <f>-[31]domlongtermissues!BE20</f>
        <v>-3989426</v>
      </c>
      <c r="BG26" s="189"/>
      <c r="BI26" s="198"/>
      <c r="BJ26" s="198"/>
      <c r="BK26" s="124">
        <f>-[31]domlongtermissues!BJ20</f>
        <v>0</v>
      </c>
      <c r="BL26" s="189"/>
      <c r="BN26" s="198"/>
      <c r="BO26" s="198"/>
      <c r="BP26" s="124">
        <f>-[31]domlongtermissues!BO20</f>
        <v>0</v>
      </c>
      <c r="BQ26" s="189"/>
      <c r="BS26" s="198"/>
      <c r="BT26" s="198"/>
      <c r="BU26" s="124">
        <f>-[31]domlongtermissues!BT20</f>
        <v>-67694299</v>
      </c>
      <c r="BV26" s="189"/>
      <c r="BX26" s="198"/>
      <c r="BY26" s="198"/>
      <c r="BZ26" s="381">
        <f>-[31]domlongtermissues!BY20</f>
        <v>-29779023</v>
      </c>
      <c r="CA26" s="189"/>
      <c r="CC26" s="198"/>
      <c r="CD26" s="198"/>
      <c r="CE26" s="124">
        <f>-[31]domlongtermissues!CD20</f>
        <v>-1256954</v>
      </c>
      <c r="CF26" s="189"/>
      <c r="CH26" s="198"/>
      <c r="CI26" s="198"/>
      <c r="CJ26" s="124">
        <f>-[31]domlongtermissues!CI20</f>
        <v>-1652532</v>
      </c>
      <c r="CK26" s="189"/>
      <c r="CM26" s="198"/>
      <c r="CN26" s="198"/>
      <c r="CO26" s="124">
        <f>-[31]domlongtermissues!CN20</f>
        <v>-1668026</v>
      </c>
      <c r="CP26" s="189"/>
      <c r="CR26" s="198"/>
      <c r="CS26" s="198"/>
      <c r="CT26" s="124">
        <f>-[31]domlongtermissues!CS20</f>
        <v>-1721005</v>
      </c>
      <c r="CU26" s="189"/>
      <c r="CW26" s="198"/>
      <c r="CX26" s="198"/>
      <c r="CY26" s="124">
        <f>-[31]domlongtermissues!CX20</f>
        <v>-2422421</v>
      </c>
      <c r="CZ26" s="189"/>
      <c r="DB26" s="198"/>
      <c r="DC26" s="198"/>
      <c r="DD26" s="124">
        <f>-[31]domlongtermissues!DC20</f>
        <v>-2517677</v>
      </c>
      <c r="DE26" s="189"/>
      <c r="DG26" s="198"/>
      <c r="DH26" s="198"/>
      <c r="DI26" s="124">
        <f>-[31]domlongtermissues!DH20</f>
        <v>-2852893</v>
      </c>
      <c r="DJ26" s="189"/>
      <c r="DL26" s="198"/>
      <c r="DM26" s="198"/>
      <c r="DN26" s="124">
        <f>-[31]domlongtermissues!DM20</f>
        <v>-3497342</v>
      </c>
      <c r="DO26" s="189"/>
      <c r="DQ26" s="198"/>
      <c r="DR26" s="198"/>
      <c r="DS26" s="124">
        <f>-[31]domlongtermissues!DR20</f>
        <v>-2287072</v>
      </c>
      <c r="DT26" s="189"/>
      <c r="DV26" s="198"/>
      <c r="DW26" s="198"/>
      <c r="DX26" s="124">
        <f>-[31]domlongtermissues!DW20</f>
        <v>-2282238</v>
      </c>
      <c r="DY26" s="189"/>
      <c r="EA26" s="198"/>
      <c r="EB26" s="198"/>
      <c r="EC26" s="124">
        <f>-[31]domlongtermissues!EB20</f>
        <v>-2868557</v>
      </c>
      <c r="ED26" s="189"/>
      <c r="EF26" s="198"/>
      <c r="EG26" s="198"/>
      <c r="EH26" s="124">
        <f>-[31]domlongtermissues!EG20</f>
        <v>-4752306</v>
      </c>
      <c r="EI26" s="189"/>
      <c r="EK26" s="198"/>
      <c r="EL26" s="198"/>
      <c r="EM26" s="124">
        <f>-[31]domlongtermissues!EL20</f>
        <v>-22158160</v>
      </c>
      <c r="EN26" s="189"/>
      <c r="EP26" s="13"/>
      <c r="ES26" s="14"/>
      <c r="ET26" s="14">
        <f>EM26-BZ26</f>
        <v>7620863</v>
      </c>
    </row>
    <row r="27" spans="3:150" x14ac:dyDescent="0.2">
      <c r="C27" s="13" t="s">
        <v>308</v>
      </c>
      <c r="E27" s="392" t="s">
        <v>309</v>
      </c>
      <c r="F27" s="393"/>
      <c r="G27" s="393"/>
      <c r="H27" s="213">
        <f>-[31]domredemp!G13</f>
        <v>-52465000</v>
      </c>
      <c r="I27" s="189"/>
      <c r="K27" s="198"/>
      <c r="L27" s="198"/>
      <c r="M27" s="124">
        <f>-[31]domredemp!L13</f>
        <v>-1200137</v>
      </c>
      <c r="N27" s="189"/>
      <c r="P27" s="198"/>
      <c r="Q27" s="198"/>
      <c r="R27" s="124">
        <f>-[31]domredemp!Q13</f>
        <v>-335047</v>
      </c>
      <c r="S27" s="189"/>
      <c r="U27" s="198"/>
      <c r="V27" s="198"/>
      <c r="W27" s="124">
        <f>-[31]domredemp!V13</f>
        <v>-112559</v>
      </c>
      <c r="X27" s="189"/>
      <c r="Z27" s="198"/>
      <c r="AA27" s="198"/>
      <c r="AB27" s="124">
        <f>-[31]domredemp!AA13</f>
        <v>-339545</v>
      </c>
      <c r="AC27" s="189"/>
      <c r="AE27" s="198"/>
      <c r="AF27" s="198"/>
      <c r="AG27" s="124">
        <f>-[31]domredemp!AF13</f>
        <v>-212255</v>
      </c>
      <c r="AH27" s="189"/>
      <c r="AJ27" s="198"/>
      <c r="AK27" s="198"/>
      <c r="AL27" s="124">
        <f>-[31]domredemp!AK13</f>
        <v>-223023</v>
      </c>
      <c r="AM27" s="189"/>
      <c r="AO27" s="198"/>
      <c r="AP27" s="198"/>
      <c r="AQ27" s="213">
        <f>-[31]domredemp!AP13</f>
        <v>-333330</v>
      </c>
      <c r="AR27" s="189"/>
      <c r="AT27" s="198"/>
      <c r="AU27" s="198"/>
      <c r="AV27" s="213">
        <f>-[31]domredemp!AU13</f>
        <v>-314155</v>
      </c>
      <c r="AW27" s="189"/>
      <c r="AY27" s="198"/>
      <c r="AZ27" s="198"/>
      <c r="BA27" s="213">
        <f>-[31]domredemp!AZ13</f>
        <v>-59957</v>
      </c>
      <c r="BB27" s="189"/>
      <c r="BD27" s="198"/>
      <c r="BE27" s="198"/>
      <c r="BF27" s="213">
        <f>-[31]domredemp!BE13</f>
        <v>-397954</v>
      </c>
      <c r="BG27" s="189"/>
      <c r="BI27" s="198"/>
      <c r="BJ27" s="198"/>
      <c r="BK27" s="124">
        <f>-[31]domredemp!BJ13</f>
        <v>0</v>
      </c>
      <c r="BL27" s="189"/>
      <c r="BN27" s="198"/>
      <c r="BO27" s="198"/>
      <c r="BP27" s="124">
        <f>-[31]domredemp!BO13</f>
        <v>0</v>
      </c>
      <c r="BQ27" s="189"/>
      <c r="BS27" s="198"/>
      <c r="BT27" s="198"/>
      <c r="BU27" s="213">
        <f>-[31]domredemp!BT13</f>
        <v>-3527962</v>
      </c>
      <c r="BV27" s="189"/>
      <c r="BX27" s="198"/>
      <c r="BY27" s="198"/>
      <c r="BZ27" s="382">
        <f>-[31]domredemp!BY13</f>
        <v>-19427655</v>
      </c>
      <c r="CA27" s="189"/>
      <c r="CC27" s="198"/>
      <c r="CD27" s="198"/>
      <c r="CE27" s="124">
        <f>-[31]domredemp!CD13</f>
        <v>-334512</v>
      </c>
      <c r="CF27" s="189"/>
      <c r="CH27" s="198"/>
      <c r="CI27" s="198"/>
      <c r="CJ27" s="124">
        <f>-[31]domredemp!CI13</f>
        <v>-254394</v>
      </c>
      <c r="CK27" s="189"/>
      <c r="CM27" s="198"/>
      <c r="CN27" s="198"/>
      <c r="CO27" s="124">
        <f>-[31]domredemp!CN13</f>
        <v>-251090</v>
      </c>
      <c r="CP27" s="189"/>
      <c r="CR27" s="198"/>
      <c r="CS27" s="198"/>
      <c r="CT27" s="124">
        <f>-[31]domredemp!CS13</f>
        <v>-239599</v>
      </c>
      <c r="CU27" s="189"/>
      <c r="CW27" s="198"/>
      <c r="CX27" s="198"/>
      <c r="CY27" s="124">
        <f>-[31]domredemp!CX13</f>
        <v>-317003</v>
      </c>
      <c r="CZ27" s="189"/>
      <c r="DB27" s="198"/>
      <c r="DC27" s="198"/>
      <c r="DD27" s="124">
        <f>-[31]domredemp!DC13</f>
        <v>-464401</v>
      </c>
      <c r="DE27" s="189"/>
      <c r="DG27" s="198"/>
      <c r="DH27" s="198"/>
      <c r="DI27" s="124">
        <f>-[31]domredemp!DH13</f>
        <v>-190972</v>
      </c>
      <c r="DJ27" s="189"/>
      <c r="DL27" s="198"/>
      <c r="DM27" s="198"/>
      <c r="DN27" s="213">
        <f>-[31]domredemp!DM13</f>
        <v>-372701</v>
      </c>
      <c r="DO27" s="189"/>
      <c r="DQ27" s="198"/>
      <c r="DR27" s="198"/>
      <c r="DS27" s="382">
        <f>-[31]domredemp!DR13</f>
        <v>-335951</v>
      </c>
      <c r="DT27" s="189"/>
      <c r="DV27" s="198"/>
      <c r="DW27" s="198"/>
      <c r="DX27" s="213">
        <f>-[31]domredemp!DW13</f>
        <v>-16129719</v>
      </c>
      <c r="DY27" s="189"/>
      <c r="EA27" s="198"/>
      <c r="EB27" s="198"/>
      <c r="EC27" s="124">
        <f>-[31]domredemp!EB13</f>
        <v>-239823</v>
      </c>
      <c r="ED27" s="189"/>
      <c r="EF27" s="198"/>
      <c r="EG27" s="198"/>
      <c r="EH27" s="124">
        <f>-[31]domredemp!EG13</f>
        <v>-297490</v>
      </c>
      <c r="EI27" s="189"/>
      <c r="EK27" s="198"/>
      <c r="EL27" s="198"/>
      <c r="EM27" s="213">
        <f>-[31]domredemp!EL13</f>
        <v>-18890342</v>
      </c>
      <c r="EN27" s="189"/>
      <c r="EP27" s="13"/>
      <c r="ES27" s="14"/>
      <c r="ET27" s="14">
        <f t="shared" si="0"/>
        <v>537313</v>
      </c>
    </row>
    <row r="28" spans="3:150" hidden="1" x14ac:dyDescent="0.2">
      <c r="C28" s="13" t="s">
        <v>310</v>
      </c>
      <c r="E28" s="392">
        <v>4.2</v>
      </c>
      <c r="F28" s="393"/>
      <c r="G28" s="393"/>
      <c r="H28" s="213">
        <f>-[31]domredemp!G16+[31]domredemp!G124</f>
        <v>0</v>
      </c>
      <c r="I28" s="189"/>
      <c r="K28" s="198"/>
      <c r="L28" s="198"/>
      <c r="M28" s="213">
        <f>-[31]domredemp!L16+[31]domredemp!L124</f>
        <v>0</v>
      </c>
      <c r="N28" s="189"/>
      <c r="P28" s="198"/>
      <c r="Q28" s="198"/>
      <c r="R28" s="213">
        <f>-[31]domredemp!Q16+[31]domredemp!Q124</f>
        <v>0</v>
      </c>
      <c r="S28" s="189"/>
      <c r="U28" s="198"/>
      <c r="V28" s="198"/>
      <c r="W28" s="213">
        <f>-[31]domredemp!V16+[31]domredemp!V124</f>
        <v>0</v>
      </c>
      <c r="X28" s="189"/>
      <c r="Z28" s="198"/>
      <c r="AA28" s="198"/>
      <c r="AB28" s="213">
        <f>-[31]domredemp!AA16+[31]domredemp!AA124</f>
        <v>0</v>
      </c>
      <c r="AC28" s="189"/>
      <c r="AE28" s="198"/>
      <c r="AF28" s="198"/>
      <c r="AG28" s="213">
        <f>-[31]domredemp!AF16+[31]domredemp!AF124</f>
        <v>0</v>
      </c>
      <c r="AH28" s="189"/>
      <c r="AJ28" s="198"/>
      <c r="AK28" s="198"/>
      <c r="AL28" s="213">
        <f>-[31]domredemp!AK16+[31]domredemp!AK124</f>
        <v>0</v>
      </c>
      <c r="AM28" s="189"/>
      <c r="AO28" s="198"/>
      <c r="AP28" s="198"/>
      <c r="AQ28" s="213">
        <f>-[31]domredemp!AP16+[31]domredemp!AP124</f>
        <v>0</v>
      </c>
      <c r="AR28" s="189"/>
      <c r="AT28" s="198"/>
      <c r="AU28" s="198"/>
      <c r="AV28" s="213">
        <f>-[31]domredemp!AU16+[31]domredemp!AU124</f>
        <v>0</v>
      </c>
      <c r="AW28" s="189"/>
      <c r="AY28" s="198"/>
      <c r="AZ28" s="198"/>
      <c r="BA28" s="213">
        <f>-[31]domredemp!AZ16+[31]domredemp!AZ124</f>
        <v>0</v>
      </c>
      <c r="BB28" s="189"/>
      <c r="BD28" s="198"/>
      <c r="BE28" s="198"/>
      <c r="BF28" s="213">
        <f>-[31]domredemp!BE16+[31]domredemp!BE124</f>
        <v>0</v>
      </c>
      <c r="BG28" s="189"/>
      <c r="BI28" s="198"/>
      <c r="BJ28" s="198"/>
      <c r="BK28" s="213">
        <f>-[31]domredemp!BJ16+[31]domredemp!BJ124</f>
        <v>0</v>
      </c>
      <c r="BL28" s="189"/>
      <c r="BN28" s="198"/>
      <c r="BO28" s="198"/>
      <c r="BP28" s="213">
        <f>-[31]domredemp!BO16+[31]domredemp!BO124</f>
        <v>0</v>
      </c>
      <c r="BQ28" s="189"/>
      <c r="BS28" s="198"/>
      <c r="BT28" s="198"/>
      <c r="BU28" s="213">
        <f>-[31]domredemp!BT16+[31]domredemp!BT124</f>
        <v>0</v>
      </c>
      <c r="BV28" s="189"/>
      <c r="BX28" s="198"/>
      <c r="BY28" s="198"/>
      <c r="BZ28" s="382">
        <v>0</v>
      </c>
      <c r="CA28" s="189"/>
      <c r="CC28" s="198"/>
      <c r="CD28" s="198"/>
      <c r="CE28" s="213">
        <f>-[31]domredemp!CD16+[31]domredemp!CD124</f>
        <v>0</v>
      </c>
      <c r="CF28" s="189"/>
      <c r="CH28" s="198"/>
      <c r="CI28" s="198"/>
      <c r="CJ28" s="213">
        <f>-[31]domredemp!CI16+[31]domredemp!CI124</f>
        <v>0</v>
      </c>
      <c r="CK28" s="189"/>
      <c r="CM28" s="198"/>
      <c r="CN28" s="198"/>
      <c r="CO28" s="213">
        <f>-[31]domredemp!CN16+[31]domredemp!CN124</f>
        <v>0</v>
      </c>
      <c r="CP28" s="189"/>
      <c r="CR28" s="198"/>
      <c r="CS28" s="198"/>
      <c r="CT28" s="213">
        <f>-[31]domredemp!CS16+[31]domredemp!CS124</f>
        <v>0</v>
      </c>
      <c r="CU28" s="189"/>
      <c r="CW28" s="198"/>
      <c r="CX28" s="198"/>
      <c r="CY28" s="213">
        <f>-[31]domredemp!CX16+[31]domredemp!CX124</f>
        <v>0</v>
      </c>
      <c r="CZ28" s="189"/>
      <c r="DB28" s="198"/>
      <c r="DC28" s="198"/>
      <c r="DD28" s="213">
        <f>-[31]domredemp!DC16+[31]domredemp!DC124</f>
        <v>0</v>
      </c>
      <c r="DE28" s="189"/>
      <c r="DG28" s="198"/>
      <c r="DH28" s="198"/>
      <c r="DI28" s="213">
        <f>-[31]domredemp!DH16+[31]domredemp!DH124</f>
        <v>0</v>
      </c>
      <c r="DJ28" s="189"/>
      <c r="DL28" s="198"/>
      <c r="DM28" s="198"/>
      <c r="DN28" s="213">
        <f>-[31]domredemp!DM16+[31]domredemp!DM124</f>
        <v>0</v>
      </c>
      <c r="DO28" s="189"/>
      <c r="DQ28" s="198"/>
      <c r="DR28" s="198"/>
      <c r="DS28" s="213">
        <f>-[31]domredemp!DR16+[31]domredemp!DR124</f>
        <v>0</v>
      </c>
      <c r="DT28" s="189"/>
      <c r="DV28" s="198"/>
      <c r="DW28" s="198"/>
      <c r="DX28" s="213">
        <f>-[31]domredemp!DW16+[31]domredemp!DW124</f>
        <v>0</v>
      </c>
      <c r="DY28" s="189"/>
      <c r="EA28" s="198"/>
      <c r="EB28" s="198"/>
      <c r="EC28" s="213">
        <f>-[31]domredemp!EB16+[31]domredemp!EB124</f>
        <v>0</v>
      </c>
      <c r="ED28" s="189"/>
      <c r="EF28" s="198"/>
      <c r="EG28" s="198"/>
      <c r="EH28" s="213">
        <f>-[31]domredemp!EG16+[31]domredemp!EG124</f>
        <v>0</v>
      </c>
      <c r="EI28" s="189"/>
      <c r="EK28" s="198"/>
      <c r="EL28" s="198"/>
      <c r="EM28" s="213">
        <f>-[31]domredemp!EL16+[31]domredemp!EL124</f>
        <v>0</v>
      </c>
      <c r="EN28" s="189"/>
      <c r="EP28" s="13"/>
      <c r="ES28" s="14"/>
      <c r="ET28" s="14">
        <f t="shared" si="0"/>
        <v>0</v>
      </c>
    </row>
    <row r="29" spans="3:150" x14ac:dyDescent="0.2">
      <c r="C29" s="13"/>
      <c r="E29" s="394"/>
      <c r="F29" s="395"/>
      <c r="G29" s="395"/>
      <c r="I29" s="189"/>
      <c r="K29" s="198"/>
      <c r="L29" s="198"/>
      <c r="N29" s="189"/>
      <c r="P29" s="198"/>
      <c r="Q29" s="198"/>
      <c r="R29" s="101"/>
      <c r="S29" s="189"/>
      <c r="U29" s="198"/>
      <c r="V29" s="198"/>
      <c r="W29" s="101"/>
      <c r="X29" s="189"/>
      <c r="Z29" s="198"/>
      <c r="AA29" s="198"/>
      <c r="AB29" s="101"/>
      <c r="AC29" s="189"/>
      <c r="AE29" s="198"/>
      <c r="AF29" s="198"/>
      <c r="AG29" s="101"/>
      <c r="AH29" s="189"/>
      <c r="AJ29" s="198"/>
      <c r="AK29" s="198"/>
      <c r="AM29" s="189"/>
      <c r="AO29" s="198"/>
      <c r="AP29" s="198"/>
      <c r="AR29" s="189"/>
      <c r="AT29" s="198"/>
      <c r="AU29" s="198"/>
      <c r="AW29" s="189"/>
      <c r="AY29" s="198"/>
      <c r="AZ29" s="198"/>
      <c r="BB29" s="189"/>
      <c r="BD29" s="198"/>
      <c r="BE29" s="198"/>
      <c r="BG29" s="189"/>
      <c r="BI29" s="198"/>
      <c r="BJ29" s="198"/>
      <c r="BL29" s="189"/>
      <c r="BN29" s="198"/>
      <c r="BO29" s="198"/>
      <c r="BQ29" s="189"/>
      <c r="BS29" s="198"/>
      <c r="BT29" s="198"/>
      <c r="BV29" s="189"/>
      <c r="BX29" s="198"/>
      <c r="BY29" s="198"/>
      <c r="BZ29" s="383"/>
      <c r="CA29" s="189"/>
      <c r="CC29" s="198"/>
      <c r="CD29" s="198"/>
      <c r="CF29" s="189"/>
      <c r="CH29" s="198"/>
      <c r="CI29" s="198"/>
      <c r="CK29" s="189"/>
      <c r="CM29" s="198"/>
      <c r="CN29" s="198"/>
      <c r="CO29" s="101"/>
      <c r="CP29" s="189"/>
      <c r="CR29" s="198"/>
      <c r="CS29" s="198"/>
      <c r="CT29" s="101"/>
      <c r="CU29" s="189"/>
      <c r="CW29" s="198"/>
      <c r="CX29" s="198"/>
      <c r="CY29" s="101"/>
      <c r="CZ29" s="189"/>
      <c r="DB29" s="198"/>
      <c r="DC29" s="198"/>
      <c r="DE29" s="189"/>
      <c r="DG29" s="198"/>
      <c r="DH29" s="198"/>
      <c r="DJ29" s="189"/>
      <c r="DL29" s="198"/>
      <c r="DM29" s="198"/>
      <c r="DO29" s="189"/>
      <c r="DQ29" s="198"/>
      <c r="DR29" s="198"/>
      <c r="DT29" s="189"/>
      <c r="DV29" s="198"/>
      <c r="DW29" s="198"/>
      <c r="DY29" s="189"/>
      <c r="EA29" s="198"/>
      <c r="EB29" s="198"/>
      <c r="ED29" s="189"/>
      <c r="EF29" s="198"/>
      <c r="EG29" s="198"/>
      <c r="EI29" s="189"/>
      <c r="EK29" s="198"/>
      <c r="EL29" s="198"/>
      <c r="EN29" s="189"/>
      <c r="EP29" s="13"/>
      <c r="ES29" s="14"/>
      <c r="ET29" s="14">
        <f t="shared" si="0"/>
        <v>0</v>
      </c>
    </row>
    <row r="30" spans="3:150" x14ac:dyDescent="0.2">
      <c r="C30" s="13" t="s">
        <v>311</v>
      </c>
      <c r="E30" s="394"/>
      <c r="F30" s="395"/>
      <c r="G30" s="395"/>
      <c r="H30" s="1">
        <f>SUM(H31:H33)</f>
        <v>0</v>
      </c>
      <c r="I30" s="189"/>
      <c r="K30" s="198"/>
      <c r="L30" s="198"/>
      <c r="M30" s="1">
        <f>SUM(M31:M33)</f>
        <v>0</v>
      </c>
      <c r="N30" s="189"/>
      <c r="P30" s="198"/>
      <c r="Q30" s="198"/>
      <c r="R30" s="1">
        <f>SUM(R31:R33)</f>
        <v>0</v>
      </c>
      <c r="S30" s="189"/>
      <c r="U30" s="198"/>
      <c r="V30" s="198"/>
      <c r="W30" s="1">
        <f>SUM(W31:W33)</f>
        <v>0</v>
      </c>
      <c r="X30" s="189"/>
      <c r="Z30" s="198"/>
      <c r="AA30" s="198"/>
      <c r="AB30" s="1">
        <f>SUM(AB31:AB33)</f>
        <v>0</v>
      </c>
      <c r="AC30" s="189"/>
      <c r="AE30" s="198"/>
      <c r="AF30" s="198"/>
      <c r="AG30" s="1">
        <f>SUM(AG31:AG33)</f>
        <v>0</v>
      </c>
      <c r="AH30" s="189"/>
      <c r="AJ30" s="198"/>
      <c r="AK30" s="198"/>
      <c r="AL30" s="1">
        <f>SUM(AL31:AL33)</f>
        <v>0</v>
      </c>
      <c r="AM30" s="189"/>
      <c r="AO30" s="198"/>
      <c r="AP30" s="198"/>
      <c r="AQ30" s="1">
        <f>SUM(AQ31:AQ33)</f>
        <v>0</v>
      </c>
      <c r="AR30" s="189"/>
      <c r="AT30" s="198"/>
      <c r="AU30" s="198"/>
      <c r="AV30" s="1">
        <f>SUM(AV31:AV33)</f>
        <v>0</v>
      </c>
      <c r="AW30" s="189"/>
      <c r="AY30" s="198"/>
      <c r="AZ30" s="198"/>
      <c r="BA30" s="1">
        <f>SUM(BA31:BA33)</f>
        <v>0</v>
      </c>
      <c r="BB30" s="189"/>
      <c r="BD30" s="198"/>
      <c r="BE30" s="198"/>
      <c r="BF30" s="1">
        <f>SUM(BF31:BF33)</f>
        <v>0</v>
      </c>
      <c r="BG30" s="189"/>
      <c r="BI30" s="198"/>
      <c r="BJ30" s="198"/>
      <c r="BK30" s="1">
        <f>SUM(BK31:BK33)</f>
        <v>0</v>
      </c>
      <c r="BL30" s="189"/>
      <c r="BN30" s="198"/>
      <c r="BO30" s="198"/>
      <c r="BP30" s="1">
        <f>SUM(BP31:BP33)</f>
        <v>0</v>
      </c>
      <c r="BQ30" s="189"/>
      <c r="BS30" s="198"/>
      <c r="BT30" s="198"/>
      <c r="BU30" s="1">
        <f>SUM(BU31:BU33)</f>
        <v>0</v>
      </c>
      <c r="BV30" s="189"/>
      <c r="BX30" s="198"/>
      <c r="BY30" s="198"/>
      <c r="BZ30" s="383">
        <f>SUM(BZ31:BZ33)</f>
        <v>-289290</v>
      </c>
      <c r="CA30" s="189"/>
      <c r="CC30" s="198"/>
      <c r="CD30" s="198"/>
      <c r="CE30" s="1">
        <f>SUM(CE31:CE33)</f>
        <v>0</v>
      </c>
      <c r="CF30" s="189"/>
      <c r="CH30" s="198"/>
      <c r="CI30" s="198"/>
      <c r="CJ30" s="1">
        <f>SUM(CJ31:CJ33)</f>
        <v>-289290</v>
      </c>
      <c r="CK30" s="189"/>
      <c r="CM30" s="198"/>
      <c r="CN30" s="198"/>
      <c r="CO30" s="1">
        <f>SUM(CO31:CO33)</f>
        <v>0</v>
      </c>
      <c r="CP30" s="189"/>
      <c r="CR30" s="198"/>
      <c r="CS30" s="198"/>
      <c r="CT30" s="1">
        <f>SUM(CT31:CT33)</f>
        <v>0</v>
      </c>
      <c r="CU30" s="189"/>
      <c r="CW30" s="198"/>
      <c r="CX30" s="198"/>
      <c r="CY30" s="1">
        <f>SUM(CY31:CY33)</f>
        <v>0</v>
      </c>
      <c r="CZ30" s="189"/>
      <c r="DB30" s="198"/>
      <c r="DC30" s="198"/>
      <c r="DD30" s="1">
        <f>SUM(DD31:DD33)</f>
        <v>0</v>
      </c>
      <c r="DE30" s="189"/>
      <c r="DG30" s="198"/>
      <c r="DH30" s="198"/>
      <c r="DI30" s="1">
        <f>SUM(DI31:DI33)</f>
        <v>0</v>
      </c>
      <c r="DJ30" s="189"/>
      <c r="DL30" s="198"/>
      <c r="DM30" s="198"/>
      <c r="DN30" s="1">
        <f>SUM(DN31:DN33)</f>
        <v>0</v>
      </c>
      <c r="DO30" s="189"/>
      <c r="DQ30" s="198"/>
      <c r="DR30" s="198"/>
      <c r="DS30" s="1">
        <f>SUM(DS31:DS33)</f>
        <v>0</v>
      </c>
      <c r="DT30" s="189"/>
      <c r="DV30" s="198"/>
      <c r="DW30" s="198"/>
      <c r="DX30" s="1">
        <f>SUM(DX31:DX33)</f>
        <v>0</v>
      </c>
      <c r="DY30" s="189"/>
      <c r="EA30" s="198"/>
      <c r="EB30" s="198"/>
      <c r="EC30" s="1">
        <f>SUM(EC31:EC33)</f>
        <v>0</v>
      </c>
      <c r="ED30" s="189"/>
      <c r="EF30" s="198"/>
      <c r="EG30" s="198"/>
      <c r="EH30" s="1">
        <f>SUM(EH31:EH33)</f>
        <v>0</v>
      </c>
      <c r="EI30" s="189"/>
      <c r="EK30" s="198"/>
      <c r="EL30" s="198"/>
      <c r="EM30" s="1">
        <f>SUM(EM31:EM33)</f>
        <v>-289290</v>
      </c>
      <c r="EN30" s="189"/>
      <c r="EP30" s="13"/>
      <c r="ES30" s="14"/>
      <c r="ET30" s="14">
        <f t="shared" si="0"/>
        <v>0</v>
      </c>
    </row>
    <row r="31" spans="3:150" x14ac:dyDescent="0.2">
      <c r="C31" s="13" t="s">
        <v>312</v>
      </c>
      <c r="E31" s="392" t="s">
        <v>306</v>
      </c>
      <c r="F31" s="393"/>
      <c r="G31" s="393"/>
      <c r="H31" s="380">
        <f>[31]domlongtermissues!G14</f>
        <v>0</v>
      </c>
      <c r="I31" s="189"/>
      <c r="K31" s="198"/>
      <c r="L31" s="198"/>
      <c r="M31" s="380">
        <f>[31]domlongtermissues!L14</f>
        <v>0</v>
      </c>
      <c r="N31" s="189"/>
      <c r="P31" s="198"/>
      <c r="Q31" s="198"/>
      <c r="R31" s="380">
        <f>[31]domlongtermissues!Q14</f>
        <v>0</v>
      </c>
      <c r="S31" s="189"/>
      <c r="U31" s="198"/>
      <c r="V31" s="198"/>
      <c r="W31" s="380">
        <f>[31]domlongtermissues!V14</f>
        <v>0</v>
      </c>
      <c r="X31" s="189"/>
      <c r="Z31" s="198"/>
      <c r="AA31" s="198"/>
      <c r="AB31" s="380">
        <f>[31]domlongtermissues!AA14</f>
        <v>0</v>
      </c>
      <c r="AC31" s="189"/>
      <c r="AE31" s="198"/>
      <c r="AF31" s="198"/>
      <c r="AG31" s="380">
        <f>[31]domlongtermissues!AF14</f>
        <v>0</v>
      </c>
      <c r="AH31" s="189"/>
      <c r="AJ31" s="198"/>
      <c r="AK31" s="198"/>
      <c r="AL31" s="380">
        <f>[31]domlongtermissues!AK14</f>
        <v>0</v>
      </c>
      <c r="AM31" s="189"/>
      <c r="AO31" s="198"/>
      <c r="AP31" s="198"/>
      <c r="AQ31" s="380">
        <f>[31]domlongtermissues!AP14</f>
        <v>0</v>
      </c>
      <c r="AR31" s="189"/>
      <c r="AT31" s="198"/>
      <c r="AU31" s="198"/>
      <c r="AV31" s="380">
        <f>[31]domlongtermissues!AU14</f>
        <v>0</v>
      </c>
      <c r="AW31" s="189"/>
      <c r="AY31" s="198"/>
      <c r="AZ31" s="198"/>
      <c r="BA31" s="380">
        <f>[31]domlongtermissues!AZ14</f>
        <v>0</v>
      </c>
      <c r="BB31" s="189"/>
      <c r="BD31" s="198"/>
      <c r="BE31" s="198"/>
      <c r="BF31" s="380">
        <f>[31]domlongtermissues!BE14</f>
        <v>0</v>
      </c>
      <c r="BG31" s="189"/>
      <c r="BI31" s="198"/>
      <c r="BJ31" s="198"/>
      <c r="BK31" s="380">
        <f>[31]domlongtermissues!BJ14</f>
        <v>0</v>
      </c>
      <c r="BL31" s="189"/>
      <c r="BN31" s="198"/>
      <c r="BO31" s="198"/>
      <c r="BP31" s="380">
        <f>[31]domlongtermissues!BO14</f>
        <v>0</v>
      </c>
      <c r="BQ31" s="189"/>
      <c r="BS31" s="198"/>
      <c r="BT31" s="198"/>
      <c r="BU31" s="380">
        <f>[31]domlongtermissues!BT14</f>
        <v>0</v>
      </c>
      <c r="BV31" s="189"/>
      <c r="BX31" s="198"/>
      <c r="BY31" s="198"/>
      <c r="BZ31" s="379">
        <f>+[31]domlongtermissues!BY14</f>
        <v>14152656</v>
      </c>
      <c r="CA31" s="189"/>
      <c r="CC31" s="198"/>
      <c r="CD31" s="198"/>
      <c r="CE31" s="380">
        <f>[31]domlongtermissues!CD14</f>
        <v>0</v>
      </c>
      <c r="CF31" s="189"/>
      <c r="CH31" s="198"/>
      <c r="CI31" s="198"/>
      <c r="CJ31" s="380">
        <f>[31]domlongtermissues!CI14</f>
        <v>14152656</v>
      </c>
      <c r="CK31" s="189"/>
      <c r="CM31" s="198"/>
      <c r="CN31" s="198"/>
      <c r="CO31" s="380">
        <f>[31]domlongtermissues!CN14</f>
        <v>0</v>
      </c>
      <c r="CP31" s="189"/>
      <c r="CR31" s="198"/>
      <c r="CS31" s="198"/>
      <c r="CT31" s="380">
        <f>[31]domlongtermissues!CS14</f>
        <v>0</v>
      </c>
      <c r="CU31" s="189"/>
      <c r="CW31" s="198"/>
      <c r="CX31" s="198"/>
      <c r="CY31" s="380">
        <f>[31]domlongtermissues!CX14</f>
        <v>0</v>
      </c>
      <c r="CZ31" s="189"/>
      <c r="DB31" s="198"/>
      <c r="DC31" s="198"/>
      <c r="DD31" s="380">
        <f>[31]domlongtermissues!DC14</f>
        <v>0</v>
      </c>
      <c r="DE31" s="189"/>
      <c r="DG31" s="198"/>
      <c r="DH31" s="198"/>
      <c r="DI31" s="380">
        <f>[31]domlongtermissues!DH14</f>
        <v>0</v>
      </c>
      <c r="DJ31" s="189"/>
      <c r="DL31" s="198"/>
      <c r="DM31" s="198"/>
      <c r="DN31" s="380">
        <f>[31]domlongtermissues!DM14</f>
        <v>0</v>
      </c>
      <c r="DO31" s="189"/>
      <c r="DQ31" s="198"/>
      <c r="DR31" s="198"/>
      <c r="DS31" s="380">
        <f>[31]domlongtermissues!DR14</f>
        <v>0</v>
      </c>
      <c r="DT31" s="189"/>
      <c r="DV31" s="198"/>
      <c r="DW31" s="198"/>
      <c r="DX31" s="380">
        <f>[31]domlongtermissues!DW14</f>
        <v>0</v>
      </c>
      <c r="DY31" s="189"/>
      <c r="EA31" s="198"/>
      <c r="EB31" s="198"/>
      <c r="EC31" s="380">
        <f>[31]domlongtermissues!EB14</f>
        <v>0</v>
      </c>
      <c r="ED31" s="189"/>
      <c r="EF31" s="198"/>
      <c r="EG31" s="198"/>
      <c r="EH31" s="380">
        <f>[31]domlongtermissues!EG14</f>
        <v>0</v>
      </c>
      <c r="EI31" s="189"/>
      <c r="EK31" s="198"/>
      <c r="EL31" s="198"/>
      <c r="EM31" s="380">
        <f>[31]domlongtermissues!EL14</f>
        <v>14152656</v>
      </c>
      <c r="EN31" s="189"/>
      <c r="EP31" s="13"/>
      <c r="ES31" s="14"/>
      <c r="ET31" s="14">
        <f t="shared" si="0"/>
        <v>0</v>
      </c>
    </row>
    <row r="32" spans="3:150" x14ac:dyDescent="0.2">
      <c r="C32" s="13" t="s">
        <v>313</v>
      </c>
      <c r="E32" s="392" t="s">
        <v>306</v>
      </c>
      <c r="F32" s="393"/>
      <c r="G32" s="393"/>
      <c r="H32" s="124">
        <f>-[31]domlongtermissues!G217</f>
        <v>0</v>
      </c>
      <c r="I32" s="189"/>
      <c r="K32" s="198"/>
      <c r="L32" s="198"/>
      <c r="M32" s="124">
        <f>-[31]domlongtermissues!L217</f>
        <v>0</v>
      </c>
      <c r="N32" s="189"/>
      <c r="P32" s="198"/>
      <c r="Q32" s="198"/>
      <c r="R32" s="124">
        <f>-[31]domlongtermissues!Q217</f>
        <v>0</v>
      </c>
      <c r="S32" s="189"/>
      <c r="U32" s="198"/>
      <c r="V32" s="198"/>
      <c r="W32" s="124">
        <f>-[31]domlongtermissues!V217</f>
        <v>0</v>
      </c>
      <c r="X32" s="189"/>
      <c r="Z32" s="198"/>
      <c r="AA32" s="198"/>
      <c r="AB32" s="124">
        <f>-[31]domlongtermissues!AA217</f>
        <v>0</v>
      </c>
      <c r="AC32" s="189"/>
      <c r="AE32" s="198"/>
      <c r="AF32" s="198"/>
      <c r="AG32" s="124">
        <f>-[31]domlongtermissues!AF217</f>
        <v>0</v>
      </c>
      <c r="AH32" s="189"/>
      <c r="AJ32" s="198"/>
      <c r="AK32" s="198"/>
      <c r="AL32" s="124">
        <f>-[31]domlongtermissues!AK217</f>
        <v>0</v>
      </c>
      <c r="AM32" s="189"/>
      <c r="AO32" s="198"/>
      <c r="AP32" s="198"/>
      <c r="AQ32" s="124">
        <f>-[31]domlongtermissues!AP217</f>
        <v>0</v>
      </c>
      <c r="AR32" s="189"/>
      <c r="AT32" s="198"/>
      <c r="AU32" s="198"/>
      <c r="AV32" s="124">
        <f>-[31]domlongtermissues!AU217</f>
        <v>0</v>
      </c>
      <c r="AW32" s="189"/>
      <c r="AY32" s="198"/>
      <c r="AZ32" s="198"/>
      <c r="BA32" s="124">
        <f>-[31]domlongtermissues!AZ217</f>
        <v>0</v>
      </c>
      <c r="BB32" s="189"/>
      <c r="BD32" s="198"/>
      <c r="BE32" s="198"/>
      <c r="BF32" s="124">
        <f>-[31]domlongtermissues!BE217</f>
        <v>0</v>
      </c>
      <c r="BG32" s="189"/>
      <c r="BI32" s="198"/>
      <c r="BJ32" s="198"/>
      <c r="BK32" s="124">
        <f>-[31]domlongtermissues!BJ217</f>
        <v>0</v>
      </c>
      <c r="BL32" s="189"/>
      <c r="BN32" s="198"/>
      <c r="BO32" s="198"/>
      <c r="BP32" s="124">
        <f>-[31]domlongtermissues!BO217</f>
        <v>0</v>
      </c>
      <c r="BQ32" s="189"/>
      <c r="BS32" s="198"/>
      <c r="BT32" s="198"/>
      <c r="BU32" s="124">
        <f>-[31]domlongtermissues!BT217</f>
        <v>0</v>
      </c>
      <c r="BV32" s="189"/>
      <c r="BX32" s="198"/>
      <c r="BY32" s="198"/>
      <c r="BZ32" s="381">
        <f>-[31]domlongtermissues!BY217</f>
        <v>-1646946</v>
      </c>
      <c r="CA32" s="189"/>
      <c r="CC32" s="198"/>
      <c r="CD32" s="198"/>
      <c r="CE32" s="124">
        <f>-[31]domlongtermissues!CD217</f>
        <v>0</v>
      </c>
      <c r="CF32" s="189"/>
      <c r="CH32" s="198"/>
      <c r="CI32" s="198"/>
      <c r="CJ32" s="124">
        <f>-[31]domlongtermissues!CI217</f>
        <v>-1646946</v>
      </c>
      <c r="CK32" s="189"/>
      <c r="CM32" s="198"/>
      <c r="CN32" s="198"/>
      <c r="CO32" s="124">
        <f>-[31]domlongtermissues!CN217</f>
        <v>0</v>
      </c>
      <c r="CP32" s="189"/>
      <c r="CR32" s="198"/>
      <c r="CS32" s="198"/>
      <c r="CT32" s="124">
        <f>-[31]domlongtermissues!CS217</f>
        <v>0</v>
      </c>
      <c r="CU32" s="189"/>
      <c r="CW32" s="198"/>
      <c r="CX32" s="198"/>
      <c r="CY32" s="124">
        <f>-[31]domlongtermissues!CX217</f>
        <v>0</v>
      </c>
      <c r="CZ32" s="189"/>
      <c r="DB32" s="198"/>
      <c r="DC32" s="198"/>
      <c r="DD32" s="124">
        <f>-[31]domlongtermissues!DC217</f>
        <v>0</v>
      </c>
      <c r="DE32" s="189"/>
      <c r="DG32" s="198"/>
      <c r="DH32" s="198"/>
      <c r="DI32" s="124">
        <f>-[31]domlongtermissues!DH217</f>
        <v>0</v>
      </c>
      <c r="DJ32" s="189"/>
      <c r="DL32" s="198"/>
      <c r="DM32" s="198"/>
      <c r="DN32" s="124">
        <f>-[31]domlongtermissues!DM217</f>
        <v>0</v>
      </c>
      <c r="DO32" s="189"/>
      <c r="DQ32" s="198"/>
      <c r="DR32" s="198"/>
      <c r="DS32" s="124">
        <f>-[31]domlongtermissues!DR217</f>
        <v>0</v>
      </c>
      <c r="DT32" s="189"/>
      <c r="DV32" s="198"/>
      <c r="DW32" s="198"/>
      <c r="DX32" s="124">
        <f>-[31]domlongtermissues!DW217</f>
        <v>0</v>
      </c>
      <c r="DY32" s="189"/>
      <c r="EA32" s="198"/>
      <c r="EB32" s="198"/>
      <c r="EC32" s="124">
        <f>-[31]domlongtermissues!EB217</f>
        <v>0</v>
      </c>
      <c r="ED32" s="189"/>
      <c r="EF32" s="198"/>
      <c r="EG32" s="198"/>
      <c r="EH32" s="124">
        <f>-[31]domlongtermissues!EG217</f>
        <v>0</v>
      </c>
      <c r="EI32" s="189"/>
      <c r="EK32" s="198"/>
      <c r="EL32" s="198"/>
      <c r="EM32" s="124">
        <f>-[31]domlongtermissues!EL217</f>
        <v>-1646946</v>
      </c>
      <c r="EN32" s="189"/>
      <c r="EP32" s="13"/>
      <c r="ES32" s="14"/>
      <c r="ET32" s="14">
        <f t="shared" si="0"/>
        <v>0</v>
      </c>
    </row>
    <row r="33" spans="3:150" x14ac:dyDescent="0.2">
      <c r="C33" s="13" t="s">
        <v>314</v>
      </c>
      <c r="E33" s="392" t="s">
        <v>309</v>
      </c>
      <c r="F33" s="393"/>
      <c r="G33" s="393"/>
      <c r="H33" s="213">
        <f>-[31]domredemp!G14+[31]domredemp!G32</f>
        <v>0</v>
      </c>
      <c r="I33" s="189"/>
      <c r="K33" s="198"/>
      <c r="L33" s="198"/>
      <c r="M33" s="213">
        <f>-[31]domredemp!L14+[31]domredemp!L32</f>
        <v>0</v>
      </c>
      <c r="N33" s="189"/>
      <c r="P33" s="198"/>
      <c r="Q33" s="198"/>
      <c r="R33" s="213">
        <f>-[31]domredemp!Q14+[31]domredemp!Q32</f>
        <v>0</v>
      </c>
      <c r="S33" s="189"/>
      <c r="U33" s="198"/>
      <c r="V33" s="198"/>
      <c r="W33" s="213">
        <f>-[31]domredemp!V14+[31]domredemp!V32</f>
        <v>0</v>
      </c>
      <c r="X33" s="189"/>
      <c r="Z33" s="198"/>
      <c r="AA33" s="198"/>
      <c r="AB33" s="213">
        <f>-[31]domredemp!AA14+[31]domredemp!AA32</f>
        <v>0</v>
      </c>
      <c r="AC33" s="189"/>
      <c r="AE33" s="198"/>
      <c r="AF33" s="198"/>
      <c r="AG33" s="213">
        <f>-[31]domredemp!AF14+[31]domredemp!AF32</f>
        <v>0</v>
      </c>
      <c r="AH33" s="189"/>
      <c r="AJ33" s="198"/>
      <c r="AK33" s="198"/>
      <c r="AL33" s="213">
        <f>-[31]domredemp!AK14+[31]domredemp!AK32</f>
        <v>0</v>
      </c>
      <c r="AM33" s="189"/>
      <c r="AO33" s="198"/>
      <c r="AP33" s="198"/>
      <c r="AQ33" s="213">
        <f>-[31]domredemp!AP14+[31]domredemp!AP32</f>
        <v>0</v>
      </c>
      <c r="AR33" s="189"/>
      <c r="AT33" s="198"/>
      <c r="AU33" s="198"/>
      <c r="AV33" s="213">
        <f>-[31]domredemp!AU14+[31]domredemp!AU32</f>
        <v>0</v>
      </c>
      <c r="AW33" s="189"/>
      <c r="AY33" s="198"/>
      <c r="AZ33" s="198"/>
      <c r="BA33" s="213">
        <f>-[31]domredemp!AZ14+[31]domredemp!AZ32</f>
        <v>0</v>
      </c>
      <c r="BB33" s="189"/>
      <c r="BD33" s="198"/>
      <c r="BE33" s="198"/>
      <c r="BF33" s="213">
        <f>-[31]domredemp!BE14+[31]domredemp!BE32</f>
        <v>0</v>
      </c>
      <c r="BG33" s="189"/>
      <c r="BI33" s="198"/>
      <c r="BJ33" s="198"/>
      <c r="BK33" s="213">
        <f>-[31]domredemp!BJ14+[31]domredemp!BJ32</f>
        <v>0</v>
      </c>
      <c r="BL33" s="189"/>
      <c r="BN33" s="198"/>
      <c r="BO33" s="198"/>
      <c r="BP33" s="213">
        <f>-[31]domredemp!BO14+[31]domredemp!BO32</f>
        <v>0</v>
      </c>
      <c r="BQ33" s="189"/>
      <c r="BS33" s="198"/>
      <c r="BT33" s="198"/>
      <c r="BU33" s="213">
        <f>-[31]domredemp!BT14+[31]domredemp!BT32</f>
        <v>0</v>
      </c>
      <c r="BV33" s="189"/>
      <c r="BX33" s="198"/>
      <c r="BY33" s="198"/>
      <c r="BZ33" s="382">
        <f>-[31]domredemp!BY14+[31]domredemp!BY32</f>
        <v>-12795000</v>
      </c>
      <c r="CA33" s="189"/>
      <c r="CC33" s="198"/>
      <c r="CD33" s="198"/>
      <c r="CE33" s="213">
        <f>-[31]domredemp!CD14+[31]domredemp!CD32</f>
        <v>0</v>
      </c>
      <c r="CF33" s="189"/>
      <c r="CH33" s="198"/>
      <c r="CI33" s="198"/>
      <c r="CJ33" s="213">
        <f>-[31]domredemp!CI14+[31]domredemp!CI32</f>
        <v>-12795000</v>
      </c>
      <c r="CK33" s="189"/>
      <c r="CM33" s="198"/>
      <c r="CN33" s="198"/>
      <c r="CO33" s="213">
        <f>-[31]domredemp!CN14+[31]domredemp!CN32</f>
        <v>0</v>
      </c>
      <c r="CP33" s="189"/>
      <c r="CR33" s="198"/>
      <c r="CS33" s="198"/>
      <c r="CT33" s="213">
        <f>-[31]domredemp!CS14+[31]domredemp!CS32</f>
        <v>0</v>
      </c>
      <c r="CU33" s="189"/>
      <c r="CW33" s="198"/>
      <c r="CX33" s="198"/>
      <c r="CY33" s="213">
        <f>-[31]domredemp!CX14+[31]domredemp!CX32</f>
        <v>0</v>
      </c>
      <c r="CZ33" s="189"/>
      <c r="DB33" s="198"/>
      <c r="DC33" s="198"/>
      <c r="DD33" s="213">
        <f>-[31]domredemp!DC14+[31]domredemp!DC32</f>
        <v>0</v>
      </c>
      <c r="DE33" s="189"/>
      <c r="DG33" s="198"/>
      <c r="DH33" s="198"/>
      <c r="DI33" s="213">
        <f>-[31]domredemp!DH14+[31]domredemp!DH32</f>
        <v>0</v>
      </c>
      <c r="DJ33" s="189"/>
      <c r="DL33" s="198"/>
      <c r="DM33" s="198"/>
      <c r="DN33" s="213">
        <f>-[31]domredemp!DM14+[31]domredemp!DM32</f>
        <v>0</v>
      </c>
      <c r="DO33" s="189"/>
      <c r="DQ33" s="198"/>
      <c r="DR33" s="198"/>
      <c r="DS33" s="213">
        <f>-[31]domredemp!DR14+[31]domredemp!DR32</f>
        <v>0</v>
      </c>
      <c r="DT33" s="189"/>
      <c r="DV33" s="198"/>
      <c r="DW33" s="198"/>
      <c r="DX33" s="213">
        <f>-[31]domredemp!DW14+[31]domredemp!DW32</f>
        <v>0</v>
      </c>
      <c r="DY33" s="189"/>
      <c r="EA33" s="198"/>
      <c r="EB33" s="198"/>
      <c r="EC33" s="213">
        <f>-[31]domredemp!EB14+[31]domredemp!EB32</f>
        <v>0</v>
      </c>
      <c r="ED33" s="189"/>
      <c r="EF33" s="198"/>
      <c r="EG33" s="198"/>
      <c r="EH33" s="213">
        <f>-[31]domredemp!EG14+[31]domredemp!EG32</f>
        <v>0</v>
      </c>
      <c r="EI33" s="189"/>
      <c r="EK33" s="198"/>
      <c r="EL33" s="198"/>
      <c r="EM33" s="213">
        <f>-[31]domredemp!EL14+[31]domredemp!EL32</f>
        <v>-12795000</v>
      </c>
      <c r="EN33" s="189"/>
      <c r="EP33" s="13"/>
      <c r="ES33" s="14"/>
      <c r="ET33" s="14">
        <f t="shared" si="0"/>
        <v>0</v>
      </c>
    </row>
    <row r="34" spans="3:150" x14ac:dyDescent="0.2">
      <c r="C34" s="13"/>
      <c r="E34" s="392"/>
      <c r="F34" s="393"/>
      <c r="G34" s="393"/>
      <c r="I34" s="189"/>
      <c r="K34" s="198"/>
      <c r="L34" s="198"/>
      <c r="N34" s="189"/>
      <c r="P34" s="198"/>
      <c r="Q34" s="198"/>
      <c r="S34" s="189"/>
      <c r="U34" s="198"/>
      <c r="V34" s="198"/>
      <c r="X34" s="189"/>
      <c r="Z34" s="198"/>
      <c r="AA34" s="198"/>
      <c r="AC34" s="189"/>
      <c r="AE34" s="198"/>
      <c r="AF34" s="198"/>
      <c r="AH34" s="189"/>
      <c r="AJ34" s="198"/>
      <c r="AK34" s="198"/>
      <c r="AM34" s="189"/>
      <c r="AO34" s="198"/>
      <c r="AP34" s="198"/>
      <c r="AR34" s="189"/>
      <c r="AT34" s="198"/>
      <c r="AU34" s="198"/>
      <c r="AW34" s="189"/>
      <c r="AY34" s="198"/>
      <c r="AZ34" s="198"/>
      <c r="BB34" s="189"/>
      <c r="BD34" s="198"/>
      <c r="BE34" s="198"/>
      <c r="BG34" s="189"/>
      <c r="BI34" s="198"/>
      <c r="BJ34" s="198"/>
      <c r="BL34" s="189"/>
      <c r="BN34" s="198"/>
      <c r="BO34" s="198"/>
      <c r="BQ34" s="189"/>
      <c r="BS34" s="198"/>
      <c r="BT34" s="198"/>
      <c r="BV34" s="189"/>
      <c r="BX34" s="198"/>
      <c r="BY34" s="198"/>
      <c r="BZ34" s="383"/>
      <c r="CA34" s="189"/>
      <c r="CC34" s="198"/>
      <c r="CD34" s="198"/>
      <c r="CF34" s="189"/>
      <c r="CH34" s="198"/>
      <c r="CI34" s="198"/>
      <c r="CK34" s="189"/>
      <c r="CM34" s="198"/>
      <c r="CN34" s="198"/>
      <c r="CP34" s="189"/>
      <c r="CR34" s="198"/>
      <c r="CS34" s="198"/>
      <c r="CU34" s="189"/>
      <c r="CW34" s="198"/>
      <c r="CX34" s="198"/>
      <c r="CZ34" s="189"/>
      <c r="DB34" s="198"/>
      <c r="DC34" s="198"/>
      <c r="DE34" s="189"/>
      <c r="DG34" s="198"/>
      <c r="DH34" s="198"/>
      <c r="DJ34" s="189"/>
      <c r="DL34" s="198"/>
      <c r="DM34" s="198"/>
      <c r="DO34" s="189"/>
      <c r="DQ34" s="198"/>
      <c r="DR34" s="198"/>
      <c r="DT34" s="189"/>
      <c r="DV34" s="198"/>
      <c r="DW34" s="198"/>
      <c r="DY34" s="189"/>
      <c r="EA34" s="198"/>
      <c r="EB34" s="198"/>
      <c r="ED34" s="189"/>
      <c r="EF34" s="198"/>
      <c r="EG34" s="198"/>
      <c r="EI34" s="189"/>
      <c r="EK34" s="198"/>
      <c r="EL34" s="198"/>
      <c r="EN34" s="189"/>
      <c r="EP34" s="13"/>
      <c r="ES34" s="14"/>
      <c r="ET34" s="14">
        <f t="shared" si="0"/>
        <v>0</v>
      </c>
    </row>
    <row r="35" spans="3:150" x14ac:dyDescent="0.2">
      <c r="C35" s="13" t="s">
        <v>315</v>
      </c>
      <c r="E35" s="394"/>
      <c r="F35" s="395"/>
      <c r="G35" s="395"/>
      <c r="H35" s="1">
        <f>SUM(H36:H37)</f>
        <v>0</v>
      </c>
      <c r="I35" s="189"/>
      <c r="K35" s="198"/>
      <c r="L35" s="198"/>
      <c r="M35" s="1">
        <f>SUM(M36:M37)</f>
        <v>0</v>
      </c>
      <c r="N35" s="189"/>
      <c r="P35" s="198"/>
      <c r="Q35" s="198"/>
      <c r="R35" s="1">
        <f>SUM(R36:R37)</f>
        <v>0</v>
      </c>
      <c r="S35" s="189"/>
      <c r="U35" s="198"/>
      <c r="V35" s="198"/>
      <c r="W35" s="1">
        <f>SUM(W36:W37)</f>
        <v>0</v>
      </c>
      <c r="X35" s="189"/>
      <c r="Z35" s="198"/>
      <c r="AA35" s="198"/>
      <c r="AB35" s="1">
        <f>SUM(AB36:AB37)</f>
        <v>0</v>
      </c>
      <c r="AC35" s="189"/>
      <c r="AE35" s="198"/>
      <c r="AF35" s="198"/>
      <c r="AG35" s="1">
        <f>SUM(AG36:AG37)</f>
        <v>0</v>
      </c>
      <c r="AH35" s="189"/>
      <c r="AJ35" s="198"/>
      <c r="AK35" s="198"/>
      <c r="AL35" s="1">
        <f>SUM(AL36:AL37)</f>
        <v>0</v>
      </c>
      <c r="AM35" s="189"/>
      <c r="AO35" s="198"/>
      <c r="AP35" s="198"/>
      <c r="AQ35" s="1">
        <f>SUM(AQ36:AQ37)</f>
        <v>0</v>
      </c>
      <c r="AR35" s="189"/>
      <c r="AT35" s="198"/>
      <c r="AU35" s="198"/>
      <c r="AV35" s="1">
        <f>SUM(AV36:AV37)</f>
        <v>85877</v>
      </c>
      <c r="AW35" s="189"/>
      <c r="AY35" s="198"/>
      <c r="AZ35" s="198"/>
      <c r="BA35" s="1">
        <f>SUM(BA36:BA37)</f>
        <v>-85877</v>
      </c>
      <c r="BB35" s="189"/>
      <c r="BD35" s="198"/>
      <c r="BE35" s="198"/>
      <c r="BF35" s="1">
        <f>SUM(BF36:BF37)</f>
        <v>0</v>
      </c>
      <c r="BG35" s="189"/>
      <c r="BI35" s="198"/>
      <c r="BJ35" s="198"/>
      <c r="BK35" s="1">
        <f>SUM(BK36:BK37)</f>
        <v>0</v>
      </c>
      <c r="BL35" s="189"/>
      <c r="BN35" s="198"/>
      <c r="BO35" s="198"/>
      <c r="BP35" s="1">
        <f>SUM(BP36:BP37)</f>
        <v>0</v>
      </c>
      <c r="BQ35" s="189"/>
      <c r="BS35" s="198"/>
      <c r="BT35" s="198"/>
      <c r="BU35" s="1">
        <f>SUM(BU36:BU37)</f>
        <v>0</v>
      </c>
      <c r="BV35" s="189"/>
      <c r="BX35" s="198"/>
      <c r="BY35" s="198"/>
      <c r="BZ35" s="383">
        <f>SUM(BZ36:BZ37)</f>
        <v>0</v>
      </c>
      <c r="CA35" s="189"/>
      <c r="CC35" s="198"/>
      <c r="CD35" s="198"/>
      <c r="CE35" s="1">
        <f>SUM(CE36:CE37)</f>
        <v>0</v>
      </c>
      <c r="CF35" s="189"/>
      <c r="CH35" s="198"/>
      <c r="CI35" s="198"/>
      <c r="CJ35" s="1">
        <f>SUM(CJ36:CJ37)</f>
        <v>0</v>
      </c>
      <c r="CK35" s="189"/>
      <c r="CM35" s="198"/>
      <c r="CN35" s="198"/>
      <c r="CO35" s="1">
        <f>SUM(CO36:CO37)</f>
        <v>0</v>
      </c>
      <c r="CP35" s="189"/>
      <c r="CR35" s="198"/>
      <c r="CS35" s="198"/>
      <c r="CT35" s="1">
        <f>SUM(CT36:CT37)</f>
        <v>0</v>
      </c>
      <c r="CU35" s="189"/>
      <c r="CW35" s="198"/>
      <c r="CX35" s="198"/>
      <c r="CY35" s="1">
        <f>SUM(CY36:CY37)</f>
        <v>0</v>
      </c>
      <c r="CZ35" s="189"/>
      <c r="DB35" s="198"/>
      <c r="DC35" s="198"/>
      <c r="DD35" s="1">
        <f>SUM(DD36:DD37)</f>
        <v>0</v>
      </c>
      <c r="DE35" s="189"/>
      <c r="DG35" s="198"/>
      <c r="DH35" s="198"/>
      <c r="DI35" s="1">
        <f>SUM(DI36:DI37)</f>
        <v>0</v>
      </c>
      <c r="DJ35" s="189"/>
      <c r="DL35" s="198"/>
      <c r="DM35" s="198"/>
      <c r="DN35" s="1">
        <f>SUM(DN36:DN37)</f>
        <v>0</v>
      </c>
      <c r="DO35" s="189"/>
      <c r="DQ35" s="198"/>
      <c r="DR35" s="198"/>
      <c r="DS35" s="1">
        <f>SUM(DS36:DS37)</f>
        <v>0</v>
      </c>
      <c r="DT35" s="189"/>
      <c r="DV35" s="198"/>
      <c r="DW35" s="198"/>
      <c r="DX35" s="1">
        <f>SUM(DX36:DX37)</f>
        <v>0</v>
      </c>
      <c r="DY35" s="189"/>
      <c r="EA35" s="198"/>
      <c r="EB35" s="198"/>
      <c r="EC35" s="1">
        <f>SUM(EC36:EC37)</f>
        <v>0</v>
      </c>
      <c r="ED35" s="189"/>
      <c r="EF35" s="198"/>
      <c r="EG35" s="198"/>
      <c r="EH35" s="1">
        <f>SUM(EH36:EH37)</f>
        <v>0</v>
      </c>
      <c r="EI35" s="189"/>
      <c r="EK35" s="198"/>
      <c r="EL35" s="198"/>
      <c r="EM35" s="1">
        <f>SUM(EM36:EM37)</f>
        <v>0</v>
      </c>
      <c r="EN35" s="189"/>
      <c r="EP35" s="13"/>
      <c r="ES35" s="14"/>
      <c r="ET35" s="14">
        <f t="shared" si="0"/>
        <v>0</v>
      </c>
    </row>
    <row r="36" spans="3:150" x14ac:dyDescent="0.2">
      <c r="C36" s="13" t="s">
        <v>316</v>
      </c>
      <c r="E36" s="392" t="s">
        <v>306</v>
      </c>
      <c r="F36" s="393"/>
      <c r="G36" s="393"/>
      <c r="H36" s="380">
        <f>[31]domlongtermissues!G15</f>
        <v>0</v>
      </c>
      <c r="I36" s="189"/>
      <c r="K36" s="198"/>
      <c r="L36" s="198"/>
      <c r="M36" s="380">
        <f>[31]domlongtermissues!L15</f>
        <v>487336</v>
      </c>
      <c r="N36" s="189"/>
      <c r="P36" s="198"/>
      <c r="Q36" s="198"/>
      <c r="R36" s="380">
        <f>[31]domlongtermissues!Q15</f>
        <v>29682</v>
      </c>
      <c r="S36" s="189"/>
      <c r="U36" s="198"/>
      <c r="V36" s="198"/>
      <c r="W36" s="380">
        <f>[31]domlongtermissues!V15</f>
        <v>28489</v>
      </c>
      <c r="X36" s="189"/>
      <c r="Z36" s="198"/>
      <c r="AA36" s="198"/>
      <c r="AB36" s="380">
        <f>[31]domlongtermissues!AA15</f>
        <v>0</v>
      </c>
      <c r="AC36" s="189"/>
      <c r="AE36" s="198"/>
      <c r="AF36" s="198"/>
      <c r="AG36" s="380">
        <f>[31]domlongtermissues!AF15</f>
        <v>41191</v>
      </c>
      <c r="AH36" s="189"/>
      <c r="AJ36" s="198"/>
      <c r="AK36" s="198"/>
      <c r="AL36" s="380">
        <f>[31]domlongtermissues!AK15</f>
        <v>18552</v>
      </c>
      <c r="AM36" s="189"/>
      <c r="AO36" s="198"/>
      <c r="AP36" s="198"/>
      <c r="AQ36" s="380">
        <f>[31]domlongtermissues!AP15</f>
        <v>0</v>
      </c>
      <c r="AR36" s="189"/>
      <c r="AT36" s="198"/>
      <c r="AU36" s="198"/>
      <c r="AV36" s="380">
        <f>[31]domlongtermissues!AU15</f>
        <v>85877</v>
      </c>
      <c r="AW36" s="189"/>
      <c r="AY36" s="198"/>
      <c r="AZ36" s="198"/>
      <c r="BA36" s="380">
        <f>[31]domlongtermissues!AZ15</f>
        <v>204461</v>
      </c>
      <c r="BB36" s="189"/>
      <c r="BD36" s="198"/>
      <c r="BE36" s="198"/>
      <c r="BF36" s="380">
        <f>[31]domlongtermissues!BE15</f>
        <v>132680</v>
      </c>
      <c r="BG36" s="189"/>
      <c r="BI36" s="198"/>
      <c r="BJ36" s="198"/>
      <c r="BK36" s="380">
        <f>[31]domlongtermissues!BJ15</f>
        <v>0</v>
      </c>
      <c r="BL36" s="189"/>
      <c r="BN36" s="198"/>
      <c r="BO36" s="198"/>
      <c r="BP36" s="380">
        <f>[31]domlongtermissues!BO15</f>
        <v>0</v>
      </c>
      <c r="BQ36" s="189"/>
      <c r="BS36" s="198"/>
      <c r="BT36" s="198"/>
      <c r="BU36" s="380">
        <f>[31]domlongtermissues!BT15</f>
        <v>1028268</v>
      </c>
      <c r="BV36" s="189"/>
      <c r="BX36" s="198"/>
      <c r="BY36" s="198"/>
      <c r="BZ36" s="379">
        <f>+[31]domlongtermissues!BY15</f>
        <v>4361282</v>
      </c>
      <c r="CA36" s="189"/>
      <c r="CC36" s="198"/>
      <c r="CD36" s="198"/>
      <c r="CE36" s="380">
        <f>[31]domlongtermissues!CD15</f>
        <v>3109689</v>
      </c>
      <c r="CF36" s="189"/>
      <c r="CH36" s="198"/>
      <c r="CI36" s="198"/>
      <c r="CJ36" s="380">
        <f>[31]domlongtermissues!CI15</f>
        <v>0</v>
      </c>
      <c r="CK36" s="189"/>
      <c r="CM36" s="198"/>
      <c r="CN36" s="198"/>
      <c r="CO36" s="380">
        <f>[31]domlongtermissues!CN15</f>
        <v>0</v>
      </c>
      <c r="CP36" s="189"/>
      <c r="CR36" s="198"/>
      <c r="CS36" s="198"/>
      <c r="CT36" s="380">
        <f>[31]domlongtermissues!CS15</f>
        <v>0</v>
      </c>
      <c r="CU36" s="189"/>
      <c r="CW36" s="198"/>
      <c r="CX36" s="198"/>
      <c r="CY36" s="380">
        <f>[31]domlongtermissues!CX15</f>
        <v>289217</v>
      </c>
      <c r="CZ36" s="189"/>
      <c r="DB36" s="198"/>
      <c r="DC36" s="198"/>
      <c r="DD36" s="380">
        <f>[31]domlongtermissues!DC15</f>
        <v>235010</v>
      </c>
      <c r="DE36" s="189"/>
      <c r="DG36" s="198"/>
      <c r="DH36" s="198"/>
      <c r="DI36" s="380">
        <f>[31]domlongtermissues!DH15</f>
        <v>0</v>
      </c>
      <c r="DJ36" s="189"/>
      <c r="DL36" s="198"/>
      <c r="DM36" s="198"/>
      <c r="DN36" s="380">
        <f>[31]domlongtermissues!DM15</f>
        <v>64127</v>
      </c>
      <c r="DO36" s="189"/>
      <c r="DQ36" s="198"/>
      <c r="DR36" s="198"/>
      <c r="DS36" s="380">
        <f>[31]domlongtermissues!DR15</f>
        <v>0</v>
      </c>
      <c r="DT36" s="189"/>
      <c r="DV36" s="198"/>
      <c r="DW36" s="198"/>
      <c r="DX36" s="380">
        <f>[31]domlongtermissues!DW15</f>
        <v>0</v>
      </c>
      <c r="DY36" s="189"/>
      <c r="EA36" s="198"/>
      <c r="EB36" s="198"/>
      <c r="EC36" s="380">
        <f>[31]domlongtermissues!EB15</f>
        <v>0</v>
      </c>
      <c r="ED36" s="189"/>
      <c r="EF36" s="198"/>
      <c r="EG36" s="198"/>
      <c r="EH36" s="380">
        <f>[31]domlongtermissues!EG15</f>
        <v>663239</v>
      </c>
      <c r="EI36" s="189"/>
      <c r="EK36" s="198"/>
      <c r="EL36" s="198"/>
      <c r="EM36" s="380">
        <f>[31]domlongtermissues!EL15</f>
        <v>3698043</v>
      </c>
      <c r="EN36" s="189"/>
      <c r="EP36" s="13"/>
      <c r="ES36" s="14"/>
      <c r="ET36" s="14">
        <f t="shared" si="0"/>
        <v>-663239</v>
      </c>
    </row>
    <row r="37" spans="3:150" x14ac:dyDescent="0.2">
      <c r="C37" s="13" t="s">
        <v>317</v>
      </c>
      <c r="E37" s="392" t="s">
        <v>309</v>
      </c>
      <c r="F37" s="393"/>
      <c r="G37" s="393"/>
      <c r="H37" s="213">
        <f>-[31]domredemp!G15</f>
        <v>0</v>
      </c>
      <c r="I37" s="189"/>
      <c r="K37" s="198"/>
      <c r="L37" s="198"/>
      <c r="M37" s="213">
        <f>-[31]domredemp!L15</f>
        <v>-487336</v>
      </c>
      <c r="N37" s="189"/>
      <c r="P37" s="198"/>
      <c r="Q37" s="198"/>
      <c r="R37" s="213">
        <f>-[31]domredemp!Q15</f>
        <v>-29682</v>
      </c>
      <c r="S37" s="189"/>
      <c r="U37" s="198"/>
      <c r="V37" s="198"/>
      <c r="W37" s="213">
        <f>-[31]domredemp!V15</f>
        <v>-28489</v>
      </c>
      <c r="X37" s="189"/>
      <c r="Z37" s="198"/>
      <c r="AA37" s="198"/>
      <c r="AB37" s="213">
        <f>-[31]domredemp!AA15</f>
        <v>0</v>
      </c>
      <c r="AC37" s="189"/>
      <c r="AE37" s="198"/>
      <c r="AF37" s="198"/>
      <c r="AG37" s="213">
        <f>-[31]domredemp!AF15</f>
        <v>-41191</v>
      </c>
      <c r="AH37" s="189"/>
      <c r="AJ37" s="198"/>
      <c r="AK37" s="198"/>
      <c r="AL37" s="213">
        <f>-[31]domredemp!AK15</f>
        <v>-18552</v>
      </c>
      <c r="AM37" s="189"/>
      <c r="AO37" s="198"/>
      <c r="AP37" s="198"/>
      <c r="AQ37" s="213">
        <f>-[31]domredemp!AP15</f>
        <v>0</v>
      </c>
      <c r="AR37" s="189"/>
      <c r="AT37" s="198"/>
      <c r="AU37" s="198"/>
      <c r="AV37" s="213">
        <f>-[31]domredemp!AU15</f>
        <v>0</v>
      </c>
      <c r="AW37" s="189"/>
      <c r="AY37" s="198"/>
      <c r="AZ37" s="198"/>
      <c r="BA37" s="213">
        <f>-[31]domredemp!AZ15</f>
        <v>-290338</v>
      </c>
      <c r="BB37" s="189"/>
      <c r="BD37" s="198"/>
      <c r="BE37" s="198"/>
      <c r="BF37" s="213">
        <f>-[31]domredemp!BE15</f>
        <v>-132680</v>
      </c>
      <c r="BG37" s="189"/>
      <c r="BI37" s="198"/>
      <c r="BJ37" s="198"/>
      <c r="BK37" s="213">
        <f>-[31]domredemp!BJ15</f>
        <v>0</v>
      </c>
      <c r="BL37" s="189"/>
      <c r="BN37" s="198"/>
      <c r="BO37" s="198"/>
      <c r="BP37" s="213">
        <f>-[31]domredemp!BO15</f>
        <v>0</v>
      </c>
      <c r="BQ37" s="189"/>
      <c r="BS37" s="198"/>
      <c r="BT37" s="198"/>
      <c r="BU37" s="213">
        <f>-[31]domredemp!BT15</f>
        <v>-1028268</v>
      </c>
      <c r="BV37" s="189"/>
      <c r="BX37" s="198"/>
      <c r="BY37" s="198"/>
      <c r="BZ37" s="382">
        <f>-[31]domredemp!BY15</f>
        <v>-4361282</v>
      </c>
      <c r="CA37" s="189"/>
      <c r="CC37" s="198"/>
      <c r="CD37" s="198"/>
      <c r="CE37" s="213">
        <f>-[31]domredemp!CD15</f>
        <v>-3109689</v>
      </c>
      <c r="CF37" s="189"/>
      <c r="CH37" s="198"/>
      <c r="CI37" s="198"/>
      <c r="CJ37" s="213">
        <f>-[31]domredemp!CI15</f>
        <v>0</v>
      </c>
      <c r="CK37" s="189"/>
      <c r="CM37" s="198"/>
      <c r="CN37" s="198"/>
      <c r="CO37" s="213">
        <f>-[31]domredemp!CN15</f>
        <v>0</v>
      </c>
      <c r="CP37" s="189"/>
      <c r="CR37" s="198"/>
      <c r="CS37" s="198"/>
      <c r="CT37" s="213">
        <f>-[31]domredemp!CS15</f>
        <v>0</v>
      </c>
      <c r="CU37" s="189"/>
      <c r="CW37" s="198"/>
      <c r="CX37" s="198"/>
      <c r="CY37" s="213">
        <f>-[31]domredemp!CX15</f>
        <v>-289217</v>
      </c>
      <c r="CZ37" s="189"/>
      <c r="DB37" s="198"/>
      <c r="DC37" s="198"/>
      <c r="DD37" s="213">
        <f>-[31]domredemp!DC15</f>
        <v>-235010</v>
      </c>
      <c r="DE37" s="189"/>
      <c r="DG37" s="198"/>
      <c r="DH37" s="198"/>
      <c r="DI37" s="213">
        <f>-[31]domredemp!DH15</f>
        <v>0</v>
      </c>
      <c r="DJ37" s="189"/>
      <c r="DL37" s="198"/>
      <c r="DM37" s="198"/>
      <c r="DN37" s="213">
        <f>-[31]domredemp!DM15</f>
        <v>-64127</v>
      </c>
      <c r="DO37" s="189"/>
      <c r="DQ37" s="198"/>
      <c r="DR37" s="198"/>
      <c r="DS37" s="213">
        <f>-[31]domredemp!DR15</f>
        <v>0</v>
      </c>
      <c r="DT37" s="189"/>
      <c r="DV37" s="198"/>
      <c r="DW37" s="198"/>
      <c r="DX37" s="213">
        <f>-[31]domredemp!DW15</f>
        <v>0</v>
      </c>
      <c r="DY37" s="189"/>
      <c r="EA37" s="198"/>
      <c r="EB37" s="198"/>
      <c r="EC37" s="213">
        <f>-[31]domredemp!EB15</f>
        <v>0</v>
      </c>
      <c r="ED37" s="189"/>
      <c r="EF37" s="198"/>
      <c r="EG37" s="198"/>
      <c r="EH37" s="213">
        <f>-[31]domredemp!EG15</f>
        <v>-663239</v>
      </c>
      <c r="EI37" s="189"/>
      <c r="EK37" s="198"/>
      <c r="EL37" s="198"/>
      <c r="EM37" s="213">
        <f>-[31]domredemp!EL15</f>
        <v>-3698043</v>
      </c>
      <c r="EN37" s="189"/>
      <c r="EP37" s="13"/>
      <c r="ES37" s="14"/>
      <c r="ET37" s="14">
        <f t="shared" si="0"/>
        <v>663239</v>
      </c>
    </row>
    <row r="38" spans="3:150" ht="12.75" hidden="1" customHeight="1" x14ac:dyDescent="0.2">
      <c r="C38" s="13"/>
      <c r="E38" s="392"/>
      <c r="F38" s="393"/>
      <c r="G38" s="393"/>
      <c r="I38" s="189"/>
      <c r="K38" s="198"/>
      <c r="L38" s="198"/>
      <c r="N38" s="189"/>
      <c r="P38" s="198"/>
      <c r="Q38" s="198"/>
      <c r="S38" s="189"/>
      <c r="U38" s="198"/>
      <c r="V38" s="198"/>
      <c r="X38" s="189"/>
      <c r="Z38" s="198"/>
      <c r="AA38" s="198"/>
      <c r="AC38" s="189"/>
      <c r="AE38" s="198"/>
      <c r="AF38" s="198"/>
      <c r="AH38" s="189"/>
      <c r="AJ38" s="198"/>
      <c r="AK38" s="198"/>
      <c r="AM38" s="189"/>
      <c r="AO38" s="198"/>
      <c r="AP38" s="198"/>
      <c r="AR38" s="189"/>
      <c r="AT38" s="198"/>
      <c r="AU38" s="198"/>
      <c r="AW38" s="189"/>
      <c r="AY38" s="198"/>
      <c r="AZ38" s="198"/>
      <c r="BB38" s="189"/>
      <c r="BD38" s="198"/>
      <c r="BE38" s="198"/>
      <c r="BG38" s="189"/>
      <c r="BI38" s="198"/>
      <c r="BJ38" s="198"/>
      <c r="BL38" s="189"/>
      <c r="BN38" s="198"/>
      <c r="BO38" s="198"/>
      <c r="BQ38" s="189"/>
      <c r="BS38" s="198"/>
      <c r="BT38" s="198"/>
      <c r="BV38" s="189"/>
      <c r="BX38" s="198"/>
      <c r="BY38" s="198"/>
      <c r="BZ38" s="383"/>
      <c r="CA38" s="189"/>
      <c r="CC38" s="198"/>
      <c r="CD38" s="198"/>
      <c r="CF38" s="189"/>
      <c r="CH38" s="198"/>
      <c r="CI38" s="198"/>
      <c r="CK38" s="189"/>
      <c r="CM38" s="198"/>
      <c r="CN38" s="198"/>
      <c r="CP38" s="189"/>
      <c r="CR38" s="198"/>
      <c r="CS38" s="198"/>
      <c r="CU38" s="189"/>
      <c r="CW38" s="198"/>
      <c r="CX38" s="198"/>
      <c r="CZ38" s="189"/>
      <c r="DB38" s="198"/>
      <c r="DC38" s="198"/>
      <c r="DE38" s="189"/>
      <c r="DG38" s="198"/>
      <c r="DH38" s="198"/>
      <c r="DJ38" s="189"/>
      <c r="DL38" s="198"/>
      <c r="DM38" s="198"/>
      <c r="DO38" s="189"/>
      <c r="DQ38" s="198"/>
      <c r="DR38" s="198"/>
      <c r="DT38" s="189"/>
      <c r="DV38" s="198"/>
      <c r="DW38" s="198"/>
      <c r="DY38" s="189"/>
      <c r="EA38" s="198"/>
      <c r="EB38" s="198"/>
      <c r="ED38" s="189"/>
      <c r="EF38" s="198"/>
      <c r="EG38" s="198"/>
      <c r="EI38" s="189"/>
      <c r="EK38" s="198"/>
      <c r="EL38" s="198"/>
      <c r="EN38" s="189"/>
      <c r="EP38" s="13"/>
      <c r="ES38" s="14"/>
      <c r="ET38" s="14">
        <f t="shared" si="0"/>
        <v>0</v>
      </c>
    </row>
    <row r="39" spans="3:150" ht="12.75" hidden="1" customHeight="1" x14ac:dyDescent="0.2">
      <c r="C39" s="13" t="s">
        <v>318</v>
      </c>
      <c r="D39" s="240" t="s">
        <v>60</v>
      </c>
      <c r="E39" s="394"/>
      <c r="F39" s="395"/>
      <c r="G39" s="395"/>
      <c r="H39" s="1">
        <v>0</v>
      </c>
      <c r="I39" s="189"/>
      <c r="K39" s="198"/>
      <c r="L39" s="198"/>
      <c r="M39" s="1">
        <f>SUM(M40:M40)</f>
        <v>0</v>
      </c>
      <c r="N39" s="189"/>
      <c r="P39" s="198"/>
      <c r="Q39" s="198"/>
      <c r="R39" s="1">
        <f>SUM(R40:R40)</f>
        <v>0</v>
      </c>
      <c r="S39" s="189"/>
      <c r="U39" s="198"/>
      <c r="V39" s="198"/>
      <c r="W39" s="1">
        <f>SUM(W40:W40)</f>
        <v>0</v>
      </c>
      <c r="X39" s="189"/>
      <c r="Z39" s="198"/>
      <c r="AA39" s="198"/>
      <c r="AB39" s="1">
        <f>SUM(AB40:AB40)</f>
        <v>0</v>
      </c>
      <c r="AC39" s="189"/>
      <c r="AE39" s="198"/>
      <c r="AF39" s="198"/>
      <c r="AG39" s="1">
        <f>SUM(AG40:AG40)</f>
        <v>0</v>
      </c>
      <c r="AH39" s="189"/>
      <c r="AJ39" s="198"/>
      <c r="AK39" s="198"/>
      <c r="AL39" s="1">
        <f>SUM(AL40:AL40)</f>
        <v>0</v>
      </c>
      <c r="AM39" s="189"/>
      <c r="AO39" s="198"/>
      <c r="AP39" s="198"/>
      <c r="AQ39" s="1">
        <f>SUM(AQ40:AQ40)</f>
        <v>0</v>
      </c>
      <c r="AR39" s="189"/>
      <c r="AT39" s="198"/>
      <c r="AU39" s="198"/>
      <c r="AV39" s="1">
        <f>SUM(AV40:AV40)</f>
        <v>0</v>
      </c>
      <c r="AW39" s="189"/>
      <c r="AY39" s="198"/>
      <c r="AZ39" s="198"/>
      <c r="BA39" s="1">
        <f>SUM(BA40:BA40)</f>
        <v>0</v>
      </c>
      <c r="BB39" s="189"/>
      <c r="BD39" s="198"/>
      <c r="BE39" s="198"/>
      <c r="BF39" s="1">
        <f>SUM(BF40:BF40)</f>
        <v>0</v>
      </c>
      <c r="BG39" s="189"/>
      <c r="BI39" s="198"/>
      <c r="BJ39" s="198"/>
      <c r="BK39" s="1">
        <f>SUM(BK40:BK40)</f>
        <v>0</v>
      </c>
      <c r="BL39" s="189"/>
      <c r="BN39" s="198"/>
      <c r="BO39" s="198"/>
      <c r="BP39" s="1">
        <f>SUM(BP40:BP40)</f>
        <v>0</v>
      </c>
      <c r="BQ39" s="189"/>
      <c r="BS39" s="198"/>
      <c r="BT39" s="198"/>
      <c r="BU39" s="1">
        <f>SUM(BU40:BU40)</f>
        <v>0</v>
      </c>
      <c r="BV39" s="189"/>
      <c r="BX39" s="198"/>
      <c r="BY39" s="198"/>
      <c r="BZ39" s="383">
        <v>0</v>
      </c>
      <c r="CA39" s="189"/>
      <c r="CC39" s="198"/>
      <c r="CD39" s="198"/>
      <c r="CE39" s="1">
        <f>SUM(CE40:CE40)</f>
        <v>0</v>
      </c>
      <c r="CF39" s="189"/>
      <c r="CH39" s="198"/>
      <c r="CI39" s="198"/>
      <c r="CJ39" s="1">
        <f>SUM(CJ40:CJ40)</f>
        <v>0</v>
      </c>
      <c r="CK39" s="189"/>
      <c r="CM39" s="198"/>
      <c r="CN39" s="198"/>
      <c r="CO39" s="1">
        <f>SUM(CO40:CO40)</f>
        <v>0</v>
      </c>
      <c r="CP39" s="189"/>
      <c r="CR39" s="198"/>
      <c r="CS39" s="198"/>
      <c r="CT39" s="1">
        <f>SUM(CT40:CT40)</f>
        <v>0</v>
      </c>
      <c r="CU39" s="189"/>
      <c r="CW39" s="198"/>
      <c r="CX39" s="198"/>
      <c r="CY39" s="1">
        <f>SUM(CY40:CY40)</f>
        <v>0</v>
      </c>
      <c r="CZ39" s="189"/>
      <c r="DB39" s="198"/>
      <c r="DC39" s="198"/>
      <c r="DD39" s="1">
        <f>SUM(DD40:DD40)</f>
        <v>0</v>
      </c>
      <c r="DE39" s="189"/>
      <c r="DG39" s="198"/>
      <c r="DH39" s="198"/>
      <c r="DI39" s="1">
        <f>SUM(DI40:DI40)</f>
        <v>0</v>
      </c>
      <c r="DJ39" s="189"/>
      <c r="DL39" s="198"/>
      <c r="DM39" s="198"/>
      <c r="DN39" s="1">
        <f>SUM(DN40:DN40)</f>
        <v>0</v>
      </c>
      <c r="DO39" s="189"/>
      <c r="DQ39" s="198"/>
      <c r="DR39" s="198"/>
      <c r="DS39" s="1">
        <f>SUM(DS40:DS40)</f>
        <v>0</v>
      </c>
      <c r="DT39" s="189"/>
      <c r="DV39" s="198"/>
      <c r="DW39" s="198"/>
      <c r="DX39" s="1">
        <f>SUM(DX40:DX40)</f>
        <v>0</v>
      </c>
      <c r="DY39" s="189"/>
      <c r="EA39" s="198"/>
      <c r="EB39" s="198"/>
      <c r="EC39" s="1">
        <f>SUM(EC40:EC40)</f>
        <v>0</v>
      </c>
      <c r="ED39" s="189"/>
      <c r="EF39" s="198"/>
      <c r="EG39" s="198"/>
      <c r="EH39" s="1">
        <f>SUM(EH40:EH40)</f>
        <v>0</v>
      </c>
      <c r="EI39" s="189"/>
      <c r="EK39" s="198"/>
      <c r="EL39" s="198"/>
      <c r="EM39" s="1">
        <f>SUM(EM40:EM40)</f>
        <v>0</v>
      </c>
      <c r="EN39" s="189"/>
      <c r="EP39" s="13"/>
      <c r="ES39" s="14"/>
      <c r="ET39" s="14">
        <f t="shared" si="0"/>
        <v>0</v>
      </c>
    </row>
    <row r="40" spans="3:150" ht="12.75" hidden="1" customHeight="1" x14ac:dyDescent="0.2">
      <c r="C40" s="13" t="s">
        <v>312</v>
      </c>
      <c r="E40" s="392" t="s">
        <v>306</v>
      </c>
      <c r="F40" s="393"/>
      <c r="G40" s="393"/>
      <c r="H40" s="396">
        <v>0</v>
      </c>
      <c r="I40" s="189"/>
      <c r="K40" s="198"/>
      <c r="L40" s="198"/>
      <c r="M40" s="396">
        <f>[31]domlongtermissues!L16</f>
        <v>0</v>
      </c>
      <c r="N40" s="189"/>
      <c r="P40" s="198"/>
      <c r="Q40" s="198"/>
      <c r="R40" s="396">
        <f>[31]domlongtermissues!Q16</f>
        <v>0</v>
      </c>
      <c r="S40" s="189"/>
      <c r="U40" s="198"/>
      <c r="V40" s="198"/>
      <c r="W40" s="396">
        <f>[31]domlongtermissues!V16</f>
        <v>0</v>
      </c>
      <c r="X40" s="189"/>
      <c r="Z40" s="198"/>
      <c r="AA40" s="198"/>
      <c r="AB40" s="396">
        <f>[31]domlongtermissues!AA16</f>
        <v>0</v>
      </c>
      <c r="AC40" s="189"/>
      <c r="AE40" s="198"/>
      <c r="AF40" s="198"/>
      <c r="AG40" s="396">
        <f>[31]domlongtermissues!AF16</f>
        <v>0</v>
      </c>
      <c r="AH40" s="189"/>
      <c r="AJ40" s="198"/>
      <c r="AK40" s="198"/>
      <c r="AL40" s="396">
        <f>[31]domlongtermissues!AK16</f>
        <v>0</v>
      </c>
      <c r="AM40" s="189"/>
      <c r="AO40" s="198"/>
      <c r="AP40" s="198"/>
      <c r="AQ40" s="396">
        <f>[31]domlongtermissues!AP16</f>
        <v>0</v>
      </c>
      <c r="AR40" s="189"/>
      <c r="AT40" s="198"/>
      <c r="AU40" s="198"/>
      <c r="AV40" s="396">
        <f>[31]domlongtermissues!AU16</f>
        <v>0</v>
      </c>
      <c r="AW40" s="189"/>
      <c r="AY40" s="198"/>
      <c r="AZ40" s="198"/>
      <c r="BA40" s="396">
        <f>[31]domlongtermissues!AZ16</f>
        <v>0</v>
      </c>
      <c r="BB40" s="189"/>
      <c r="BD40" s="198"/>
      <c r="BE40" s="198"/>
      <c r="BF40" s="396">
        <f>[31]domlongtermissues!BE16</f>
        <v>0</v>
      </c>
      <c r="BG40" s="189"/>
      <c r="BI40" s="198"/>
      <c r="BJ40" s="198"/>
      <c r="BK40" s="396">
        <f>[31]domlongtermissues!BJ16</f>
        <v>0</v>
      </c>
      <c r="BL40" s="189"/>
      <c r="BN40" s="198"/>
      <c r="BO40" s="198"/>
      <c r="BP40" s="1">
        <f>[31]domlongtermissues!BO16</f>
        <v>0</v>
      </c>
      <c r="BQ40" s="189"/>
      <c r="BS40" s="198"/>
      <c r="BT40" s="198"/>
      <c r="BU40" s="396">
        <f>[31]domlongtermissues!BT16</f>
        <v>0</v>
      </c>
      <c r="BV40" s="189"/>
      <c r="BX40" s="198"/>
      <c r="BY40" s="198"/>
      <c r="BZ40" s="397">
        <v>0</v>
      </c>
      <c r="CA40" s="189"/>
      <c r="CC40" s="198"/>
      <c r="CD40" s="198"/>
      <c r="CE40" s="396">
        <f>[31]domlongtermissues!CD16</f>
        <v>0</v>
      </c>
      <c r="CF40" s="189"/>
      <c r="CH40" s="198"/>
      <c r="CI40" s="198"/>
      <c r="CJ40" s="396">
        <f>[31]domlongtermissues!CI16</f>
        <v>0</v>
      </c>
      <c r="CK40" s="189"/>
      <c r="CM40" s="198"/>
      <c r="CN40" s="198"/>
      <c r="CO40" s="396">
        <f>[31]domlongtermissues!CN16</f>
        <v>0</v>
      </c>
      <c r="CP40" s="189"/>
      <c r="CR40" s="198"/>
      <c r="CS40" s="198"/>
      <c r="CT40" s="396">
        <f>[31]domlongtermissues!CS16</f>
        <v>0</v>
      </c>
      <c r="CU40" s="189"/>
      <c r="CW40" s="198"/>
      <c r="CX40" s="198"/>
      <c r="CY40" s="396">
        <f>[31]domlongtermissues!CX16</f>
        <v>0</v>
      </c>
      <c r="CZ40" s="189"/>
      <c r="DB40" s="198"/>
      <c r="DC40" s="198"/>
      <c r="DD40" s="396">
        <f>[31]domlongtermissues!DC16</f>
        <v>0</v>
      </c>
      <c r="DE40" s="189"/>
      <c r="DG40" s="198"/>
      <c r="DH40" s="198"/>
      <c r="DI40" s="396">
        <f>[31]domlongtermissues!DH16</f>
        <v>0</v>
      </c>
      <c r="DJ40" s="189"/>
      <c r="DL40" s="198"/>
      <c r="DM40" s="198"/>
      <c r="DN40" s="396">
        <f>[31]domlongtermissues!DM16</f>
        <v>0</v>
      </c>
      <c r="DO40" s="189"/>
      <c r="DQ40" s="198"/>
      <c r="DR40" s="198"/>
      <c r="DS40" s="396">
        <f>[31]domlongtermissues!DR16</f>
        <v>0</v>
      </c>
      <c r="DT40" s="189"/>
      <c r="DV40" s="198"/>
      <c r="DW40" s="198"/>
      <c r="DX40" s="396">
        <f>[31]domlongtermissues!DW16</f>
        <v>0</v>
      </c>
      <c r="DY40" s="189"/>
      <c r="EA40" s="198"/>
      <c r="EB40" s="198"/>
      <c r="EC40" s="396">
        <f>[31]domlongtermissues!EB16</f>
        <v>0</v>
      </c>
      <c r="ED40" s="189"/>
      <c r="EF40" s="198"/>
      <c r="EG40" s="198"/>
      <c r="EH40" s="396">
        <f>[31]domlongtermissues!EG16</f>
        <v>0</v>
      </c>
      <c r="EI40" s="189"/>
      <c r="EK40" s="198"/>
      <c r="EL40" s="198"/>
      <c r="EM40" s="396">
        <f>[31]domlongtermissues!EL16</f>
        <v>0</v>
      </c>
      <c r="EN40" s="189"/>
      <c r="EP40" s="13"/>
      <c r="ES40" s="14"/>
      <c r="ET40" s="14">
        <f t="shared" si="0"/>
        <v>0</v>
      </c>
    </row>
    <row r="41" spans="3:150" x14ac:dyDescent="0.2">
      <c r="C41" s="13"/>
      <c r="E41" s="394"/>
      <c r="F41" s="395"/>
      <c r="G41" s="398"/>
      <c r="H41" s="201"/>
      <c r="I41" s="212"/>
      <c r="K41" s="198"/>
      <c r="L41" s="385"/>
      <c r="M41" s="201"/>
      <c r="N41" s="212"/>
      <c r="P41" s="198"/>
      <c r="Q41" s="385"/>
      <c r="R41" s="201"/>
      <c r="S41" s="212"/>
      <c r="U41" s="198"/>
      <c r="V41" s="385"/>
      <c r="W41" s="201"/>
      <c r="X41" s="212"/>
      <c r="Z41" s="198"/>
      <c r="AA41" s="385"/>
      <c r="AB41" s="201"/>
      <c r="AC41" s="212"/>
      <c r="AE41" s="198"/>
      <c r="AF41" s="385"/>
      <c r="AG41" s="201"/>
      <c r="AH41" s="212"/>
      <c r="AJ41" s="198"/>
      <c r="AK41" s="385"/>
      <c r="AL41" s="201"/>
      <c r="AM41" s="212"/>
      <c r="AO41" s="198"/>
      <c r="AP41" s="385"/>
      <c r="AQ41" s="201"/>
      <c r="AR41" s="212"/>
      <c r="AT41" s="198"/>
      <c r="AU41" s="385"/>
      <c r="AV41" s="201"/>
      <c r="AW41" s="212"/>
      <c r="AY41" s="198"/>
      <c r="AZ41" s="385"/>
      <c r="BA41" s="201"/>
      <c r="BB41" s="212"/>
      <c r="BD41" s="198"/>
      <c r="BE41" s="385"/>
      <c r="BF41" s="201"/>
      <c r="BG41" s="212"/>
      <c r="BI41" s="198"/>
      <c r="BJ41" s="385"/>
      <c r="BK41" s="201"/>
      <c r="BL41" s="212"/>
      <c r="BN41" s="198"/>
      <c r="BO41" s="385"/>
      <c r="BP41" s="201"/>
      <c r="BQ41" s="212"/>
      <c r="BS41" s="198"/>
      <c r="BT41" s="385"/>
      <c r="BU41" s="201"/>
      <c r="BV41" s="212"/>
      <c r="BX41" s="198"/>
      <c r="BY41" s="385"/>
      <c r="BZ41" s="386"/>
      <c r="CA41" s="212"/>
      <c r="CC41" s="198"/>
      <c r="CD41" s="385"/>
      <c r="CE41" s="201"/>
      <c r="CF41" s="212"/>
      <c r="CH41" s="198"/>
      <c r="CI41" s="385"/>
      <c r="CJ41" s="201"/>
      <c r="CK41" s="212"/>
      <c r="CM41" s="198"/>
      <c r="CN41" s="385"/>
      <c r="CO41" s="201"/>
      <c r="CP41" s="212"/>
      <c r="CR41" s="198"/>
      <c r="CS41" s="385"/>
      <c r="CT41" s="201"/>
      <c r="CU41" s="212"/>
      <c r="CW41" s="198"/>
      <c r="CX41" s="385"/>
      <c r="CY41" s="201"/>
      <c r="CZ41" s="212"/>
      <c r="DB41" s="198"/>
      <c r="DC41" s="385"/>
      <c r="DD41" s="201"/>
      <c r="DE41" s="212"/>
      <c r="DG41" s="198"/>
      <c r="DH41" s="385"/>
      <c r="DI41" s="201"/>
      <c r="DJ41" s="212"/>
      <c r="DL41" s="198"/>
      <c r="DM41" s="385"/>
      <c r="DN41" s="201"/>
      <c r="DO41" s="212"/>
      <c r="DQ41" s="198"/>
      <c r="DR41" s="385"/>
      <c r="DS41" s="201"/>
      <c r="DT41" s="212"/>
      <c r="DV41" s="198"/>
      <c r="DW41" s="385"/>
      <c r="DX41" s="201"/>
      <c r="DY41" s="212"/>
      <c r="EA41" s="198"/>
      <c r="EB41" s="385"/>
      <c r="EC41" s="201"/>
      <c r="ED41" s="212"/>
      <c r="EF41" s="198"/>
      <c r="EG41" s="385"/>
      <c r="EH41" s="201"/>
      <c r="EI41" s="212"/>
      <c r="EK41" s="198"/>
      <c r="EL41" s="385"/>
      <c r="EM41" s="201"/>
      <c r="EN41" s="212"/>
      <c r="EP41" s="13"/>
      <c r="ES41" s="14"/>
      <c r="ET41" s="14">
        <f t="shared" si="0"/>
        <v>0</v>
      </c>
    </row>
    <row r="42" spans="3:150" hidden="1" x14ac:dyDescent="0.2">
      <c r="C42" s="13"/>
      <c r="E42" s="394"/>
      <c r="F42" s="395"/>
      <c r="G42" s="399"/>
      <c r="K42" s="198"/>
      <c r="P42" s="198"/>
      <c r="U42" s="198"/>
      <c r="Z42" s="198"/>
      <c r="AE42" s="198"/>
      <c r="AJ42" s="198"/>
      <c r="AO42" s="198"/>
      <c r="AT42" s="198"/>
      <c r="AY42" s="198"/>
      <c r="BD42" s="198"/>
      <c r="BI42" s="198"/>
      <c r="BN42" s="198"/>
      <c r="BS42" s="198"/>
      <c r="BX42" s="198"/>
      <c r="BZ42" s="383"/>
      <c r="CC42" s="198"/>
      <c r="CH42" s="198"/>
      <c r="CM42" s="198"/>
      <c r="CR42" s="198"/>
      <c r="CW42" s="198"/>
      <c r="DB42" s="198"/>
      <c r="DG42" s="198"/>
      <c r="DL42" s="198"/>
      <c r="DQ42" s="198"/>
      <c r="DV42" s="198"/>
      <c r="EA42" s="198"/>
      <c r="EF42" s="198"/>
      <c r="EK42" s="198"/>
      <c r="EP42" s="13"/>
      <c r="ES42" s="14"/>
      <c r="ET42" s="14">
        <f t="shared" si="0"/>
        <v>0</v>
      </c>
    </row>
    <row r="43" spans="3:150" x14ac:dyDescent="0.2">
      <c r="C43" s="13"/>
      <c r="E43" s="394"/>
      <c r="F43" s="395"/>
      <c r="G43" s="399"/>
      <c r="K43" s="198"/>
      <c r="P43" s="198"/>
      <c r="U43" s="198"/>
      <c r="Z43" s="198"/>
      <c r="AE43" s="198"/>
      <c r="AJ43" s="198"/>
      <c r="AO43" s="198"/>
      <c r="AT43" s="198"/>
      <c r="AY43" s="198"/>
      <c r="BD43" s="198"/>
      <c r="BI43" s="198"/>
      <c r="BN43" s="198"/>
      <c r="BS43" s="198"/>
      <c r="BX43" s="198"/>
      <c r="BZ43" s="383"/>
      <c r="CC43" s="198"/>
      <c r="CH43" s="198"/>
      <c r="CM43" s="198"/>
      <c r="CR43" s="198"/>
      <c r="CW43" s="198"/>
      <c r="DB43" s="198"/>
      <c r="DG43" s="198"/>
      <c r="DL43" s="198"/>
      <c r="DQ43" s="198"/>
      <c r="DV43" s="198"/>
      <c r="EA43" s="198"/>
      <c r="EF43" s="198"/>
      <c r="EK43" s="198"/>
      <c r="EP43" s="13"/>
      <c r="ES43" s="14"/>
      <c r="ET43" s="14">
        <f t="shared" si="0"/>
        <v>0</v>
      </c>
    </row>
    <row r="44" spans="3:150" s="14" customFormat="1" x14ac:dyDescent="0.2">
      <c r="C44" s="93" t="s">
        <v>319</v>
      </c>
      <c r="E44" s="392" t="s">
        <v>320</v>
      </c>
      <c r="F44" s="393"/>
      <c r="G44" s="400"/>
      <c r="H44" s="14">
        <f>+H45+H52+H59</f>
        <v>106956000</v>
      </c>
      <c r="K44" s="180"/>
      <c r="L44" s="400"/>
      <c r="M44" s="14">
        <f>+M45+M52+M59</f>
        <v>-777665</v>
      </c>
      <c r="P44" s="180"/>
      <c r="Q44" s="400"/>
      <c r="R44" s="14">
        <f>+R45+R52+R59</f>
        <v>-4931986</v>
      </c>
      <c r="U44" s="180"/>
      <c r="V44" s="400"/>
      <c r="W44" s="14">
        <f>+W45+W52+W59</f>
        <v>-8699700</v>
      </c>
      <c r="Z44" s="180"/>
      <c r="AA44" s="400"/>
      <c r="AB44" s="14">
        <f>+AB45+AB52+AB59</f>
        <v>86911584</v>
      </c>
      <c r="AE44" s="180"/>
      <c r="AF44" s="400"/>
      <c r="AG44" s="14">
        <f>+AG45+AG52+AG59</f>
        <v>0</v>
      </c>
      <c r="AJ44" s="180"/>
      <c r="AK44" s="400"/>
      <c r="AL44" s="14">
        <f>+AL45+AL52+AL59</f>
        <v>0</v>
      </c>
      <c r="AO44" s="180"/>
      <c r="AP44" s="400"/>
      <c r="AQ44" s="14">
        <f>+AQ45+AQ52+AQ59</f>
        <v>5008164</v>
      </c>
      <c r="AT44" s="180"/>
      <c r="AU44" s="400"/>
      <c r="AV44" s="14">
        <f>+AV45+AV52+AV59</f>
        <v>-6967</v>
      </c>
      <c r="AY44" s="180"/>
      <c r="AZ44" s="400"/>
      <c r="BA44" s="14">
        <f>+BA45+BA52+BA59</f>
        <v>0</v>
      </c>
      <c r="BD44" s="180"/>
      <c r="BE44" s="400"/>
      <c r="BF44" s="14">
        <f>+BF45+BF52+BF59</f>
        <v>0</v>
      </c>
      <c r="BI44" s="180"/>
      <c r="BJ44" s="400"/>
      <c r="BK44" s="14">
        <f>+BK45+BK52+BK59</f>
        <v>0</v>
      </c>
      <c r="BN44" s="180"/>
      <c r="BO44" s="400"/>
      <c r="BP44" s="14">
        <f>+BP45+BP52+BP59</f>
        <v>0</v>
      </c>
      <c r="BS44" s="180"/>
      <c r="BT44" s="400"/>
      <c r="BU44" s="14">
        <f>+BU45+BU52+BU59</f>
        <v>77503430</v>
      </c>
      <c r="BX44" s="180"/>
      <c r="BY44" s="400"/>
      <c r="BZ44" s="373">
        <f>+BZ45+BZ52+BZ59</f>
        <v>24823043</v>
      </c>
      <c r="CC44" s="180"/>
      <c r="CD44" s="400"/>
      <c r="CE44" s="14">
        <f>+CE45+CE52+CE59</f>
        <v>-628449</v>
      </c>
      <c r="CH44" s="180"/>
      <c r="CI44" s="400"/>
      <c r="CJ44" s="14">
        <f>+CJ45+CJ52+CJ59</f>
        <v>-25247385</v>
      </c>
      <c r="CM44" s="180"/>
      <c r="CN44" s="400"/>
      <c r="CO44" s="14">
        <f>+CO45+CO52+CO59</f>
        <v>0</v>
      </c>
      <c r="CR44" s="180"/>
      <c r="CS44" s="400"/>
      <c r="CT44" s="14">
        <f>+CT45+CT52+CT59</f>
        <v>0</v>
      </c>
      <c r="CW44" s="180"/>
      <c r="CX44" s="400"/>
      <c r="CY44" s="14">
        <f>+CY45+CY52+CY59</f>
        <v>0</v>
      </c>
      <c r="DB44" s="180"/>
      <c r="DC44" s="400"/>
      <c r="DD44" s="14">
        <f>+DD45+DD52+DD59</f>
        <v>76052000</v>
      </c>
      <c r="DG44" s="180"/>
      <c r="DH44" s="400"/>
      <c r="DI44" s="14">
        <f>+DI45+DI52+DI59</f>
        <v>-654491</v>
      </c>
      <c r="DL44" s="180"/>
      <c r="DM44" s="400"/>
      <c r="DN44" s="14">
        <f>+DN45+DN52+DN59</f>
        <v>-6365</v>
      </c>
      <c r="DQ44" s="180"/>
      <c r="DR44" s="400"/>
      <c r="DS44" s="14">
        <f>+DS45+DS52+DS59</f>
        <v>0</v>
      </c>
      <c r="DV44" s="180"/>
      <c r="DW44" s="400"/>
      <c r="DX44" s="14">
        <f>+DX45+DX52+DX59</f>
        <v>0</v>
      </c>
      <c r="EA44" s="180"/>
      <c r="EB44" s="400"/>
      <c r="EC44" s="14">
        <f>+EC45+EC52+EC59</f>
        <v>0</v>
      </c>
      <c r="EF44" s="180"/>
      <c r="EG44" s="400"/>
      <c r="EH44" s="14">
        <f>+EH45+EH52+EH59</f>
        <v>-24692267</v>
      </c>
      <c r="EK44" s="180"/>
      <c r="EL44" s="400"/>
      <c r="EM44" s="14">
        <f>+EM45+EM52+EM59</f>
        <v>49515310</v>
      </c>
      <c r="EP44" s="93"/>
      <c r="ET44" s="14">
        <f t="shared" si="0"/>
        <v>24692267</v>
      </c>
    </row>
    <row r="45" spans="3:150" x14ac:dyDescent="0.2">
      <c r="C45" s="13" t="s">
        <v>304</v>
      </c>
      <c r="E45" s="394"/>
      <c r="F45" s="395"/>
      <c r="G45" s="401"/>
      <c r="H45" s="101">
        <f>SUM(H46:H50)</f>
        <v>106956000</v>
      </c>
      <c r="I45" s="375"/>
      <c r="K45" s="198"/>
      <c r="L45" s="401"/>
      <c r="M45" s="101">
        <f>SUM(M46:M50)</f>
        <v>-777665</v>
      </c>
      <c r="N45" s="375"/>
      <c r="P45" s="198"/>
      <c r="Q45" s="401"/>
      <c r="R45" s="101">
        <f>SUM(R46:R50)</f>
        <v>-4931986</v>
      </c>
      <c r="S45" s="375"/>
      <c r="U45" s="198"/>
      <c r="V45" s="401"/>
      <c r="W45" s="101">
        <f>SUM(W46:W50)</f>
        <v>-8699700</v>
      </c>
      <c r="X45" s="375"/>
      <c r="Z45" s="198"/>
      <c r="AA45" s="401"/>
      <c r="AB45" s="101">
        <f>SUM(AB46:AB50)</f>
        <v>86911584</v>
      </c>
      <c r="AC45" s="375"/>
      <c r="AE45" s="198"/>
      <c r="AF45" s="401"/>
      <c r="AG45" s="101">
        <f>SUM(AG46:AG50)</f>
        <v>0</v>
      </c>
      <c r="AH45" s="375"/>
      <c r="AJ45" s="198"/>
      <c r="AK45" s="401"/>
      <c r="AL45" s="101">
        <f>SUM(AL46:AL50)</f>
        <v>0</v>
      </c>
      <c r="AM45" s="375"/>
      <c r="AO45" s="198"/>
      <c r="AP45" s="401"/>
      <c r="AQ45" s="101">
        <f>SUM(AQ46:AQ50)</f>
        <v>5008164</v>
      </c>
      <c r="AR45" s="375"/>
      <c r="AT45" s="198"/>
      <c r="AU45" s="401"/>
      <c r="AV45" s="101">
        <f>SUM(AV46:AV50)</f>
        <v>-6967</v>
      </c>
      <c r="AW45" s="375"/>
      <c r="AY45" s="198"/>
      <c r="AZ45" s="401"/>
      <c r="BA45" s="101">
        <f>SUM(BA46:BA50)</f>
        <v>0</v>
      </c>
      <c r="BB45" s="375"/>
      <c r="BD45" s="198"/>
      <c r="BE45" s="401"/>
      <c r="BF45" s="101">
        <f>SUM(BF46:BF50)</f>
        <v>0</v>
      </c>
      <c r="BG45" s="375"/>
      <c r="BI45" s="198"/>
      <c r="BJ45" s="401"/>
      <c r="BK45" s="101">
        <f>SUM(BK46:BK50)</f>
        <v>0</v>
      </c>
      <c r="BL45" s="375"/>
      <c r="BN45" s="198"/>
      <c r="BO45" s="401"/>
      <c r="BP45" s="101">
        <f>SUM(BP46:BP50)</f>
        <v>0</v>
      </c>
      <c r="BQ45" s="375"/>
      <c r="BS45" s="198"/>
      <c r="BT45" s="401"/>
      <c r="BU45" s="101">
        <f>SUM(BU46:BU50)</f>
        <v>77503430</v>
      </c>
      <c r="BV45" s="375"/>
      <c r="BX45" s="198"/>
      <c r="BY45" s="401"/>
      <c r="BZ45" s="378">
        <f>SUM(BZ46:BZ50)</f>
        <v>24823043</v>
      </c>
      <c r="CA45" s="375"/>
      <c r="CC45" s="198"/>
      <c r="CD45" s="401"/>
      <c r="CE45" s="101">
        <f>SUM(CE46:CE50)</f>
        <v>-628449</v>
      </c>
      <c r="CF45" s="375"/>
      <c r="CH45" s="198"/>
      <c r="CI45" s="401"/>
      <c r="CJ45" s="101">
        <f>SUM(CJ46:CJ50)</f>
        <v>-25247385</v>
      </c>
      <c r="CK45" s="375"/>
      <c r="CM45" s="198"/>
      <c r="CN45" s="401"/>
      <c r="CO45" s="101">
        <f>SUM(CO46:CO50)</f>
        <v>0</v>
      </c>
      <c r="CP45" s="375"/>
      <c r="CR45" s="198"/>
      <c r="CS45" s="401"/>
      <c r="CT45" s="101">
        <f>SUM(CT46:CT50)</f>
        <v>0</v>
      </c>
      <c r="CU45" s="375"/>
      <c r="CW45" s="198"/>
      <c r="CX45" s="401"/>
      <c r="CY45" s="101">
        <f>SUM(CY46:CY50)</f>
        <v>0</v>
      </c>
      <c r="CZ45" s="375"/>
      <c r="DB45" s="198"/>
      <c r="DC45" s="401"/>
      <c r="DD45" s="101">
        <f>SUM(DD46:DD50)</f>
        <v>76052000</v>
      </c>
      <c r="DE45" s="375"/>
      <c r="DG45" s="198"/>
      <c r="DH45" s="401"/>
      <c r="DI45" s="101">
        <f>SUM(DI46:DI50)</f>
        <v>-654491</v>
      </c>
      <c r="DJ45" s="375"/>
      <c r="DL45" s="198"/>
      <c r="DM45" s="401"/>
      <c r="DN45" s="101">
        <f>SUM(DN46:DN50)</f>
        <v>-6365</v>
      </c>
      <c r="DO45" s="375"/>
      <c r="DQ45" s="198"/>
      <c r="DR45" s="401"/>
      <c r="DS45" s="101">
        <f>SUM(DS46:DS50)</f>
        <v>0</v>
      </c>
      <c r="DT45" s="375"/>
      <c r="DV45" s="198"/>
      <c r="DW45" s="401"/>
      <c r="DX45" s="101">
        <f>SUM(DX46:DX50)</f>
        <v>0</v>
      </c>
      <c r="DY45" s="375"/>
      <c r="EA45" s="198"/>
      <c r="EB45" s="401"/>
      <c r="EC45" s="101">
        <f>SUM(EC46:EC50)</f>
        <v>0</v>
      </c>
      <c r="ED45" s="375"/>
      <c r="EF45" s="198"/>
      <c r="EG45" s="401"/>
      <c r="EH45" s="101">
        <f>SUM(EH46:EH50)</f>
        <v>-24692267</v>
      </c>
      <c r="EI45" s="375"/>
      <c r="EK45" s="198"/>
      <c r="EL45" s="401"/>
      <c r="EM45" s="101">
        <f>SUM(EM46:EM50)</f>
        <v>49515310</v>
      </c>
      <c r="EN45" s="375"/>
      <c r="EP45" s="13"/>
      <c r="ES45" s="14"/>
      <c r="ET45" s="14">
        <f>EM45-BZ45</f>
        <v>24692267</v>
      </c>
    </row>
    <row r="46" spans="3:150" x14ac:dyDescent="0.2">
      <c r="C46" s="13" t="s">
        <v>305</v>
      </c>
      <c r="E46" s="369"/>
      <c r="F46" s="387"/>
      <c r="G46" s="387"/>
      <c r="H46" s="380">
        <f>+[31]foreigndebt!G17</f>
        <v>121373000</v>
      </c>
      <c r="I46" s="189"/>
      <c r="K46" s="198"/>
      <c r="L46" s="387"/>
      <c r="M46" s="380">
        <f>+[31]foreigndebt!L17</f>
        <v>0</v>
      </c>
      <c r="N46" s="189"/>
      <c r="P46" s="198"/>
      <c r="Q46" s="387"/>
      <c r="R46" s="380">
        <f>+[31]foreigndebt!Q17</f>
        <v>0</v>
      </c>
      <c r="S46" s="189"/>
      <c r="U46" s="198"/>
      <c r="V46" s="387"/>
      <c r="W46" s="380">
        <f>+[31]foreigndebt!V17</f>
        <v>0</v>
      </c>
      <c r="X46" s="189"/>
      <c r="Z46" s="198"/>
      <c r="AA46" s="387"/>
      <c r="AB46" s="380">
        <f>+[31]foreigndebt!AA17</f>
        <v>86911584</v>
      </c>
      <c r="AC46" s="189"/>
      <c r="AE46" s="198"/>
      <c r="AF46" s="387"/>
      <c r="AG46" s="380">
        <f>+[31]foreigndebt!AF17</f>
        <v>0</v>
      </c>
      <c r="AH46" s="189"/>
      <c r="AJ46" s="198"/>
      <c r="AK46" s="387"/>
      <c r="AL46" s="380">
        <f>+[31]foreigndebt!AK17</f>
        <v>0</v>
      </c>
      <c r="AM46" s="189"/>
      <c r="AO46" s="198"/>
      <c r="AP46" s="387"/>
      <c r="AQ46" s="380">
        <f>+[31]foreigndebt!AP17</f>
        <v>5008164</v>
      </c>
      <c r="AR46" s="189"/>
      <c r="AT46" s="198"/>
      <c r="AU46" s="387"/>
      <c r="AV46" s="380">
        <f>+[31]foreigndebt!AU17</f>
        <v>0</v>
      </c>
      <c r="AW46" s="189"/>
      <c r="AY46" s="198"/>
      <c r="AZ46" s="387"/>
      <c r="BA46" s="380">
        <f>+[31]foreigndebt!AZ17</f>
        <v>0</v>
      </c>
      <c r="BB46" s="189"/>
      <c r="BD46" s="198"/>
      <c r="BE46" s="387"/>
      <c r="BF46" s="380">
        <f>+[31]foreigndebt!BE17</f>
        <v>0</v>
      </c>
      <c r="BG46" s="189"/>
      <c r="BI46" s="198"/>
      <c r="BJ46" s="387"/>
      <c r="BK46" s="380">
        <f>+[31]foreigndebt!BJ17</f>
        <v>0</v>
      </c>
      <c r="BL46" s="189"/>
      <c r="BN46" s="198"/>
      <c r="BO46" s="387"/>
      <c r="BP46" s="380">
        <f>+[31]foreigndebt!BO17</f>
        <v>0</v>
      </c>
      <c r="BQ46" s="189"/>
      <c r="BS46" s="198"/>
      <c r="BT46" s="387"/>
      <c r="BU46" s="380">
        <f>+[31]foreigndebt!BT17</f>
        <v>91919748</v>
      </c>
      <c r="BV46" s="189"/>
      <c r="BX46" s="198"/>
      <c r="BY46" s="387"/>
      <c r="BZ46" s="379">
        <f>[31]foreigndebt!BY13</f>
        <v>76052000</v>
      </c>
      <c r="CA46" s="189"/>
      <c r="CC46" s="198"/>
      <c r="CD46" s="387"/>
      <c r="CE46" s="380">
        <f>+[31]foreigndebt!CD17</f>
        <v>0</v>
      </c>
      <c r="CF46" s="189"/>
      <c r="CH46" s="198"/>
      <c r="CI46" s="387"/>
      <c r="CJ46" s="380">
        <f>+[31]foreigndebt!CI17</f>
        <v>0</v>
      </c>
      <c r="CK46" s="189"/>
      <c r="CM46" s="198"/>
      <c r="CN46" s="387"/>
      <c r="CO46" s="380">
        <f>+[31]foreigndebt!CN17</f>
        <v>0</v>
      </c>
      <c r="CP46" s="189"/>
      <c r="CR46" s="198"/>
      <c r="CS46" s="387"/>
      <c r="CT46" s="380">
        <f>+[31]foreigndebt!CS17</f>
        <v>0</v>
      </c>
      <c r="CU46" s="189"/>
      <c r="CW46" s="198"/>
      <c r="CX46" s="387"/>
      <c r="CY46" s="380">
        <f>+[31]foreigndebt!CX17</f>
        <v>0</v>
      </c>
      <c r="CZ46" s="189"/>
      <c r="DB46" s="198"/>
      <c r="DC46" s="387"/>
      <c r="DD46" s="380">
        <f>+[31]foreigndebt!DC17</f>
        <v>76052000</v>
      </c>
      <c r="DE46" s="189"/>
      <c r="DG46" s="198"/>
      <c r="DH46" s="387"/>
      <c r="DI46" s="380">
        <f>+[31]foreigndebt!DH17</f>
        <v>0</v>
      </c>
      <c r="DJ46" s="189"/>
      <c r="DL46" s="198"/>
      <c r="DM46" s="387"/>
      <c r="DN46" s="380">
        <f>+[31]foreigndebt!DM17</f>
        <v>0</v>
      </c>
      <c r="DO46" s="189"/>
      <c r="DQ46" s="198"/>
      <c r="DR46" s="387"/>
      <c r="DS46" s="380">
        <f>+[31]foreigndebt!DR17</f>
        <v>0</v>
      </c>
      <c r="DT46" s="189"/>
      <c r="DV46" s="198"/>
      <c r="DW46" s="387"/>
      <c r="DX46" s="380">
        <f>+[31]foreigndebt!DW17</f>
        <v>0</v>
      </c>
      <c r="DY46" s="189"/>
      <c r="EA46" s="198"/>
      <c r="EB46" s="387"/>
      <c r="EC46" s="380">
        <f>+[31]foreigndebt!EB17</f>
        <v>0</v>
      </c>
      <c r="ED46" s="189"/>
      <c r="EF46" s="198"/>
      <c r="EG46" s="387"/>
      <c r="EH46" s="380">
        <f>+[31]foreigndebt!EG17</f>
        <v>0</v>
      </c>
      <c r="EI46" s="189"/>
      <c r="EK46" s="198"/>
      <c r="EL46" s="387"/>
      <c r="EM46" s="380">
        <f>+[31]foreigndebt!EL17</f>
        <v>76052000</v>
      </c>
      <c r="EN46" s="189"/>
      <c r="EP46" s="13"/>
      <c r="ES46" s="14"/>
      <c r="ET46" s="14">
        <f t="shared" si="0"/>
        <v>0</v>
      </c>
    </row>
    <row r="47" spans="3:150" ht="12.75" hidden="1" customHeight="1" x14ac:dyDescent="0.2">
      <c r="C47" s="13" t="s">
        <v>307</v>
      </c>
      <c r="E47" s="369"/>
      <c r="F47" s="387"/>
      <c r="G47" s="387"/>
      <c r="H47" s="124">
        <f>-[31]foreigndebt!G19</f>
        <v>0</v>
      </c>
      <c r="I47" s="189"/>
      <c r="K47" s="198"/>
      <c r="L47" s="387"/>
      <c r="M47" s="124">
        <f>-[31]foreigndebt!L19</f>
        <v>0</v>
      </c>
      <c r="N47" s="189"/>
      <c r="P47" s="198"/>
      <c r="Q47" s="387"/>
      <c r="R47" s="124">
        <f>-[31]foreigndebt!Q19</f>
        <v>0</v>
      </c>
      <c r="S47" s="189"/>
      <c r="U47" s="198"/>
      <c r="V47" s="387"/>
      <c r="W47" s="124">
        <f>-[31]foreigndebt!V19</f>
        <v>0</v>
      </c>
      <c r="X47" s="189"/>
      <c r="Z47" s="198"/>
      <c r="AA47" s="387"/>
      <c r="AB47" s="124">
        <f>-[31]foreigndebt!AA19</f>
        <v>0</v>
      </c>
      <c r="AC47" s="189"/>
      <c r="AE47" s="198"/>
      <c r="AF47" s="387"/>
      <c r="AG47" s="124">
        <f>-[31]foreigndebt!AF19</f>
        <v>0</v>
      </c>
      <c r="AH47" s="189"/>
      <c r="AJ47" s="198"/>
      <c r="AK47" s="387"/>
      <c r="AL47" s="124">
        <f>-[31]foreigndebt!AK19</f>
        <v>0</v>
      </c>
      <c r="AM47" s="189"/>
      <c r="AO47" s="198"/>
      <c r="AP47" s="387"/>
      <c r="AQ47" s="124">
        <f>-[31]foreigndebt!AP19</f>
        <v>0</v>
      </c>
      <c r="AR47" s="189"/>
      <c r="AT47" s="198"/>
      <c r="AU47" s="387"/>
      <c r="AV47" s="124">
        <f>-[31]foreigndebt!AU19</f>
        <v>0</v>
      </c>
      <c r="AW47" s="189"/>
      <c r="AY47" s="198"/>
      <c r="AZ47" s="387"/>
      <c r="BA47" s="124">
        <f>-[31]foreigndebt!AZ19</f>
        <v>0</v>
      </c>
      <c r="BB47" s="189"/>
      <c r="BD47" s="198"/>
      <c r="BE47" s="387"/>
      <c r="BF47" s="124">
        <f>-[31]foreigndebt!BE19</f>
        <v>0</v>
      </c>
      <c r="BG47" s="189"/>
      <c r="BI47" s="198"/>
      <c r="BJ47" s="387"/>
      <c r="BK47" s="124">
        <f>-[31]foreigndebt!BJ19</f>
        <v>0</v>
      </c>
      <c r="BL47" s="189"/>
      <c r="BN47" s="198"/>
      <c r="BO47" s="387"/>
      <c r="BP47" s="124">
        <f>-[31]foreigndebt!BO19</f>
        <v>0</v>
      </c>
      <c r="BQ47" s="189"/>
      <c r="BS47" s="198"/>
      <c r="BT47" s="387"/>
      <c r="BU47" s="124">
        <f>-[31]foreigndebt!BT19</f>
        <v>0</v>
      </c>
      <c r="BV47" s="189"/>
      <c r="BX47" s="198"/>
      <c r="BY47" s="387"/>
      <c r="BZ47" s="381">
        <f>-[31]foreigndebt!BY19</f>
        <v>0</v>
      </c>
      <c r="CA47" s="189"/>
      <c r="CC47" s="198"/>
      <c r="CD47" s="387"/>
      <c r="CE47" s="124">
        <f>-[31]foreigndebt!CD19</f>
        <v>0</v>
      </c>
      <c r="CF47" s="189"/>
      <c r="CH47" s="198"/>
      <c r="CI47" s="387"/>
      <c r="CJ47" s="124">
        <f>-[31]foreigndebt!CI19</f>
        <v>0</v>
      </c>
      <c r="CK47" s="189"/>
      <c r="CM47" s="198"/>
      <c r="CN47" s="387"/>
      <c r="CO47" s="124">
        <f>-[31]foreigndebt!CN19</f>
        <v>0</v>
      </c>
      <c r="CP47" s="189"/>
      <c r="CR47" s="198"/>
      <c r="CS47" s="387"/>
      <c r="CT47" s="124">
        <f>-[31]foreigndebt!CS19</f>
        <v>0</v>
      </c>
      <c r="CU47" s="189"/>
      <c r="CW47" s="198"/>
      <c r="CX47" s="387"/>
      <c r="CY47" s="124">
        <f>-[31]foreigndebt!CX19</f>
        <v>0</v>
      </c>
      <c r="CZ47" s="189"/>
      <c r="DB47" s="198"/>
      <c r="DC47" s="387"/>
      <c r="DD47" s="124">
        <f>-[31]foreigndebt!DC19</f>
        <v>0</v>
      </c>
      <c r="DE47" s="189"/>
      <c r="DG47" s="198"/>
      <c r="DH47" s="387"/>
      <c r="DI47" s="124">
        <f>-[31]foreigndebt!DH19</f>
        <v>0</v>
      </c>
      <c r="DJ47" s="189"/>
      <c r="DL47" s="198"/>
      <c r="DM47" s="387"/>
      <c r="DN47" s="124">
        <f>-[31]foreigndebt!DM19</f>
        <v>0</v>
      </c>
      <c r="DO47" s="189"/>
      <c r="DQ47" s="198"/>
      <c r="DR47" s="387"/>
      <c r="DS47" s="124">
        <f>-[31]foreigndebt!DR19</f>
        <v>0</v>
      </c>
      <c r="DT47" s="189"/>
      <c r="DV47" s="198"/>
      <c r="DW47" s="387"/>
      <c r="DX47" s="124">
        <f>-[31]foreigndebt!DW19</f>
        <v>0</v>
      </c>
      <c r="DY47" s="189"/>
      <c r="EA47" s="198"/>
      <c r="EB47" s="387"/>
      <c r="EC47" s="124">
        <f>-[31]foreigndebt!EB19</f>
        <v>0</v>
      </c>
      <c r="ED47" s="189"/>
      <c r="EF47" s="198"/>
      <c r="EG47" s="387"/>
      <c r="EH47" s="124">
        <f>-[31]foreigndebt!EG19</f>
        <v>0</v>
      </c>
      <c r="EI47" s="189"/>
      <c r="EK47" s="198"/>
      <c r="EL47" s="387"/>
      <c r="EM47" s="124">
        <f>-[31]foreigndebt!EL19</f>
        <v>0</v>
      </c>
      <c r="EN47" s="189"/>
      <c r="EP47" s="13"/>
      <c r="ES47" s="14"/>
      <c r="ET47" s="14">
        <f t="shared" si="0"/>
        <v>0</v>
      </c>
    </row>
    <row r="48" spans="3:150" x14ac:dyDescent="0.2">
      <c r="C48" s="13" t="s">
        <v>308</v>
      </c>
      <c r="E48" s="369"/>
      <c r="F48" s="387"/>
      <c r="G48" s="387"/>
      <c r="H48" s="124"/>
      <c r="I48" s="189"/>
      <c r="K48" s="198"/>
      <c r="L48" s="387"/>
      <c r="M48" s="124"/>
      <c r="N48" s="189"/>
      <c r="P48" s="198"/>
      <c r="Q48" s="387"/>
      <c r="R48" s="124"/>
      <c r="S48" s="189"/>
      <c r="U48" s="198"/>
      <c r="V48" s="387"/>
      <c r="W48" s="124"/>
      <c r="X48" s="189"/>
      <c r="Z48" s="198"/>
      <c r="AA48" s="387"/>
      <c r="AB48" s="124"/>
      <c r="AC48" s="189"/>
      <c r="AE48" s="198"/>
      <c r="AF48" s="387"/>
      <c r="AG48" s="124"/>
      <c r="AH48" s="189"/>
      <c r="AJ48" s="198"/>
      <c r="AK48" s="387"/>
      <c r="AL48" s="124"/>
      <c r="AM48" s="189"/>
      <c r="AO48" s="198"/>
      <c r="AP48" s="387"/>
      <c r="AQ48" s="124"/>
      <c r="AR48" s="189"/>
      <c r="AT48" s="198"/>
      <c r="AU48" s="387"/>
      <c r="AV48" s="124"/>
      <c r="AW48" s="189"/>
      <c r="AY48" s="198"/>
      <c r="AZ48" s="387"/>
      <c r="BA48" s="124"/>
      <c r="BB48" s="189"/>
      <c r="BD48" s="198"/>
      <c r="BE48" s="387"/>
      <c r="BF48" s="124"/>
      <c r="BG48" s="189"/>
      <c r="BI48" s="198"/>
      <c r="BJ48" s="387"/>
      <c r="BK48" s="124"/>
      <c r="BL48" s="189"/>
      <c r="BN48" s="198"/>
      <c r="BO48" s="387"/>
      <c r="BP48" s="124"/>
      <c r="BQ48" s="189"/>
      <c r="BS48" s="198"/>
      <c r="BT48" s="387"/>
      <c r="BU48" s="124"/>
      <c r="BV48" s="189"/>
      <c r="BX48" s="198"/>
      <c r="BY48" s="387"/>
      <c r="BZ48" s="381"/>
      <c r="CA48" s="189"/>
      <c r="CC48" s="198"/>
      <c r="CD48" s="387"/>
      <c r="CE48" s="124"/>
      <c r="CF48" s="189"/>
      <c r="CH48" s="198"/>
      <c r="CI48" s="387"/>
      <c r="CJ48" s="124"/>
      <c r="CK48" s="189"/>
      <c r="CM48" s="198"/>
      <c r="CN48" s="387"/>
      <c r="CO48" s="124"/>
      <c r="CP48" s="189"/>
      <c r="CR48" s="198"/>
      <c r="CS48" s="387"/>
      <c r="CT48" s="124"/>
      <c r="CU48" s="189"/>
      <c r="CW48" s="198"/>
      <c r="CX48" s="387"/>
      <c r="CY48" s="124"/>
      <c r="CZ48" s="189"/>
      <c r="DB48" s="198"/>
      <c r="DC48" s="387"/>
      <c r="DD48" s="124"/>
      <c r="DE48" s="189"/>
      <c r="DG48" s="198"/>
      <c r="DH48" s="387"/>
      <c r="DI48" s="124"/>
      <c r="DJ48" s="189"/>
      <c r="DL48" s="198"/>
      <c r="DM48" s="387"/>
      <c r="DN48" s="124"/>
      <c r="DO48" s="189"/>
      <c r="DQ48" s="198"/>
      <c r="DR48" s="387"/>
      <c r="DS48" s="124"/>
      <c r="DT48" s="189"/>
      <c r="DV48" s="198"/>
      <c r="DW48" s="387"/>
      <c r="DX48" s="124"/>
      <c r="DY48" s="189"/>
      <c r="EA48" s="198"/>
      <c r="EB48" s="387"/>
      <c r="EC48" s="124"/>
      <c r="ED48" s="189"/>
      <c r="EF48" s="198"/>
      <c r="EG48" s="387"/>
      <c r="EH48" s="124"/>
      <c r="EI48" s="189"/>
      <c r="EK48" s="198"/>
      <c r="EL48" s="387"/>
      <c r="EM48" s="124"/>
      <c r="EN48" s="189"/>
      <c r="EP48" s="13"/>
      <c r="ES48" s="14"/>
      <c r="ET48" s="14">
        <f t="shared" si="0"/>
        <v>0</v>
      </c>
    </row>
    <row r="49" spans="3:150" x14ac:dyDescent="0.2">
      <c r="C49" s="187" t="s">
        <v>321</v>
      </c>
      <c r="E49" s="369"/>
      <c r="F49" s="387"/>
      <c r="G49" s="387"/>
      <c r="H49" s="124">
        <f>-[31]foreigndebt!G108</f>
        <v>-7961000</v>
      </c>
      <c r="I49" s="189"/>
      <c r="K49" s="198"/>
      <c r="L49" s="387"/>
      <c r="M49" s="124">
        <f>-[31]foreigndebt!L108</f>
        <v>-391647</v>
      </c>
      <c r="N49" s="189"/>
      <c r="P49" s="198"/>
      <c r="Q49" s="387"/>
      <c r="R49" s="124">
        <f>-[31]foreigndebt!Q108</f>
        <v>-1962723</v>
      </c>
      <c r="S49" s="189"/>
      <c r="U49" s="198"/>
      <c r="V49" s="387"/>
      <c r="W49" s="124">
        <f>-[31]foreigndebt!V108</f>
        <v>-5604275</v>
      </c>
      <c r="X49" s="189"/>
      <c r="Z49" s="198"/>
      <c r="AA49" s="387"/>
      <c r="AB49" s="124">
        <f>-[31]foreigndebt!AA108</f>
        <v>0</v>
      </c>
      <c r="AC49" s="189"/>
      <c r="AE49" s="198"/>
      <c r="AF49" s="387"/>
      <c r="AG49" s="124">
        <f>-[31]foreigndebt!AF108</f>
        <v>0</v>
      </c>
      <c r="AH49" s="189"/>
      <c r="AJ49" s="198"/>
      <c r="AK49" s="387"/>
      <c r="AL49" s="124">
        <f>-[31]foreigndebt!AK108</f>
        <v>0</v>
      </c>
      <c r="AM49" s="189"/>
      <c r="AO49" s="198"/>
      <c r="AP49" s="387"/>
      <c r="AQ49" s="124">
        <f>-[31]foreigndebt!AP108</f>
        <v>0</v>
      </c>
      <c r="AR49" s="189"/>
      <c r="AT49" s="198"/>
      <c r="AU49" s="387"/>
      <c r="AV49" s="124">
        <f>-[31]foreigndebt!AU108</f>
        <v>-1940</v>
      </c>
      <c r="AW49" s="189"/>
      <c r="AY49" s="198"/>
      <c r="AZ49" s="387"/>
      <c r="BA49" s="124">
        <f>-[31]foreigndebt!AZ108</f>
        <v>0</v>
      </c>
      <c r="BB49" s="189"/>
      <c r="BD49" s="198"/>
      <c r="BE49" s="387"/>
      <c r="BF49" s="124">
        <f>-[31]foreigndebt!BE108</f>
        <v>0</v>
      </c>
      <c r="BG49" s="189"/>
      <c r="BI49" s="198"/>
      <c r="BJ49" s="387"/>
      <c r="BK49" s="124">
        <f>-[31]foreigndebt!BJ108</f>
        <v>0</v>
      </c>
      <c r="BL49" s="189"/>
      <c r="BN49" s="198"/>
      <c r="BO49" s="387"/>
      <c r="BP49" s="124">
        <f>-[31]foreigndebt!BO108</f>
        <v>0</v>
      </c>
      <c r="BQ49" s="189"/>
      <c r="BS49" s="198"/>
      <c r="BT49" s="387"/>
      <c r="BU49" s="124">
        <f>-[31]foreigndebt!BT108</f>
        <v>-7960585</v>
      </c>
      <c r="BV49" s="189"/>
      <c r="BX49" s="198"/>
      <c r="BY49" s="387"/>
      <c r="BZ49" s="381">
        <f>-[31]foreigndebt!BY108</f>
        <v>-26952291</v>
      </c>
      <c r="CA49" s="189"/>
      <c r="CC49" s="198"/>
      <c r="CD49" s="387"/>
      <c r="CE49" s="124">
        <f>-[31]foreigndebt!CD108</f>
        <v>-391647</v>
      </c>
      <c r="CF49" s="189"/>
      <c r="CH49" s="198"/>
      <c r="CI49" s="387"/>
      <c r="CJ49" s="124">
        <f>-[31]foreigndebt!CI108</f>
        <v>-14120864</v>
      </c>
      <c r="CK49" s="189"/>
      <c r="CM49" s="198"/>
      <c r="CN49" s="387"/>
      <c r="CO49" s="124">
        <f>-[31]foreigndebt!CN108</f>
        <v>0</v>
      </c>
      <c r="CP49" s="189"/>
      <c r="CR49" s="198"/>
      <c r="CS49" s="387"/>
      <c r="CT49" s="124">
        <f>-[31]foreigndebt!CS108</f>
        <v>0</v>
      </c>
      <c r="CU49" s="189"/>
      <c r="CW49" s="198"/>
      <c r="CX49" s="387"/>
      <c r="CY49" s="124">
        <f>-[31]foreigndebt!CX108</f>
        <v>0</v>
      </c>
      <c r="CZ49" s="189"/>
      <c r="DB49" s="198"/>
      <c r="DC49" s="387"/>
      <c r="DD49" s="124">
        <f>-[31]foreigndebt!DC108</f>
        <v>0</v>
      </c>
      <c r="DE49" s="189"/>
      <c r="DG49" s="198"/>
      <c r="DH49" s="387"/>
      <c r="DI49" s="124">
        <f>-[31]foreigndebt!DH108</f>
        <v>-391647</v>
      </c>
      <c r="DJ49" s="189"/>
      <c r="DL49" s="198"/>
      <c r="DM49" s="387"/>
      <c r="DN49" s="124">
        <f>-[31]foreigndebt!DM108</f>
        <v>-1940</v>
      </c>
      <c r="DO49" s="189"/>
      <c r="DQ49" s="198"/>
      <c r="DR49" s="387"/>
      <c r="DS49" s="124">
        <f>-[31]foreigndebt!DR108</f>
        <v>0</v>
      </c>
      <c r="DT49" s="189"/>
      <c r="DV49" s="198"/>
      <c r="DW49" s="387"/>
      <c r="DX49" s="124">
        <f>-[31]foreigndebt!DW108</f>
        <v>0</v>
      </c>
      <c r="DY49" s="189"/>
      <c r="EA49" s="198"/>
      <c r="EB49" s="387"/>
      <c r="EC49" s="124">
        <f>-[31]foreigndebt!EB108</f>
        <v>0</v>
      </c>
      <c r="ED49" s="189"/>
      <c r="EF49" s="198"/>
      <c r="EG49" s="387"/>
      <c r="EH49" s="124">
        <f>-[31]foreigndebt!EG108</f>
        <v>-12046193</v>
      </c>
      <c r="EI49" s="189"/>
      <c r="EK49" s="198"/>
      <c r="EL49" s="387"/>
      <c r="EM49" s="124">
        <f>-[31]foreigndebt!EL108</f>
        <v>-14906098</v>
      </c>
      <c r="EN49" s="189"/>
      <c r="EP49" s="13"/>
      <c r="ES49" s="14"/>
      <c r="ET49" s="14">
        <f t="shared" si="0"/>
        <v>12046193</v>
      </c>
    </row>
    <row r="50" spans="3:150" x14ac:dyDescent="0.2">
      <c r="C50" s="187" t="s">
        <v>322</v>
      </c>
      <c r="E50" s="369"/>
      <c r="F50" s="387"/>
      <c r="G50" s="387"/>
      <c r="H50" s="213">
        <f>-[31]foreigndebt!G109</f>
        <v>-6456000</v>
      </c>
      <c r="I50" s="189"/>
      <c r="K50" s="198"/>
      <c r="L50" s="387"/>
      <c r="M50" s="213">
        <f>-[31]foreigndebt!L109</f>
        <v>-386018</v>
      </c>
      <c r="N50" s="189"/>
      <c r="P50" s="198"/>
      <c r="Q50" s="387"/>
      <c r="R50" s="213">
        <f>-[31]foreigndebt!Q109</f>
        <v>-2969263</v>
      </c>
      <c r="S50" s="189"/>
      <c r="U50" s="198"/>
      <c r="V50" s="387"/>
      <c r="W50" s="213">
        <f>-[31]foreigndebt!V109</f>
        <v>-3095425</v>
      </c>
      <c r="X50" s="189"/>
      <c r="Z50" s="198"/>
      <c r="AA50" s="387"/>
      <c r="AB50" s="213">
        <f>-[31]foreigndebt!AA109</f>
        <v>0</v>
      </c>
      <c r="AC50" s="189"/>
      <c r="AE50" s="198"/>
      <c r="AF50" s="387"/>
      <c r="AG50" s="213">
        <f>-[31]foreigndebt!AF109</f>
        <v>0</v>
      </c>
      <c r="AH50" s="189"/>
      <c r="AJ50" s="198"/>
      <c r="AK50" s="387"/>
      <c r="AL50" s="213">
        <f>-[31]foreigndebt!AK109</f>
        <v>0</v>
      </c>
      <c r="AM50" s="189"/>
      <c r="AO50" s="198"/>
      <c r="AP50" s="387"/>
      <c r="AQ50" s="213">
        <f>-[31]foreigndebt!AP109</f>
        <v>0</v>
      </c>
      <c r="AR50" s="189"/>
      <c r="AT50" s="198"/>
      <c r="AU50" s="387"/>
      <c r="AV50" s="213">
        <f>-[31]foreigndebt!AU109</f>
        <v>-5027</v>
      </c>
      <c r="AW50" s="189"/>
      <c r="AY50" s="198"/>
      <c r="AZ50" s="387"/>
      <c r="BA50" s="213">
        <f>-[31]foreigndebt!AZ109</f>
        <v>0</v>
      </c>
      <c r="BB50" s="189"/>
      <c r="BD50" s="198"/>
      <c r="BE50" s="387"/>
      <c r="BF50" s="213">
        <f>-[31]foreigndebt!BE109</f>
        <v>0</v>
      </c>
      <c r="BG50" s="189"/>
      <c r="BI50" s="198"/>
      <c r="BJ50" s="387"/>
      <c r="BK50" s="213">
        <f>-[31]foreigndebt!BJ109</f>
        <v>0</v>
      </c>
      <c r="BL50" s="189"/>
      <c r="BN50" s="198"/>
      <c r="BO50" s="387"/>
      <c r="BP50" s="213">
        <f>-[31]foreigndebt!BO109</f>
        <v>0</v>
      </c>
      <c r="BQ50" s="189"/>
      <c r="BS50" s="198"/>
      <c r="BT50" s="387"/>
      <c r="BU50" s="213">
        <f>-[31]foreigndebt!BT109</f>
        <v>-6455733</v>
      </c>
      <c r="BV50" s="189"/>
      <c r="BX50" s="198"/>
      <c r="BY50" s="387"/>
      <c r="BZ50" s="382">
        <f>-[31]foreigndebt!BY109</f>
        <v>-24276666</v>
      </c>
      <c r="CA50" s="189"/>
      <c r="CC50" s="198"/>
      <c r="CD50" s="387"/>
      <c r="CE50" s="213">
        <f>-[31]foreigndebt!CD109</f>
        <v>-236802</v>
      </c>
      <c r="CF50" s="189"/>
      <c r="CH50" s="198"/>
      <c r="CI50" s="387"/>
      <c r="CJ50" s="213">
        <f>-[31]foreigndebt!CI109</f>
        <v>-11126521</v>
      </c>
      <c r="CK50" s="189"/>
      <c r="CM50" s="198"/>
      <c r="CN50" s="387"/>
      <c r="CO50" s="213">
        <f>-[31]foreigndebt!CN109</f>
        <v>0</v>
      </c>
      <c r="CP50" s="189"/>
      <c r="CR50" s="198"/>
      <c r="CS50" s="387"/>
      <c r="CT50" s="213">
        <f>-[31]foreigndebt!CS109</f>
        <v>0</v>
      </c>
      <c r="CU50" s="189"/>
      <c r="CW50" s="198"/>
      <c r="CX50" s="387"/>
      <c r="CY50" s="213">
        <f>-[31]foreigndebt!CX109</f>
        <v>0</v>
      </c>
      <c r="CZ50" s="189"/>
      <c r="DB50" s="198"/>
      <c r="DC50" s="387"/>
      <c r="DD50" s="213">
        <f>-[31]foreigndebt!DC109</f>
        <v>0</v>
      </c>
      <c r="DE50" s="189"/>
      <c r="DG50" s="198"/>
      <c r="DH50" s="387"/>
      <c r="DI50" s="213">
        <f>-[31]foreigndebt!DH109</f>
        <v>-262844</v>
      </c>
      <c r="DJ50" s="189"/>
      <c r="DL50" s="198"/>
      <c r="DM50" s="387"/>
      <c r="DN50" s="213">
        <f>-[31]foreigndebt!DM109</f>
        <v>-4425</v>
      </c>
      <c r="DO50" s="189"/>
      <c r="DQ50" s="198"/>
      <c r="DR50" s="387"/>
      <c r="DS50" s="213">
        <f>-[31]foreigndebt!DR109</f>
        <v>0</v>
      </c>
      <c r="DT50" s="189"/>
      <c r="DV50" s="198"/>
      <c r="DW50" s="387"/>
      <c r="DX50" s="213">
        <f>-[31]foreigndebt!DW109</f>
        <v>0</v>
      </c>
      <c r="DY50" s="189"/>
      <c r="EA50" s="198"/>
      <c r="EB50" s="387"/>
      <c r="EC50" s="213">
        <f>-[31]foreigndebt!EB109</f>
        <v>0</v>
      </c>
      <c r="ED50" s="189"/>
      <c r="EF50" s="198"/>
      <c r="EG50" s="387"/>
      <c r="EH50" s="213">
        <f>-[31]foreigndebt!EG109</f>
        <v>-12646074</v>
      </c>
      <c r="EI50" s="189"/>
      <c r="EK50" s="198"/>
      <c r="EL50" s="387"/>
      <c r="EM50" s="213">
        <f>-[31]foreigndebt!EL109</f>
        <v>-11630592</v>
      </c>
      <c r="EN50" s="189"/>
      <c r="EP50" s="13"/>
      <c r="ES50" s="14"/>
      <c r="ET50" s="14">
        <f t="shared" si="0"/>
        <v>12646074</v>
      </c>
    </row>
    <row r="51" spans="3:150" ht="13.9" hidden="1" customHeight="1" x14ac:dyDescent="0.2">
      <c r="C51" s="13"/>
      <c r="E51" s="369"/>
      <c r="F51" s="387"/>
      <c r="G51" s="387"/>
      <c r="I51" s="189"/>
      <c r="K51" s="198"/>
      <c r="L51" s="387"/>
      <c r="N51" s="189"/>
      <c r="P51" s="198"/>
      <c r="Q51" s="387"/>
      <c r="S51" s="189"/>
      <c r="U51" s="198"/>
      <c r="V51" s="387"/>
      <c r="X51" s="189"/>
      <c r="Z51" s="198"/>
      <c r="AA51" s="387"/>
      <c r="AC51" s="189"/>
      <c r="AE51" s="198"/>
      <c r="AF51" s="387"/>
      <c r="AH51" s="189"/>
      <c r="AJ51" s="198"/>
      <c r="AK51" s="387"/>
      <c r="AM51" s="189"/>
      <c r="AO51" s="198"/>
      <c r="AP51" s="387"/>
      <c r="AR51" s="189"/>
      <c r="AT51" s="198"/>
      <c r="AU51" s="387"/>
      <c r="AW51" s="189"/>
      <c r="AY51" s="198"/>
      <c r="AZ51" s="387"/>
      <c r="BB51" s="189"/>
      <c r="BD51" s="198"/>
      <c r="BE51" s="387"/>
      <c r="BG51" s="189"/>
      <c r="BI51" s="198"/>
      <c r="BJ51" s="387"/>
      <c r="BL51" s="189"/>
      <c r="BN51" s="198"/>
      <c r="BO51" s="387"/>
      <c r="BQ51" s="189"/>
      <c r="BS51" s="198"/>
      <c r="BT51" s="387"/>
      <c r="BV51" s="189"/>
      <c r="BX51" s="198"/>
      <c r="BY51" s="387"/>
      <c r="BZ51" s="383"/>
      <c r="CA51" s="189"/>
      <c r="CC51" s="198"/>
      <c r="CD51" s="387"/>
      <c r="CF51" s="189"/>
      <c r="CH51" s="198"/>
      <c r="CI51" s="387"/>
      <c r="CK51" s="189"/>
      <c r="CM51" s="198"/>
      <c r="CN51" s="387"/>
      <c r="CP51" s="189"/>
      <c r="CR51" s="198"/>
      <c r="CS51" s="387"/>
      <c r="CU51" s="189"/>
      <c r="CW51" s="198"/>
      <c r="CX51" s="387"/>
      <c r="CZ51" s="189"/>
      <c r="DB51" s="198"/>
      <c r="DC51" s="387"/>
      <c r="DE51" s="189"/>
      <c r="DG51" s="198"/>
      <c r="DH51" s="387"/>
      <c r="DJ51" s="189"/>
      <c r="DL51" s="198"/>
      <c r="DM51" s="387"/>
      <c r="DO51" s="189"/>
      <c r="DQ51" s="198"/>
      <c r="DR51" s="387"/>
      <c r="DT51" s="189"/>
      <c r="DV51" s="198"/>
      <c r="DW51" s="387"/>
      <c r="DY51" s="189"/>
      <c r="EA51" s="198"/>
      <c r="EB51" s="387"/>
      <c r="ED51" s="189"/>
      <c r="EF51" s="198"/>
      <c r="EG51" s="387"/>
      <c r="EI51" s="189"/>
      <c r="EK51" s="198"/>
      <c r="EL51" s="387"/>
      <c r="EN51" s="189"/>
      <c r="EP51" s="13"/>
      <c r="ES51" s="14"/>
      <c r="ET51" s="14">
        <f t="shared" si="0"/>
        <v>0</v>
      </c>
    </row>
    <row r="52" spans="3:150" ht="13.9" hidden="1" customHeight="1" x14ac:dyDescent="0.2">
      <c r="C52" s="13" t="s">
        <v>311</v>
      </c>
      <c r="E52" s="369"/>
      <c r="F52" s="387"/>
      <c r="G52" s="387"/>
      <c r="H52" s="1">
        <f>SUM(H53:H57)</f>
        <v>0</v>
      </c>
      <c r="I52" s="189"/>
      <c r="K52" s="198"/>
      <c r="L52" s="387"/>
      <c r="M52" s="1">
        <f>SUM(M53:M57)</f>
        <v>0</v>
      </c>
      <c r="N52" s="189"/>
      <c r="P52" s="198"/>
      <c r="Q52" s="387"/>
      <c r="R52" s="1">
        <f>SUM(R53:R57)</f>
        <v>0</v>
      </c>
      <c r="S52" s="189"/>
      <c r="U52" s="198"/>
      <c r="V52" s="387"/>
      <c r="W52" s="1">
        <f>SUM(W53:W57)</f>
        <v>0</v>
      </c>
      <c r="X52" s="189"/>
      <c r="Z52" s="198"/>
      <c r="AA52" s="387"/>
      <c r="AB52" s="1">
        <f>SUM(AB53:AB57)</f>
        <v>0</v>
      </c>
      <c r="AC52" s="189"/>
      <c r="AE52" s="198"/>
      <c r="AF52" s="387"/>
      <c r="AG52" s="1">
        <f>SUM(AG53:AG57)</f>
        <v>0</v>
      </c>
      <c r="AH52" s="189"/>
      <c r="AJ52" s="198"/>
      <c r="AK52" s="387"/>
      <c r="AL52" s="1">
        <f>SUM(AL53:AL57)</f>
        <v>0</v>
      </c>
      <c r="AM52" s="189"/>
      <c r="AO52" s="198"/>
      <c r="AP52" s="387"/>
      <c r="AQ52" s="1">
        <f>SUM(AQ53:AQ57)</f>
        <v>0</v>
      </c>
      <c r="AR52" s="189"/>
      <c r="AT52" s="198"/>
      <c r="AU52" s="387"/>
      <c r="AV52" s="1">
        <f>SUM(AV53:AV57)</f>
        <v>0</v>
      </c>
      <c r="AW52" s="189"/>
      <c r="AY52" s="198"/>
      <c r="AZ52" s="387"/>
      <c r="BA52" s="1">
        <f>SUM(BA53:BA57)</f>
        <v>0</v>
      </c>
      <c r="BB52" s="189"/>
      <c r="BD52" s="198"/>
      <c r="BE52" s="387"/>
      <c r="BF52" s="1">
        <f>SUM(BF53:BF57)</f>
        <v>0</v>
      </c>
      <c r="BG52" s="189"/>
      <c r="BI52" s="198"/>
      <c r="BJ52" s="387"/>
      <c r="BK52" s="1">
        <f>SUM(BK53:BK57)</f>
        <v>0</v>
      </c>
      <c r="BL52" s="189"/>
      <c r="BN52" s="198"/>
      <c r="BO52" s="387"/>
      <c r="BP52" s="1">
        <f>SUM(BP53:BP57)</f>
        <v>0</v>
      </c>
      <c r="BQ52" s="189"/>
      <c r="BS52" s="198"/>
      <c r="BT52" s="387"/>
      <c r="BU52" s="1">
        <f>SUM(BU53:BU57)</f>
        <v>0</v>
      </c>
      <c r="BV52" s="189"/>
      <c r="BX52" s="198"/>
      <c r="BY52" s="387"/>
      <c r="BZ52" s="383">
        <f>SUM(BZ53:BZ57)</f>
        <v>0</v>
      </c>
      <c r="CA52" s="189"/>
      <c r="CC52" s="198"/>
      <c r="CD52" s="387"/>
      <c r="CE52" s="1">
        <f>SUM(CE53:CE57)</f>
        <v>0</v>
      </c>
      <c r="CF52" s="189"/>
      <c r="CH52" s="198"/>
      <c r="CI52" s="387"/>
      <c r="CJ52" s="1">
        <f>SUM(CJ53:CJ57)</f>
        <v>0</v>
      </c>
      <c r="CK52" s="189"/>
      <c r="CM52" s="198"/>
      <c r="CN52" s="387"/>
      <c r="CO52" s="1">
        <f>SUM(CO53:CO57)</f>
        <v>0</v>
      </c>
      <c r="CP52" s="189"/>
      <c r="CR52" s="198"/>
      <c r="CS52" s="387"/>
      <c r="CT52" s="1">
        <f>SUM(CT53:CT57)</f>
        <v>0</v>
      </c>
      <c r="CU52" s="189"/>
      <c r="CW52" s="198"/>
      <c r="CX52" s="387"/>
      <c r="CY52" s="1">
        <f>SUM(CY53:CY57)</f>
        <v>0</v>
      </c>
      <c r="CZ52" s="189"/>
      <c r="DB52" s="198"/>
      <c r="DC52" s="387"/>
      <c r="DD52" s="1">
        <f>SUM(DD53:DD57)</f>
        <v>0</v>
      </c>
      <c r="DE52" s="189"/>
      <c r="DG52" s="198"/>
      <c r="DH52" s="387"/>
      <c r="DI52" s="1">
        <f>SUM(DI53:DI57)</f>
        <v>0</v>
      </c>
      <c r="DJ52" s="189"/>
      <c r="DL52" s="198"/>
      <c r="DM52" s="387"/>
      <c r="DN52" s="1">
        <f>SUM(DN53:DN57)</f>
        <v>0</v>
      </c>
      <c r="DO52" s="189"/>
      <c r="DQ52" s="198"/>
      <c r="DR52" s="387"/>
      <c r="DS52" s="1">
        <f>SUM(DS53:DS57)</f>
        <v>0</v>
      </c>
      <c r="DT52" s="189"/>
      <c r="DV52" s="198"/>
      <c r="DW52" s="387"/>
      <c r="DX52" s="1">
        <f>SUM(DX53:DX57)</f>
        <v>0</v>
      </c>
      <c r="DY52" s="189"/>
      <c r="EA52" s="198"/>
      <c r="EB52" s="387"/>
      <c r="EC52" s="1">
        <f>SUM(EC53:EC57)</f>
        <v>0</v>
      </c>
      <c r="ED52" s="189"/>
      <c r="EF52" s="198"/>
      <c r="EG52" s="387"/>
      <c r="EH52" s="1">
        <f>SUM(EH53:EH57)</f>
        <v>0</v>
      </c>
      <c r="EI52" s="189"/>
      <c r="EK52" s="198"/>
      <c r="EL52" s="387"/>
      <c r="EM52" s="1">
        <f>SUM(EM53:EM57)</f>
        <v>0</v>
      </c>
      <c r="EN52" s="189"/>
      <c r="EP52" s="13"/>
      <c r="ES52" s="14"/>
      <c r="ET52" s="14">
        <f t="shared" si="0"/>
        <v>0</v>
      </c>
    </row>
    <row r="53" spans="3:150" ht="13.9" hidden="1" customHeight="1" x14ac:dyDescent="0.2">
      <c r="C53" s="13" t="s">
        <v>305</v>
      </c>
      <c r="E53" s="369"/>
      <c r="F53" s="387"/>
      <c r="G53" s="387"/>
      <c r="H53" s="380">
        <f>[31]foreigndebt!G62</f>
        <v>0</v>
      </c>
      <c r="I53" s="189"/>
      <c r="K53" s="198"/>
      <c r="L53" s="387"/>
      <c r="M53" s="380">
        <f>[31]foreigndebt!L62</f>
        <v>0</v>
      </c>
      <c r="N53" s="189"/>
      <c r="P53" s="198"/>
      <c r="Q53" s="387"/>
      <c r="R53" s="380">
        <f>[31]foreigndebt!Q62</f>
        <v>0</v>
      </c>
      <c r="S53" s="189"/>
      <c r="U53" s="198"/>
      <c r="V53" s="387"/>
      <c r="W53" s="380">
        <f>[31]foreigndebt!V62</f>
        <v>0</v>
      </c>
      <c r="X53" s="189"/>
      <c r="Z53" s="198"/>
      <c r="AA53" s="387"/>
      <c r="AB53" s="380">
        <f>[31]foreigndebt!AA62</f>
        <v>0</v>
      </c>
      <c r="AC53" s="189"/>
      <c r="AE53" s="198"/>
      <c r="AF53" s="387"/>
      <c r="AG53" s="380">
        <f>[31]foreigndebt!AF62</f>
        <v>0</v>
      </c>
      <c r="AH53" s="189"/>
      <c r="AJ53" s="198"/>
      <c r="AK53" s="387"/>
      <c r="AL53" s="380">
        <f>[31]foreigndebt!AK62</f>
        <v>0</v>
      </c>
      <c r="AM53" s="189"/>
      <c r="AO53" s="198"/>
      <c r="AP53" s="387"/>
      <c r="AQ53" s="380">
        <f>[31]foreigndebt!AP62</f>
        <v>0</v>
      </c>
      <c r="AR53" s="189"/>
      <c r="AT53" s="198"/>
      <c r="AU53" s="387"/>
      <c r="AV53" s="380">
        <f>[31]foreigndebt!AU62</f>
        <v>0</v>
      </c>
      <c r="AW53" s="189"/>
      <c r="AY53" s="198"/>
      <c r="AZ53" s="387"/>
      <c r="BA53" s="380">
        <f>[31]foreigndebt!AZ62</f>
        <v>0</v>
      </c>
      <c r="BB53" s="189"/>
      <c r="BD53" s="198"/>
      <c r="BE53" s="387"/>
      <c r="BF53" s="380">
        <f>[31]foreigndebt!BE62</f>
        <v>0</v>
      </c>
      <c r="BG53" s="189"/>
      <c r="BI53" s="198"/>
      <c r="BJ53" s="387"/>
      <c r="BK53" s="380">
        <f>[31]foreigndebt!BJ62</f>
        <v>0</v>
      </c>
      <c r="BL53" s="189"/>
      <c r="BN53" s="198"/>
      <c r="BO53" s="387"/>
      <c r="BP53" s="380">
        <f>[31]foreigndebt!BO62</f>
        <v>0</v>
      </c>
      <c r="BQ53" s="189"/>
      <c r="BS53" s="198"/>
      <c r="BT53" s="387"/>
      <c r="BU53" s="380">
        <f>[31]foreigndebt!BT62</f>
        <v>0</v>
      </c>
      <c r="BV53" s="189"/>
      <c r="BX53" s="198"/>
      <c r="BY53" s="387"/>
      <c r="BZ53" s="379">
        <f>[31]foreigndebt!BY63</f>
        <v>0</v>
      </c>
      <c r="CA53" s="189"/>
      <c r="CC53" s="198"/>
      <c r="CD53" s="387"/>
      <c r="CE53" s="380">
        <f>[31]foreigndebt!CD62</f>
        <v>0</v>
      </c>
      <c r="CF53" s="189"/>
      <c r="CH53" s="198"/>
      <c r="CI53" s="387"/>
      <c r="CJ53" s="380">
        <f>[31]foreigndebt!CI62</f>
        <v>0</v>
      </c>
      <c r="CK53" s="189"/>
      <c r="CM53" s="198"/>
      <c r="CN53" s="387"/>
      <c r="CO53" s="380">
        <f>[31]foreigndebt!CN62</f>
        <v>0</v>
      </c>
      <c r="CP53" s="189"/>
      <c r="CR53" s="198"/>
      <c r="CS53" s="387"/>
      <c r="CT53" s="380">
        <f>[31]foreigndebt!CS62</f>
        <v>0</v>
      </c>
      <c r="CU53" s="189"/>
      <c r="CW53" s="198"/>
      <c r="CX53" s="387"/>
      <c r="CY53" s="380">
        <f>[31]foreigndebt!CX62</f>
        <v>0</v>
      </c>
      <c r="CZ53" s="189"/>
      <c r="DB53" s="198"/>
      <c r="DC53" s="387"/>
      <c r="DD53" s="380">
        <f>[31]foreigndebt!DC62</f>
        <v>0</v>
      </c>
      <c r="DE53" s="189"/>
      <c r="DG53" s="198"/>
      <c r="DH53" s="387"/>
      <c r="DI53" s="380">
        <f>[31]foreigndebt!DH62</f>
        <v>0</v>
      </c>
      <c r="DJ53" s="189"/>
      <c r="DL53" s="198"/>
      <c r="DM53" s="387"/>
      <c r="DN53" s="380">
        <f>[31]foreigndebt!DM62</f>
        <v>0</v>
      </c>
      <c r="DO53" s="189"/>
      <c r="DQ53" s="198"/>
      <c r="DR53" s="387"/>
      <c r="DS53" s="380">
        <f>[31]foreigndebt!DR62</f>
        <v>0</v>
      </c>
      <c r="DT53" s="189"/>
      <c r="DV53" s="198"/>
      <c r="DW53" s="387"/>
      <c r="DX53" s="380">
        <f>[31]foreigndebt!DW62</f>
        <v>0</v>
      </c>
      <c r="DY53" s="189"/>
      <c r="EA53" s="198"/>
      <c r="EB53" s="387"/>
      <c r="EC53" s="380">
        <f>[31]foreigndebt!EB62</f>
        <v>0</v>
      </c>
      <c r="ED53" s="189"/>
      <c r="EF53" s="198"/>
      <c r="EG53" s="387"/>
      <c r="EH53" s="380">
        <f>[31]foreigndebt!EG62</f>
        <v>0</v>
      </c>
      <c r="EI53" s="189"/>
      <c r="EK53" s="198"/>
      <c r="EL53" s="387"/>
      <c r="EM53" s="380">
        <f>[31]foreigndebt!EL62</f>
        <v>0</v>
      </c>
      <c r="EN53" s="189"/>
      <c r="EP53" s="13"/>
      <c r="ES53" s="14"/>
      <c r="ET53" s="14">
        <f t="shared" si="0"/>
        <v>0</v>
      </c>
    </row>
    <row r="54" spans="3:150" ht="13.9" hidden="1" customHeight="1" x14ac:dyDescent="0.2">
      <c r="C54" s="13" t="s">
        <v>307</v>
      </c>
      <c r="E54" s="369"/>
      <c r="F54" s="387"/>
      <c r="G54" s="387"/>
      <c r="H54" s="124">
        <f>-[31]foreigndebt!G64</f>
        <v>0</v>
      </c>
      <c r="I54" s="189"/>
      <c r="K54" s="198"/>
      <c r="L54" s="387"/>
      <c r="M54" s="124">
        <f>-[31]foreigndebt!L64</f>
        <v>0</v>
      </c>
      <c r="N54" s="189"/>
      <c r="P54" s="198"/>
      <c r="Q54" s="387"/>
      <c r="R54" s="124">
        <f>-[31]foreigndebt!Q64</f>
        <v>0</v>
      </c>
      <c r="S54" s="189"/>
      <c r="U54" s="198"/>
      <c r="V54" s="387"/>
      <c r="W54" s="124">
        <f>-[31]foreigndebt!V64</f>
        <v>0</v>
      </c>
      <c r="X54" s="189"/>
      <c r="Z54" s="198"/>
      <c r="AA54" s="387"/>
      <c r="AB54" s="124">
        <f>-[31]foreigndebt!AA64</f>
        <v>0</v>
      </c>
      <c r="AC54" s="189"/>
      <c r="AE54" s="198"/>
      <c r="AF54" s="387"/>
      <c r="AG54" s="124">
        <f>-[31]foreigndebt!AF64</f>
        <v>0</v>
      </c>
      <c r="AH54" s="189"/>
      <c r="AJ54" s="198"/>
      <c r="AK54" s="387"/>
      <c r="AL54" s="124">
        <f>-[31]foreigndebt!AK64</f>
        <v>0</v>
      </c>
      <c r="AM54" s="189"/>
      <c r="AO54" s="198"/>
      <c r="AP54" s="387"/>
      <c r="AQ54" s="124">
        <f>-[31]foreigndebt!AP64</f>
        <v>0</v>
      </c>
      <c r="AR54" s="189"/>
      <c r="AT54" s="198"/>
      <c r="AU54" s="387"/>
      <c r="AV54" s="124">
        <f>-[31]foreigndebt!AU64</f>
        <v>0</v>
      </c>
      <c r="AW54" s="189"/>
      <c r="AY54" s="198"/>
      <c r="AZ54" s="387"/>
      <c r="BA54" s="124">
        <f>-[31]foreigndebt!AZ64</f>
        <v>0</v>
      </c>
      <c r="BB54" s="189"/>
      <c r="BD54" s="198"/>
      <c r="BE54" s="387"/>
      <c r="BF54" s="124">
        <f>-[31]foreigndebt!BE64</f>
        <v>0</v>
      </c>
      <c r="BG54" s="189"/>
      <c r="BI54" s="198"/>
      <c r="BJ54" s="387"/>
      <c r="BK54" s="124">
        <f>-[31]foreigndebt!BJ64</f>
        <v>0</v>
      </c>
      <c r="BL54" s="189"/>
      <c r="BN54" s="198"/>
      <c r="BO54" s="387"/>
      <c r="BP54" s="124">
        <f>-[31]foreigndebt!BO64</f>
        <v>0</v>
      </c>
      <c r="BQ54" s="189"/>
      <c r="BS54" s="198"/>
      <c r="BT54" s="387"/>
      <c r="BU54" s="124">
        <f>-[31]foreigndebt!BT64</f>
        <v>0</v>
      </c>
      <c r="BV54" s="189"/>
      <c r="BX54" s="198"/>
      <c r="BY54" s="387"/>
      <c r="BZ54" s="381">
        <v>0</v>
      </c>
      <c r="CA54" s="189"/>
      <c r="CC54" s="198"/>
      <c r="CD54" s="387"/>
      <c r="CE54" s="124">
        <f>-[31]foreigndebt!CD64</f>
        <v>0</v>
      </c>
      <c r="CF54" s="189"/>
      <c r="CH54" s="198"/>
      <c r="CI54" s="387"/>
      <c r="CJ54" s="124">
        <f>-[31]foreigndebt!CI64</f>
        <v>0</v>
      </c>
      <c r="CK54" s="189"/>
      <c r="CM54" s="198"/>
      <c r="CN54" s="387"/>
      <c r="CO54" s="124">
        <f>-[31]foreigndebt!CN64</f>
        <v>0</v>
      </c>
      <c r="CP54" s="189"/>
      <c r="CR54" s="198"/>
      <c r="CS54" s="387"/>
      <c r="CT54" s="124">
        <f>-[31]foreigndebt!CS64</f>
        <v>0</v>
      </c>
      <c r="CU54" s="189"/>
      <c r="CW54" s="198"/>
      <c r="CX54" s="387"/>
      <c r="CY54" s="124">
        <f>-[31]foreigndebt!CX64</f>
        <v>0</v>
      </c>
      <c r="CZ54" s="189"/>
      <c r="DB54" s="198"/>
      <c r="DC54" s="387"/>
      <c r="DD54" s="124">
        <f>-[31]foreigndebt!DC64</f>
        <v>0</v>
      </c>
      <c r="DE54" s="189"/>
      <c r="DG54" s="198"/>
      <c r="DH54" s="387"/>
      <c r="DI54" s="124">
        <f>-[31]foreigndebt!DH64</f>
        <v>0</v>
      </c>
      <c r="DJ54" s="189"/>
      <c r="DL54" s="198"/>
      <c r="DM54" s="387"/>
      <c r="DN54" s="124">
        <f>-[31]foreigndebt!DM64</f>
        <v>0</v>
      </c>
      <c r="DO54" s="189"/>
      <c r="DQ54" s="198"/>
      <c r="DR54" s="387"/>
      <c r="DS54" s="124">
        <f>-[31]foreigndebt!DR64</f>
        <v>0</v>
      </c>
      <c r="DT54" s="189"/>
      <c r="DV54" s="198"/>
      <c r="DW54" s="387"/>
      <c r="DX54" s="124">
        <f>-[31]foreigndebt!DW64</f>
        <v>0</v>
      </c>
      <c r="DY54" s="189"/>
      <c r="EA54" s="198"/>
      <c r="EB54" s="387"/>
      <c r="EC54" s="124">
        <f>-[31]foreigndebt!EB64</f>
        <v>0</v>
      </c>
      <c r="ED54" s="189"/>
      <c r="EF54" s="198"/>
      <c r="EG54" s="387"/>
      <c r="EH54" s="124">
        <f>-[31]foreigndebt!EG64</f>
        <v>0</v>
      </c>
      <c r="EI54" s="189"/>
      <c r="EK54" s="198"/>
      <c r="EL54" s="387"/>
      <c r="EM54" s="124">
        <f>-[31]foreigndebt!EL64</f>
        <v>0</v>
      </c>
      <c r="EN54" s="189"/>
      <c r="EP54" s="13"/>
      <c r="ES54" s="14"/>
      <c r="ET54" s="14">
        <f t="shared" si="0"/>
        <v>0</v>
      </c>
    </row>
    <row r="55" spans="3:150" ht="13.9" hidden="1" customHeight="1" x14ac:dyDescent="0.2">
      <c r="C55" s="13" t="s">
        <v>323</v>
      </c>
      <c r="E55" s="369"/>
      <c r="F55" s="387"/>
      <c r="G55" s="387"/>
      <c r="H55" s="124"/>
      <c r="I55" s="189"/>
      <c r="K55" s="198"/>
      <c r="L55" s="387"/>
      <c r="M55" s="124"/>
      <c r="N55" s="189"/>
      <c r="P55" s="198"/>
      <c r="Q55" s="387"/>
      <c r="R55" s="124"/>
      <c r="S55" s="189"/>
      <c r="U55" s="198"/>
      <c r="V55" s="387"/>
      <c r="W55" s="124"/>
      <c r="X55" s="189"/>
      <c r="Z55" s="198"/>
      <c r="AA55" s="387"/>
      <c r="AB55" s="124"/>
      <c r="AC55" s="189"/>
      <c r="AE55" s="198"/>
      <c r="AF55" s="387"/>
      <c r="AG55" s="124"/>
      <c r="AH55" s="189"/>
      <c r="AJ55" s="198"/>
      <c r="AK55" s="387"/>
      <c r="AL55" s="124"/>
      <c r="AM55" s="189"/>
      <c r="AO55" s="198"/>
      <c r="AP55" s="387"/>
      <c r="AQ55" s="124"/>
      <c r="AR55" s="189"/>
      <c r="AT55" s="198"/>
      <c r="AU55" s="387"/>
      <c r="AV55" s="124"/>
      <c r="AW55" s="189"/>
      <c r="AY55" s="198"/>
      <c r="AZ55" s="387"/>
      <c r="BA55" s="124"/>
      <c r="BB55" s="189"/>
      <c r="BD55" s="198"/>
      <c r="BE55" s="387"/>
      <c r="BF55" s="124"/>
      <c r="BG55" s="189"/>
      <c r="BI55" s="198"/>
      <c r="BJ55" s="387"/>
      <c r="BK55" s="124"/>
      <c r="BL55" s="189"/>
      <c r="BN55" s="198"/>
      <c r="BO55" s="387"/>
      <c r="BP55" s="124"/>
      <c r="BQ55" s="189"/>
      <c r="BS55" s="198"/>
      <c r="BT55" s="387"/>
      <c r="BU55" s="124"/>
      <c r="BV55" s="189"/>
      <c r="BX55" s="198"/>
      <c r="BY55" s="387"/>
      <c r="BZ55" s="381"/>
      <c r="CA55" s="189"/>
      <c r="CC55" s="198"/>
      <c r="CD55" s="387"/>
      <c r="CE55" s="124"/>
      <c r="CF55" s="189"/>
      <c r="CH55" s="198"/>
      <c r="CI55" s="387"/>
      <c r="CJ55" s="124"/>
      <c r="CK55" s="189"/>
      <c r="CM55" s="198"/>
      <c r="CN55" s="387"/>
      <c r="CO55" s="124"/>
      <c r="CP55" s="189"/>
      <c r="CR55" s="198"/>
      <c r="CS55" s="387"/>
      <c r="CT55" s="124"/>
      <c r="CU55" s="189"/>
      <c r="CW55" s="198"/>
      <c r="CX55" s="387"/>
      <c r="CY55" s="124"/>
      <c r="CZ55" s="189"/>
      <c r="DB55" s="198"/>
      <c r="DC55" s="387"/>
      <c r="DD55" s="124"/>
      <c r="DE55" s="189"/>
      <c r="DG55" s="198"/>
      <c r="DH55" s="387"/>
      <c r="DI55" s="124"/>
      <c r="DJ55" s="189"/>
      <c r="DL55" s="198"/>
      <c r="DM55" s="387"/>
      <c r="DN55" s="124"/>
      <c r="DO55" s="189"/>
      <c r="DQ55" s="198"/>
      <c r="DR55" s="387"/>
      <c r="DS55" s="124"/>
      <c r="DT55" s="189"/>
      <c r="DV55" s="198"/>
      <c r="DW55" s="387"/>
      <c r="DX55" s="124"/>
      <c r="DY55" s="189"/>
      <c r="EA55" s="198"/>
      <c r="EB55" s="387"/>
      <c r="EC55" s="124"/>
      <c r="ED55" s="189"/>
      <c r="EF55" s="198"/>
      <c r="EG55" s="387"/>
      <c r="EH55" s="124"/>
      <c r="EI55" s="189"/>
      <c r="EK55" s="198"/>
      <c r="EL55" s="387"/>
      <c r="EM55" s="124"/>
      <c r="EN55" s="189"/>
      <c r="EP55" s="13"/>
      <c r="ES55" s="14"/>
      <c r="ET55" s="14">
        <f t="shared" si="0"/>
        <v>0</v>
      </c>
    </row>
    <row r="56" spans="3:150" ht="13.9" hidden="1" customHeight="1" x14ac:dyDescent="0.2">
      <c r="C56" s="187" t="s">
        <v>324</v>
      </c>
      <c r="E56" s="369"/>
      <c r="F56" s="387"/>
      <c r="G56" s="387"/>
      <c r="H56" s="124">
        <f>-[31]foreigndebt!G156</f>
        <v>0</v>
      </c>
      <c r="I56" s="189"/>
      <c r="K56" s="198"/>
      <c r="L56" s="387"/>
      <c r="M56" s="124">
        <f>-[31]foreigndebt!L156</f>
        <v>0</v>
      </c>
      <c r="N56" s="189"/>
      <c r="P56" s="198"/>
      <c r="Q56" s="387"/>
      <c r="R56" s="124">
        <f>-[31]foreigndebt!Q156</f>
        <v>0</v>
      </c>
      <c r="S56" s="189"/>
      <c r="U56" s="198"/>
      <c r="V56" s="387"/>
      <c r="W56" s="124">
        <f>-[31]foreigndebt!V156</f>
        <v>0</v>
      </c>
      <c r="X56" s="189"/>
      <c r="Z56" s="198"/>
      <c r="AA56" s="387"/>
      <c r="AB56" s="124">
        <f>-[31]foreigndebt!AA156</f>
        <v>0</v>
      </c>
      <c r="AC56" s="189"/>
      <c r="AE56" s="198"/>
      <c r="AF56" s="387"/>
      <c r="AG56" s="124">
        <f>-[31]foreigndebt!AF156</f>
        <v>0</v>
      </c>
      <c r="AH56" s="189"/>
      <c r="AJ56" s="198"/>
      <c r="AK56" s="387"/>
      <c r="AL56" s="124">
        <f>-[31]foreigndebt!AK156</f>
        <v>0</v>
      </c>
      <c r="AM56" s="189"/>
      <c r="AO56" s="198"/>
      <c r="AP56" s="387"/>
      <c r="AQ56" s="124">
        <f>-[31]foreigndebt!AP156</f>
        <v>0</v>
      </c>
      <c r="AR56" s="189"/>
      <c r="AT56" s="198"/>
      <c r="AU56" s="387"/>
      <c r="AV56" s="124">
        <f>-[31]foreigndebt!AU156</f>
        <v>0</v>
      </c>
      <c r="AW56" s="189"/>
      <c r="AY56" s="198"/>
      <c r="AZ56" s="387"/>
      <c r="BA56" s="124">
        <f>-[31]foreigndebt!AZ156</f>
        <v>0</v>
      </c>
      <c r="BB56" s="189"/>
      <c r="BD56" s="198"/>
      <c r="BE56" s="387"/>
      <c r="BF56" s="124">
        <f>-[31]foreigndebt!BE156</f>
        <v>0</v>
      </c>
      <c r="BG56" s="189"/>
      <c r="BI56" s="198"/>
      <c r="BJ56" s="387"/>
      <c r="BK56" s="124">
        <f>-[31]foreigndebt!BJ156</f>
        <v>0</v>
      </c>
      <c r="BL56" s="189"/>
      <c r="BN56" s="198"/>
      <c r="BO56" s="387"/>
      <c r="BP56" s="124">
        <f>-[31]foreigndebt!BO156</f>
        <v>0</v>
      </c>
      <c r="BQ56" s="189"/>
      <c r="BS56" s="198"/>
      <c r="BT56" s="387"/>
      <c r="BU56" s="124">
        <f>-[31]foreigndebt!BT156</f>
        <v>0</v>
      </c>
      <c r="BV56" s="189"/>
      <c r="BX56" s="198"/>
      <c r="BY56" s="387"/>
      <c r="BZ56" s="381">
        <f>-[31]foreigndebt!BY156</f>
        <v>0</v>
      </c>
      <c r="CA56" s="189"/>
      <c r="CC56" s="198"/>
      <c r="CD56" s="387"/>
      <c r="CE56" s="124">
        <f>-[31]foreigndebt!CD156</f>
        <v>0</v>
      </c>
      <c r="CF56" s="189"/>
      <c r="CH56" s="198"/>
      <c r="CI56" s="387"/>
      <c r="CJ56" s="124">
        <f>-[31]foreigndebt!CI156</f>
        <v>0</v>
      </c>
      <c r="CK56" s="189"/>
      <c r="CM56" s="198"/>
      <c r="CN56" s="387"/>
      <c r="CO56" s="124">
        <f>-[31]foreigndebt!CN156</f>
        <v>0</v>
      </c>
      <c r="CP56" s="189"/>
      <c r="CR56" s="198"/>
      <c r="CS56" s="387"/>
      <c r="CT56" s="124">
        <f>-[31]foreigndebt!CS156</f>
        <v>0</v>
      </c>
      <c r="CU56" s="189"/>
      <c r="CW56" s="198"/>
      <c r="CX56" s="387"/>
      <c r="CY56" s="124">
        <f>-[31]foreigndebt!CX156</f>
        <v>0</v>
      </c>
      <c r="CZ56" s="189"/>
      <c r="DB56" s="198"/>
      <c r="DC56" s="387"/>
      <c r="DD56" s="124">
        <f>-[31]foreigndebt!DC156</f>
        <v>0</v>
      </c>
      <c r="DE56" s="189"/>
      <c r="DG56" s="198"/>
      <c r="DH56" s="387"/>
      <c r="DI56" s="124">
        <f>-[31]foreigndebt!DH156</f>
        <v>0</v>
      </c>
      <c r="DJ56" s="189"/>
      <c r="DL56" s="198"/>
      <c r="DM56" s="387"/>
      <c r="DN56" s="124">
        <f>-[31]foreigndebt!DM156</f>
        <v>0</v>
      </c>
      <c r="DO56" s="189"/>
      <c r="DQ56" s="198"/>
      <c r="DR56" s="387"/>
      <c r="DS56" s="124">
        <f>-[31]foreigndebt!DR156</f>
        <v>0</v>
      </c>
      <c r="DT56" s="189"/>
      <c r="DV56" s="198"/>
      <c r="DW56" s="387"/>
      <c r="DX56" s="124">
        <f>-[31]foreigndebt!DW156</f>
        <v>0</v>
      </c>
      <c r="DY56" s="189"/>
      <c r="EA56" s="198"/>
      <c r="EB56" s="387"/>
      <c r="EC56" s="124">
        <f>-[31]foreigndebt!EB156</f>
        <v>0</v>
      </c>
      <c r="ED56" s="189"/>
      <c r="EF56" s="198"/>
      <c r="EG56" s="387"/>
      <c r="EH56" s="124">
        <f>-[31]foreigndebt!EG156</f>
        <v>0</v>
      </c>
      <c r="EI56" s="189"/>
      <c r="EK56" s="198"/>
      <c r="EL56" s="387"/>
      <c r="EM56" s="124">
        <f>-[31]foreigndebt!EL156</f>
        <v>0</v>
      </c>
      <c r="EN56" s="189"/>
      <c r="EP56" s="13"/>
      <c r="ES56" s="14"/>
      <c r="ET56" s="14">
        <f t="shared" si="0"/>
        <v>0</v>
      </c>
    </row>
    <row r="57" spans="3:150" ht="13.9" hidden="1" customHeight="1" x14ac:dyDescent="0.2">
      <c r="C57" s="187" t="s">
        <v>325</v>
      </c>
      <c r="E57" s="369"/>
      <c r="F57" s="387"/>
      <c r="G57" s="387"/>
      <c r="H57" s="213">
        <f>-[31]foreigndebt!G157</f>
        <v>0</v>
      </c>
      <c r="I57" s="189"/>
      <c r="K57" s="198"/>
      <c r="L57" s="387"/>
      <c r="M57" s="213">
        <f>-[31]foreigndebt!L157</f>
        <v>0</v>
      </c>
      <c r="N57" s="189"/>
      <c r="P57" s="198"/>
      <c r="Q57" s="387"/>
      <c r="R57" s="213">
        <f>-[31]foreigndebt!Q157</f>
        <v>0</v>
      </c>
      <c r="S57" s="189"/>
      <c r="U57" s="198"/>
      <c r="V57" s="387"/>
      <c r="W57" s="213">
        <f>-[31]foreigndebt!V157</f>
        <v>0</v>
      </c>
      <c r="X57" s="189"/>
      <c r="Z57" s="198"/>
      <c r="AA57" s="387"/>
      <c r="AB57" s="213">
        <f>-[31]foreigndebt!AA157</f>
        <v>0</v>
      </c>
      <c r="AC57" s="189"/>
      <c r="AE57" s="198"/>
      <c r="AF57" s="387"/>
      <c r="AG57" s="213">
        <f>-[31]foreigndebt!AF157</f>
        <v>0</v>
      </c>
      <c r="AH57" s="189"/>
      <c r="AJ57" s="198"/>
      <c r="AK57" s="387"/>
      <c r="AL57" s="213">
        <f>-[31]foreigndebt!AK157</f>
        <v>0</v>
      </c>
      <c r="AM57" s="189"/>
      <c r="AO57" s="198"/>
      <c r="AP57" s="387"/>
      <c r="AQ57" s="213">
        <f>-[31]foreigndebt!AP157</f>
        <v>0</v>
      </c>
      <c r="AR57" s="189"/>
      <c r="AT57" s="198"/>
      <c r="AU57" s="387"/>
      <c r="AV57" s="213">
        <f>-[31]foreigndebt!AU157</f>
        <v>0</v>
      </c>
      <c r="AW57" s="189"/>
      <c r="AY57" s="198"/>
      <c r="AZ57" s="387"/>
      <c r="BA57" s="213">
        <f>-[31]foreigndebt!AZ157</f>
        <v>0</v>
      </c>
      <c r="BB57" s="189"/>
      <c r="BD57" s="198"/>
      <c r="BE57" s="387"/>
      <c r="BF57" s="213">
        <f>-[31]foreigndebt!BE157</f>
        <v>0</v>
      </c>
      <c r="BG57" s="189"/>
      <c r="BI57" s="198"/>
      <c r="BJ57" s="387"/>
      <c r="BK57" s="213">
        <f>-[31]foreigndebt!BJ157</f>
        <v>0</v>
      </c>
      <c r="BL57" s="189"/>
      <c r="BN57" s="198"/>
      <c r="BO57" s="387"/>
      <c r="BP57" s="213">
        <f>-[31]foreigndebt!BO157</f>
        <v>0</v>
      </c>
      <c r="BQ57" s="189"/>
      <c r="BS57" s="198"/>
      <c r="BT57" s="387"/>
      <c r="BU57" s="213">
        <f>-[31]foreigndebt!BT157</f>
        <v>0</v>
      </c>
      <c r="BV57" s="189"/>
      <c r="BX57" s="198"/>
      <c r="BY57" s="387"/>
      <c r="BZ57" s="382">
        <f>-[31]foreigndebt!BY157</f>
        <v>0</v>
      </c>
      <c r="CA57" s="189"/>
      <c r="CC57" s="198"/>
      <c r="CD57" s="387"/>
      <c r="CE57" s="213">
        <f>-[31]foreigndebt!CD157</f>
        <v>0</v>
      </c>
      <c r="CF57" s="189"/>
      <c r="CH57" s="198"/>
      <c r="CI57" s="387"/>
      <c r="CJ57" s="213">
        <f>-[31]foreigndebt!CI157</f>
        <v>0</v>
      </c>
      <c r="CK57" s="189"/>
      <c r="CM57" s="198"/>
      <c r="CN57" s="387"/>
      <c r="CO57" s="213">
        <f>-[31]foreigndebt!CN157</f>
        <v>0</v>
      </c>
      <c r="CP57" s="189"/>
      <c r="CR57" s="198"/>
      <c r="CS57" s="387"/>
      <c r="CT57" s="213">
        <f>-[31]foreigndebt!CS157</f>
        <v>0</v>
      </c>
      <c r="CU57" s="189"/>
      <c r="CW57" s="198"/>
      <c r="CX57" s="387"/>
      <c r="CY57" s="213">
        <f>-[31]foreigndebt!CX157</f>
        <v>0</v>
      </c>
      <c r="CZ57" s="189"/>
      <c r="DB57" s="198"/>
      <c r="DC57" s="387"/>
      <c r="DD57" s="213">
        <f>-[31]foreigndebt!DC157</f>
        <v>0</v>
      </c>
      <c r="DE57" s="189"/>
      <c r="DG57" s="198"/>
      <c r="DH57" s="387"/>
      <c r="DI57" s="213">
        <f>-[31]foreigndebt!DH157</f>
        <v>0</v>
      </c>
      <c r="DJ57" s="189"/>
      <c r="DL57" s="198"/>
      <c r="DM57" s="387"/>
      <c r="DN57" s="213">
        <f>-[31]foreigndebt!DM157</f>
        <v>0</v>
      </c>
      <c r="DO57" s="189"/>
      <c r="DQ57" s="198"/>
      <c r="DR57" s="387"/>
      <c r="DS57" s="213">
        <f>-[31]foreigndebt!DR157</f>
        <v>0</v>
      </c>
      <c r="DT57" s="189"/>
      <c r="DV57" s="198"/>
      <c r="DW57" s="387"/>
      <c r="DX57" s="213">
        <f>-[31]foreigndebt!DW157</f>
        <v>0</v>
      </c>
      <c r="DY57" s="189"/>
      <c r="EA57" s="198"/>
      <c r="EB57" s="387"/>
      <c r="EC57" s="213">
        <f>-[31]foreigndebt!EB157</f>
        <v>0</v>
      </c>
      <c r="ED57" s="189"/>
      <c r="EF57" s="198"/>
      <c r="EG57" s="387"/>
      <c r="EH57" s="213">
        <f>-[31]foreigndebt!EG157</f>
        <v>0</v>
      </c>
      <c r="EI57" s="189"/>
      <c r="EK57" s="198"/>
      <c r="EL57" s="387"/>
      <c r="EM57" s="213">
        <f>-[31]foreigndebt!EL157</f>
        <v>0</v>
      </c>
      <c r="EN57" s="189"/>
      <c r="EP57" s="13"/>
      <c r="ES57" s="14"/>
      <c r="ET57" s="14">
        <f t="shared" si="0"/>
        <v>0</v>
      </c>
    </row>
    <row r="58" spans="3:150" ht="13.9" hidden="1" customHeight="1" x14ac:dyDescent="0.2">
      <c r="C58" s="13"/>
      <c r="E58" s="369"/>
      <c r="F58" s="387"/>
      <c r="G58" s="387"/>
      <c r="I58" s="189"/>
      <c r="K58" s="198"/>
      <c r="L58" s="387"/>
      <c r="N58" s="189"/>
      <c r="P58" s="198"/>
      <c r="Q58" s="387"/>
      <c r="S58" s="189"/>
      <c r="U58" s="198"/>
      <c r="V58" s="387"/>
      <c r="X58" s="189"/>
      <c r="Z58" s="198"/>
      <c r="AA58" s="387"/>
      <c r="AC58" s="189"/>
      <c r="AE58" s="198"/>
      <c r="AF58" s="387"/>
      <c r="AH58" s="189"/>
      <c r="AJ58" s="198"/>
      <c r="AK58" s="387"/>
      <c r="AM58" s="189"/>
      <c r="AO58" s="198"/>
      <c r="AP58" s="387"/>
      <c r="AR58" s="189"/>
      <c r="AT58" s="198"/>
      <c r="AU58" s="387"/>
      <c r="AW58" s="189"/>
      <c r="AY58" s="198"/>
      <c r="AZ58" s="387"/>
      <c r="BB58" s="189"/>
      <c r="BD58" s="198"/>
      <c r="BE58" s="387"/>
      <c r="BG58" s="189"/>
      <c r="BI58" s="198"/>
      <c r="BJ58" s="387"/>
      <c r="BL58" s="189"/>
      <c r="BN58" s="198"/>
      <c r="BO58" s="387"/>
      <c r="BQ58" s="189"/>
      <c r="BS58" s="198"/>
      <c r="BT58" s="387"/>
      <c r="BV58" s="189"/>
      <c r="BX58" s="198"/>
      <c r="BY58" s="387"/>
      <c r="BZ58" s="383"/>
      <c r="CA58" s="189"/>
      <c r="CC58" s="198"/>
      <c r="CD58" s="387"/>
      <c r="CF58" s="189"/>
      <c r="CH58" s="198"/>
      <c r="CI58" s="387"/>
      <c r="CK58" s="189"/>
      <c r="CM58" s="198"/>
      <c r="CN58" s="387"/>
      <c r="CP58" s="189"/>
      <c r="CR58" s="198"/>
      <c r="CS58" s="387"/>
      <c r="CU58" s="189"/>
      <c r="CW58" s="198"/>
      <c r="CX58" s="387"/>
      <c r="CZ58" s="189"/>
      <c r="DB58" s="198"/>
      <c r="DC58" s="387"/>
      <c r="DE58" s="189"/>
      <c r="DG58" s="198"/>
      <c r="DH58" s="387"/>
      <c r="DJ58" s="189"/>
      <c r="DL58" s="198"/>
      <c r="DM58" s="387"/>
      <c r="DO58" s="189"/>
      <c r="DQ58" s="198"/>
      <c r="DR58" s="387"/>
      <c r="DT58" s="189"/>
      <c r="DV58" s="198"/>
      <c r="DW58" s="387"/>
      <c r="DY58" s="189"/>
      <c r="EA58" s="198"/>
      <c r="EB58" s="387"/>
      <c r="ED58" s="189"/>
      <c r="EF58" s="198"/>
      <c r="EG58" s="387"/>
      <c r="EI58" s="189"/>
      <c r="EK58" s="198"/>
      <c r="EL58" s="387"/>
      <c r="EN58" s="189"/>
      <c r="EP58" s="13"/>
      <c r="ES58" s="14"/>
      <c r="ET58" s="14">
        <f t="shared" si="0"/>
        <v>0</v>
      </c>
    </row>
    <row r="59" spans="3:150" ht="12.75" hidden="1" customHeight="1" x14ac:dyDescent="0.2">
      <c r="C59" s="13" t="s">
        <v>326</v>
      </c>
      <c r="E59" s="369"/>
      <c r="F59" s="387"/>
      <c r="G59" s="387"/>
      <c r="H59" s="1">
        <v>0</v>
      </c>
      <c r="I59" s="189"/>
      <c r="K59" s="198"/>
      <c r="L59" s="387"/>
      <c r="M59" s="1">
        <f>SUM(M60:M64)</f>
        <v>0</v>
      </c>
      <c r="N59" s="189"/>
      <c r="P59" s="198"/>
      <c r="Q59" s="387"/>
      <c r="R59" s="1">
        <f>SUM(R60:R64)</f>
        <v>0</v>
      </c>
      <c r="S59" s="189"/>
      <c r="U59" s="198"/>
      <c r="V59" s="387"/>
      <c r="W59" s="1">
        <f>SUM(W60:W64)</f>
        <v>0</v>
      </c>
      <c r="X59" s="189"/>
      <c r="Z59" s="198"/>
      <c r="AA59" s="387"/>
      <c r="AB59" s="1">
        <f>SUM(AB60:AB64)</f>
        <v>0</v>
      </c>
      <c r="AC59" s="189"/>
      <c r="AE59" s="198"/>
      <c r="AF59" s="387"/>
      <c r="AG59" s="1">
        <f>SUM(AG60:AG64)</f>
        <v>0</v>
      </c>
      <c r="AH59" s="189"/>
      <c r="AJ59" s="198"/>
      <c r="AK59" s="387"/>
      <c r="AL59" s="1">
        <f>SUM(AL60:AL64)</f>
        <v>0</v>
      </c>
      <c r="AM59" s="189"/>
      <c r="AO59" s="198"/>
      <c r="AP59" s="387"/>
      <c r="AQ59" s="1">
        <f>SUM(AQ60:AQ64)</f>
        <v>0</v>
      </c>
      <c r="AR59" s="189"/>
      <c r="AT59" s="198"/>
      <c r="AU59" s="387"/>
      <c r="AV59" s="1">
        <f>SUM(AV60:AV64)</f>
        <v>0</v>
      </c>
      <c r="AW59" s="189"/>
      <c r="AY59" s="198"/>
      <c r="AZ59" s="387"/>
      <c r="BA59" s="1">
        <f>SUM(BA60:BA64)</f>
        <v>0</v>
      </c>
      <c r="BB59" s="189"/>
      <c r="BD59" s="198"/>
      <c r="BE59" s="387"/>
      <c r="BF59" s="1">
        <f>SUM(BF60:BF64)</f>
        <v>0</v>
      </c>
      <c r="BG59" s="189"/>
      <c r="BI59" s="198"/>
      <c r="BJ59" s="387"/>
      <c r="BK59" s="1">
        <f>SUM(BK60:BK64)</f>
        <v>0</v>
      </c>
      <c r="BL59" s="189"/>
      <c r="BN59" s="198"/>
      <c r="BO59" s="387"/>
      <c r="BP59" s="1">
        <f>SUM(BP60:BP64)</f>
        <v>0</v>
      </c>
      <c r="BQ59" s="189"/>
      <c r="BS59" s="198"/>
      <c r="BT59" s="387"/>
      <c r="BU59" s="1">
        <f>SUM(BU60:BU64)</f>
        <v>0</v>
      </c>
      <c r="BV59" s="189"/>
      <c r="BX59" s="198"/>
      <c r="BY59" s="387"/>
      <c r="BZ59" s="383">
        <v>0</v>
      </c>
      <c r="CA59" s="189"/>
      <c r="CC59" s="198"/>
      <c r="CD59" s="387"/>
      <c r="CE59" s="1">
        <f>SUM(CE60:CE64)</f>
        <v>0</v>
      </c>
      <c r="CF59" s="189"/>
      <c r="CH59" s="198"/>
      <c r="CI59" s="387"/>
      <c r="CJ59" s="1">
        <f>SUM(CJ60:CJ64)</f>
        <v>0</v>
      </c>
      <c r="CK59" s="189"/>
      <c r="CM59" s="198"/>
      <c r="CN59" s="387"/>
      <c r="CO59" s="1">
        <f>SUM(CO60:CO64)</f>
        <v>0</v>
      </c>
      <c r="CP59" s="189"/>
      <c r="CR59" s="198"/>
      <c r="CS59" s="387"/>
      <c r="CT59" s="1">
        <f>SUM(CT60:CT64)</f>
        <v>0</v>
      </c>
      <c r="CU59" s="189"/>
      <c r="CW59" s="198"/>
      <c r="CX59" s="387"/>
      <c r="CY59" s="1">
        <f>SUM(CY60:CY64)</f>
        <v>0</v>
      </c>
      <c r="CZ59" s="189"/>
      <c r="DB59" s="198"/>
      <c r="DC59" s="387"/>
      <c r="DD59" s="1">
        <f>SUM(DD60:DD64)</f>
        <v>0</v>
      </c>
      <c r="DE59" s="189"/>
      <c r="DG59" s="198"/>
      <c r="DH59" s="387"/>
      <c r="DI59" s="1">
        <f>SUM(DI60:DI64)</f>
        <v>0</v>
      </c>
      <c r="DJ59" s="189"/>
      <c r="DL59" s="198"/>
      <c r="DM59" s="387"/>
      <c r="DN59" s="1">
        <f>SUM(DN60:DN64)</f>
        <v>0</v>
      </c>
      <c r="DO59" s="189"/>
      <c r="DQ59" s="198"/>
      <c r="DR59" s="387"/>
      <c r="DS59" s="1">
        <f>SUM(DS60:DS64)</f>
        <v>0</v>
      </c>
      <c r="DT59" s="189"/>
      <c r="DV59" s="198"/>
      <c r="DW59" s="387"/>
      <c r="DX59" s="1">
        <f>SUM(DX60:DX64)</f>
        <v>0</v>
      </c>
      <c r="DY59" s="189"/>
      <c r="EA59" s="198"/>
      <c r="EB59" s="387"/>
      <c r="EC59" s="1">
        <f>SUM(EC60:EC64)</f>
        <v>0</v>
      </c>
      <c r="ED59" s="189"/>
      <c r="EF59" s="198"/>
      <c r="EG59" s="387"/>
      <c r="EH59" s="1">
        <f>SUM(EH60:EH64)</f>
        <v>0</v>
      </c>
      <c r="EI59" s="189"/>
      <c r="EK59" s="198"/>
      <c r="EL59" s="387"/>
      <c r="EM59" s="1">
        <f>SUM(EM60:EM64)</f>
        <v>0</v>
      </c>
      <c r="EN59" s="189"/>
      <c r="EP59" s="13"/>
      <c r="ES59" s="14"/>
      <c r="ET59" s="14">
        <f t="shared" si="0"/>
        <v>0</v>
      </c>
    </row>
    <row r="60" spans="3:150" ht="13.9" hidden="1" customHeight="1" x14ac:dyDescent="0.2">
      <c r="C60" s="13" t="s">
        <v>305</v>
      </c>
      <c r="E60" s="369"/>
      <c r="F60" s="387"/>
      <c r="G60" s="387"/>
      <c r="H60" s="380">
        <v>0</v>
      </c>
      <c r="I60" s="189"/>
      <c r="K60" s="198"/>
      <c r="L60" s="387"/>
      <c r="M60" s="380">
        <f>[31]foreigndebt!L72</f>
        <v>0</v>
      </c>
      <c r="N60" s="189"/>
      <c r="P60" s="198"/>
      <c r="Q60" s="387"/>
      <c r="R60" s="380">
        <f>[31]foreigndebt!Q72</f>
        <v>0</v>
      </c>
      <c r="S60" s="189"/>
      <c r="U60" s="198"/>
      <c r="V60" s="387"/>
      <c r="W60" s="380">
        <f>[31]foreigndebt!V72</f>
        <v>0</v>
      </c>
      <c r="X60" s="189"/>
      <c r="Z60" s="198"/>
      <c r="AA60" s="387"/>
      <c r="AB60" s="380">
        <f>[31]foreigndebt!AA72</f>
        <v>0</v>
      </c>
      <c r="AC60" s="189"/>
      <c r="AE60" s="198"/>
      <c r="AF60" s="387"/>
      <c r="AG60" s="380">
        <f>[31]foreigndebt!AF72</f>
        <v>0</v>
      </c>
      <c r="AH60" s="189"/>
      <c r="AJ60" s="198"/>
      <c r="AK60" s="387"/>
      <c r="AL60" s="380">
        <f>[31]foreigndebt!AK72</f>
        <v>0</v>
      </c>
      <c r="AM60" s="189"/>
      <c r="AO60" s="198"/>
      <c r="AP60" s="387"/>
      <c r="AQ60" s="380">
        <f>[31]foreigndebt!AP72</f>
        <v>0</v>
      </c>
      <c r="AR60" s="189"/>
      <c r="AT60" s="198"/>
      <c r="AU60" s="387"/>
      <c r="AV60" s="380">
        <f>[31]foreigndebt!AU72</f>
        <v>0</v>
      </c>
      <c r="AW60" s="189"/>
      <c r="AY60" s="198"/>
      <c r="AZ60" s="387"/>
      <c r="BA60" s="380">
        <f>[31]foreigndebt!AZ72</f>
        <v>0</v>
      </c>
      <c r="BB60" s="189"/>
      <c r="BD60" s="198"/>
      <c r="BE60" s="387"/>
      <c r="BF60" s="380">
        <f>[31]foreigndebt!BE72</f>
        <v>0</v>
      </c>
      <c r="BG60" s="189"/>
      <c r="BI60" s="198"/>
      <c r="BJ60" s="387"/>
      <c r="BK60" s="380">
        <f>[31]foreigndebt!BJ72</f>
        <v>0</v>
      </c>
      <c r="BL60" s="189"/>
      <c r="BN60" s="198"/>
      <c r="BO60" s="387"/>
      <c r="BP60" s="380">
        <f>[31]foreigndebt!BO72</f>
        <v>0</v>
      </c>
      <c r="BQ60" s="189"/>
      <c r="BS60" s="198"/>
      <c r="BT60" s="387"/>
      <c r="BU60" s="380">
        <f>[31]foreigndebt!BT72</f>
        <v>0</v>
      </c>
      <c r="BV60" s="189"/>
      <c r="BX60" s="198"/>
      <c r="BY60" s="387"/>
      <c r="BZ60" s="379">
        <v>0</v>
      </c>
      <c r="CA60" s="189"/>
      <c r="CC60" s="198"/>
      <c r="CD60" s="387"/>
      <c r="CE60" s="380">
        <f>[31]foreigndebt!CD72</f>
        <v>0</v>
      </c>
      <c r="CF60" s="189"/>
      <c r="CH60" s="198"/>
      <c r="CI60" s="387"/>
      <c r="CJ60" s="380">
        <f>[31]foreigndebt!CI72</f>
        <v>0</v>
      </c>
      <c r="CK60" s="189"/>
      <c r="CM60" s="198"/>
      <c r="CN60" s="387"/>
      <c r="CO60" s="380">
        <f>[31]foreigndebt!CN72</f>
        <v>0</v>
      </c>
      <c r="CP60" s="189"/>
      <c r="CR60" s="198"/>
      <c r="CS60" s="387"/>
      <c r="CT60" s="380">
        <f>[31]foreigndebt!CS72</f>
        <v>0</v>
      </c>
      <c r="CU60" s="189"/>
      <c r="CW60" s="198"/>
      <c r="CX60" s="387"/>
      <c r="CY60" s="380">
        <f>[31]foreigndebt!CX72</f>
        <v>0</v>
      </c>
      <c r="CZ60" s="189"/>
      <c r="DB60" s="198"/>
      <c r="DC60" s="387"/>
      <c r="DD60" s="380">
        <f>[31]foreigndebt!DC72</f>
        <v>0</v>
      </c>
      <c r="DE60" s="189"/>
      <c r="DG60" s="198"/>
      <c r="DH60" s="387"/>
      <c r="DI60" s="380">
        <f>[31]foreigndebt!DH72</f>
        <v>0</v>
      </c>
      <c r="DJ60" s="189"/>
      <c r="DL60" s="198"/>
      <c r="DM60" s="387"/>
      <c r="DN60" s="380">
        <f>[31]foreigndebt!DM72</f>
        <v>0</v>
      </c>
      <c r="DO60" s="189"/>
      <c r="DQ60" s="198"/>
      <c r="DR60" s="387"/>
      <c r="DS60" s="380">
        <f>[31]foreigndebt!DR72</f>
        <v>0</v>
      </c>
      <c r="DT60" s="189"/>
      <c r="DV60" s="198"/>
      <c r="DW60" s="387"/>
      <c r="DX60" s="380">
        <f>[31]foreigndebt!DW72</f>
        <v>0</v>
      </c>
      <c r="DY60" s="189"/>
      <c r="EA60" s="198"/>
      <c r="EB60" s="387"/>
      <c r="EC60" s="380">
        <f>[31]foreigndebt!EB72</f>
        <v>0</v>
      </c>
      <c r="ED60" s="189"/>
      <c r="EF60" s="198"/>
      <c r="EG60" s="387"/>
      <c r="EH60" s="380">
        <f>[31]foreigndebt!EG72</f>
        <v>0</v>
      </c>
      <c r="EI60" s="189"/>
      <c r="EK60" s="198"/>
      <c r="EL60" s="387"/>
      <c r="EM60" s="380">
        <f>[31]foreigndebt!EL72</f>
        <v>0</v>
      </c>
      <c r="EN60" s="189"/>
      <c r="EP60" s="13"/>
      <c r="ES60" s="14"/>
      <c r="ET60" s="14">
        <f t="shared" si="0"/>
        <v>0</v>
      </c>
    </row>
    <row r="61" spans="3:150" ht="13.9" hidden="1" customHeight="1" x14ac:dyDescent="0.2">
      <c r="C61" s="13" t="s">
        <v>307</v>
      </c>
      <c r="E61" s="369"/>
      <c r="F61" s="387"/>
      <c r="G61" s="387"/>
      <c r="H61" s="124">
        <v>0</v>
      </c>
      <c r="I61" s="189"/>
      <c r="K61" s="198"/>
      <c r="L61" s="387"/>
      <c r="M61" s="124">
        <f>-[31]foreigndebt!L74</f>
        <v>0</v>
      </c>
      <c r="N61" s="189"/>
      <c r="P61" s="198"/>
      <c r="Q61" s="387"/>
      <c r="R61" s="124">
        <f>-[31]foreigndebt!Q74</f>
        <v>0</v>
      </c>
      <c r="S61" s="189"/>
      <c r="U61" s="198"/>
      <c r="V61" s="387"/>
      <c r="W61" s="124">
        <f>-[31]foreigndebt!V74</f>
        <v>0</v>
      </c>
      <c r="X61" s="189"/>
      <c r="Z61" s="198"/>
      <c r="AA61" s="387"/>
      <c r="AB61" s="124">
        <f>-[31]foreigndebt!AA74</f>
        <v>0</v>
      </c>
      <c r="AC61" s="189"/>
      <c r="AE61" s="198"/>
      <c r="AF61" s="387"/>
      <c r="AG61" s="124">
        <f>-[31]foreigndebt!AF74</f>
        <v>0</v>
      </c>
      <c r="AH61" s="189"/>
      <c r="AJ61" s="198"/>
      <c r="AK61" s="387"/>
      <c r="AL61" s="124">
        <f>-[31]foreigndebt!AK74</f>
        <v>0</v>
      </c>
      <c r="AM61" s="189"/>
      <c r="AO61" s="198"/>
      <c r="AP61" s="387"/>
      <c r="AQ61" s="124">
        <f>-[31]foreigndebt!AP74</f>
        <v>0</v>
      </c>
      <c r="AR61" s="189"/>
      <c r="AT61" s="198"/>
      <c r="AU61" s="387"/>
      <c r="AV61" s="124">
        <f>-[31]foreigndebt!AU74</f>
        <v>0</v>
      </c>
      <c r="AW61" s="189"/>
      <c r="AY61" s="198"/>
      <c r="AZ61" s="387"/>
      <c r="BA61" s="124">
        <f>-[31]foreigndebt!AZ74</f>
        <v>0</v>
      </c>
      <c r="BB61" s="189"/>
      <c r="BD61" s="198"/>
      <c r="BE61" s="387"/>
      <c r="BF61" s="124">
        <f>-[31]foreigndebt!BE74</f>
        <v>0</v>
      </c>
      <c r="BG61" s="189"/>
      <c r="BI61" s="198"/>
      <c r="BJ61" s="387"/>
      <c r="BK61" s="124">
        <f>-[31]foreigndebt!BJ74</f>
        <v>0</v>
      </c>
      <c r="BL61" s="189"/>
      <c r="BN61" s="198"/>
      <c r="BO61" s="387"/>
      <c r="BP61" s="124">
        <f>-[31]foreigndebt!BO74</f>
        <v>0</v>
      </c>
      <c r="BQ61" s="189"/>
      <c r="BS61" s="198"/>
      <c r="BT61" s="387"/>
      <c r="BU61" s="124">
        <f>-[31]foreigndebt!BT74</f>
        <v>0</v>
      </c>
      <c r="BV61" s="189"/>
      <c r="BX61" s="198"/>
      <c r="BY61" s="387"/>
      <c r="BZ61" s="381">
        <v>0</v>
      </c>
      <c r="CA61" s="189"/>
      <c r="CC61" s="198"/>
      <c r="CD61" s="387"/>
      <c r="CE61" s="124">
        <f>-[31]foreigndebt!CD74</f>
        <v>0</v>
      </c>
      <c r="CF61" s="189"/>
      <c r="CH61" s="198"/>
      <c r="CI61" s="387"/>
      <c r="CJ61" s="124">
        <f>-[31]foreigndebt!CI74</f>
        <v>0</v>
      </c>
      <c r="CK61" s="189"/>
      <c r="CM61" s="198"/>
      <c r="CN61" s="387"/>
      <c r="CO61" s="124">
        <f>-[31]foreigndebt!CN74</f>
        <v>0</v>
      </c>
      <c r="CP61" s="189"/>
      <c r="CR61" s="198"/>
      <c r="CS61" s="387"/>
      <c r="CT61" s="124">
        <f>-[31]foreigndebt!CS74</f>
        <v>0</v>
      </c>
      <c r="CU61" s="189"/>
      <c r="CW61" s="198"/>
      <c r="CX61" s="387"/>
      <c r="CY61" s="124">
        <f>-[31]foreigndebt!CX74</f>
        <v>0</v>
      </c>
      <c r="CZ61" s="189"/>
      <c r="DB61" s="198"/>
      <c r="DC61" s="387"/>
      <c r="DD61" s="124">
        <f>-[31]foreigndebt!DC74</f>
        <v>0</v>
      </c>
      <c r="DE61" s="189"/>
      <c r="DG61" s="198"/>
      <c r="DH61" s="387"/>
      <c r="DI61" s="124">
        <f>-[31]foreigndebt!DH74</f>
        <v>0</v>
      </c>
      <c r="DJ61" s="189"/>
      <c r="DL61" s="198"/>
      <c r="DM61" s="387"/>
      <c r="DN61" s="124">
        <f>-[31]foreigndebt!DM74</f>
        <v>0</v>
      </c>
      <c r="DO61" s="189"/>
      <c r="DQ61" s="198"/>
      <c r="DR61" s="387"/>
      <c r="DS61" s="124">
        <f>-[31]foreigndebt!DR74</f>
        <v>0</v>
      </c>
      <c r="DT61" s="189"/>
      <c r="DV61" s="198"/>
      <c r="DW61" s="387"/>
      <c r="DX61" s="124">
        <f>-[31]foreigndebt!DW74</f>
        <v>0</v>
      </c>
      <c r="DY61" s="189"/>
      <c r="EA61" s="198"/>
      <c r="EB61" s="387"/>
      <c r="EC61" s="124">
        <f>-[31]foreigndebt!EB74</f>
        <v>0</v>
      </c>
      <c r="ED61" s="189"/>
      <c r="EF61" s="198"/>
      <c r="EG61" s="387"/>
      <c r="EH61" s="124">
        <f>-[31]foreigndebt!EG74</f>
        <v>0</v>
      </c>
      <c r="EI61" s="189"/>
      <c r="EK61" s="198"/>
      <c r="EL61" s="387"/>
      <c r="EM61" s="124">
        <f>-[31]foreigndebt!EL74</f>
        <v>0</v>
      </c>
      <c r="EN61" s="189"/>
      <c r="EP61" s="13"/>
      <c r="ES61" s="14"/>
      <c r="ET61" s="14">
        <f t="shared" si="0"/>
        <v>0</v>
      </c>
    </row>
    <row r="62" spans="3:150" ht="13.9" hidden="1" customHeight="1" x14ac:dyDescent="0.2">
      <c r="C62" s="13" t="s">
        <v>310</v>
      </c>
      <c r="E62" s="369"/>
      <c r="F62" s="387"/>
      <c r="G62" s="387"/>
      <c r="H62" s="124"/>
      <c r="I62" s="189"/>
      <c r="K62" s="198"/>
      <c r="L62" s="387"/>
      <c r="M62" s="124"/>
      <c r="N62" s="189"/>
      <c r="P62" s="198"/>
      <c r="Q62" s="387"/>
      <c r="R62" s="124"/>
      <c r="S62" s="189"/>
      <c r="U62" s="198"/>
      <c r="V62" s="387"/>
      <c r="W62" s="124"/>
      <c r="X62" s="189"/>
      <c r="Z62" s="198"/>
      <c r="AA62" s="387"/>
      <c r="AB62" s="124"/>
      <c r="AC62" s="189"/>
      <c r="AE62" s="198"/>
      <c r="AF62" s="387"/>
      <c r="AG62" s="124"/>
      <c r="AH62" s="189"/>
      <c r="AJ62" s="198"/>
      <c r="AK62" s="387"/>
      <c r="AL62" s="124"/>
      <c r="AM62" s="189"/>
      <c r="AO62" s="198"/>
      <c r="AP62" s="387"/>
      <c r="AQ62" s="124"/>
      <c r="AR62" s="189"/>
      <c r="AT62" s="198"/>
      <c r="AU62" s="387"/>
      <c r="AV62" s="124"/>
      <c r="AW62" s="189"/>
      <c r="AY62" s="198"/>
      <c r="AZ62" s="387"/>
      <c r="BA62" s="124"/>
      <c r="BB62" s="189"/>
      <c r="BD62" s="198"/>
      <c r="BE62" s="387"/>
      <c r="BF62" s="124"/>
      <c r="BG62" s="189"/>
      <c r="BI62" s="198"/>
      <c r="BJ62" s="387"/>
      <c r="BK62" s="124"/>
      <c r="BL62" s="189"/>
      <c r="BN62" s="198"/>
      <c r="BO62" s="387"/>
      <c r="BP62" s="124"/>
      <c r="BQ62" s="189"/>
      <c r="BS62" s="198"/>
      <c r="BT62" s="387"/>
      <c r="BU62" s="124"/>
      <c r="BV62" s="189"/>
      <c r="BX62" s="198"/>
      <c r="BY62" s="387"/>
      <c r="BZ62" s="381"/>
      <c r="CA62" s="189"/>
      <c r="CC62" s="198"/>
      <c r="CD62" s="387"/>
      <c r="CE62" s="124"/>
      <c r="CF62" s="189"/>
      <c r="CH62" s="198"/>
      <c r="CI62" s="387"/>
      <c r="CJ62" s="124"/>
      <c r="CK62" s="189"/>
      <c r="CM62" s="198"/>
      <c r="CN62" s="387"/>
      <c r="CO62" s="124"/>
      <c r="CP62" s="189"/>
      <c r="CR62" s="198"/>
      <c r="CS62" s="387"/>
      <c r="CT62" s="124"/>
      <c r="CU62" s="189"/>
      <c r="CW62" s="198"/>
      <c r="CX62" s="387"/>
      <c r="CY62" s="124"/>
      <c r="CZ62" s="189"/>
      <c r="DB62" s="198"/>
      <c r="DC62" s="387"/>
      <c r="DD62" s="124"/>
      <c r="DE62" s="189"/>
      <c r="DG62" s="198"/>
      <c r="DH62" s="387"/>
      <c r="DI62" s="124"/>
      <c r="DJ62" s="189"/>
      <c r="DL62" s="198"/>
      <c r="DM62" s="387"/>
      <c r="DN62" s="124"/>
      <c r="DO62" s="189"/>
      <c r="DQ62" s="198"/>
      <c r="DR62" s="387"/>
      <c r="DS62" s="124"/>
      <c r="DT62" s="189"/>
      <c r="DV62" s="198"/>
      <c r="DW62" s="387"/>
      <c r="DX62" s="124"/>
      <c r="DY62" s="189"/>
      <c r="EA62" s="198"/>
      <c r="EB62" s="387"/>
      <c r="EC62" s="124"/>
      <c r="ED62" s="189"/>
      <c r="EF62" s="198"/>
      <c r="EG62" s="387"/>
      <c r="EH62" s="124"/>
      <c r="EI62" s="189"/>
      <c r="EK62" s="198"/>
      <c r="EL62" s="387"/>
      <c r="EM62" s="124"/>
      <c r="EN62" s="189"/>
      <c r="EP62" s="13"/>
      <c r="ES62" s="14"/>
      <c r="ET62" s="14">
        <f t="shared" si="0"/>
        <v>0</v>
      </c>
    </row>
    <row r="63" spans="3:150" ht="13.9" hidden="1" customHeight="1" x14ac:dyDescent="0.2">
      <c r="C63" s="187" t="s">
        <v>324</v>
      </c>
      <c r="E63" s="369"/>
      <c r="F63" s="387"/>
      <c r="G63" s="387"/>
      <c r="H63" s="124">
        <v>0</v>
      </c>
      <c r="I63" s="189"/>
      <c r="K63" s="198"/>
      <c r="L63" s="387"/>
      <c r="M63" s="124">
        <f>-[31]foreigndebt!L168</f>
        <v>0</v>
      </c>
      <c r="N63" s="189"/>
      <c r="P63" s="198"/>
      <c r="Q63" s="387"/>
      <c r="R63" s="124">
        <f>-[31]foreigndebt!Q168</f>
        <v>0</v>
      </c>
      <c r="S63" s="189"/>
      <c r="U63" s="198"/>
      <c r="V63" s="387"/>
      <c r="W63" s="124">
        <f>-[31]foreigndebt!V168</f>
        <v>0</v>
      </c>
      <c r="X63" s="189"/>
      <c r="Z63" s="198"/>
      <c r="AA63" s="387"/>
      <c r="AB63" s="124">
        <f>-[31]foreigndebt!AA168</f>
        <v>0</v>
      </c>
      <c r="AC63" s="189"/>
      <c r="AE63" s="198"/>
      <c r="AF63" s="387"/>
      <c r="AG63" s="124">
        <f>-[31]foreigndebt!AF168</f>
        <v>0</v>
      </c>
      <c r="AH63" s="189"/>
      <c r="AJ63" s="198"/>
      <c r="AK63" s="387"/>
      <c r="AL63" s="124">
        <f>-[31]foreigndebt!AK168</f>
        <v>0</v>
      </c>
      <c r="AM63" s="189"/>
      <c r="AO63" s="198"/>
      <c r="AP63" s="387"/>
      <c r="AQ63" s="124">
        <f>-[31]foreigndebt!AP168</f>
        <v>0</v>
      </c>
      <c r="AR63" s="189"/>
      <c r="AT63" s="198"/>
      <c r="AU63" s="387"/>
      <c r="AV63" s="124">
        <f>-[31]foreigndebt!AU168</f>
        <v>0</v>
      </c>
      <c r="AW63" s="189"/>
      <c r="AY63" s="198"/>
      <c r="AZ63" s="387"/>
      <c r="BA63" s="124">
        <f>-[31]foreigndebt!AZ168</f>
        <v>0</v>
      </c>
      <c r="BB63" s="189"/>
      <c r="BD63" s="198"/>
      <c r="BE63" s="387"/>
      <c r="BF63" s="124">
        <f>-[31]foreigndebt!BE168</f>
        <v>0</v>
      </c>
      <c r="BG63" s="189"/>
      <c r="BI63" s="198"/>
      <c r="BJ63" s="387"/>
      <c r="BK63" s="124">
        <f>-[31]foreigndebt!BJ168</f>
        <v>0</v>
      </c>
      <c r="BL63" s="189"/>
      <c r="BN63" s="198"/>
      <c r="BO63" s="387"/>
      <c r="BP63" s="124">
        <f>-[31]foreigndebt!BO168</f>
        <v>0</v>
      </c>
      <c r="BQ63" s="189"/>
      <c r="BS63" s="198"/>
      <c r="BT63" s="387"/>
      <c r="BU63" s="124">
        <f>-[31]foreigndebt!BT168</f>
        <v>0</v>
      </c>
      <c r="BV63" s="189"/>
      <c r="BX63" s="198"/>
      <c r="BY63" s="387"/>
      <c r="BZ63" s="381">
        <v>0</v>
      </c>
      <c r="CA63" s="189"/>
      <c r="CC63" s="198"/>
      <c r="CD63" s="387"/>
      <c r="CE63" s="124">
        <f>-[31]foreigndebt!CD168</f>
        <v>0</v>
      </c>
      <c r="CF63" s="189"/>
      <c r="CH63" s="198"/>
      <c r="CI63" s="387"/>
      <c r="CJ63" s="124">
        <f>-[31]foreigndebt!CI168</f>
        <v>0</v>
      </c>
      <c r="CK63" s="189"/>
      <c r="CM63" s="198"/>
      <c r="CN63" s="387"/>
      <c r="CO63" s="124">
        <f>-[31]foreigndebt!CN168</f>
        <v>0</v>
      </c>
      <c r="CP63" s="189"/>
      <c r="CR63" s="198"/>
      <c r="CS63" s="387"/>
      <c r="CT63" s="124">
        <f>-[31]foreigndebt!CS168</f>
        <v>0</v>
      </c>
      <c r="CU63" s="189"/>
      <c r="CW63" s="198"/>
      <c r="CX63" s="387"/>
      <c r="CY63" s="124">
        <f>-[31]foreigndebt!CX168</f>
        <v>0</v>
      </c>
      <c r="CZ63" s="189"/>
      <c r="DB63" s="198"/>
      <c r="DC63" s="387"/>
      <c r="DD63" s="124">
        <f>-[31]foreigndebt!DC168</f>
        <v>0</v>
      </c>
      <c r="DE63" s="189"/>
      <c r="DG63" s="198"/>
      <c r="DH63" s="387"/>
      <c r="DI63" s="124">
        <f>-[31]foreigndebt!DH168</f>
        <v>0</v>
      </c>
      <c r="DJ63" s="189"/>
      <c r="DL63" s="198"/>
      <c r="DM63" s="387"/>
      <c r="DN63" s="124">
        <f>-[31]foreigndebt!DM168</f>
        <v>0</v>
      </c>
      <c r="DO63" s="189"/>
      <c r="DQ63" s="198"/>
      <c r="DR63" s="387"/>
      <c r="DS63" s="124">
        <f>-[31]foreigndebt!DR168</f>
        <v>0</v>
      </c>
      <c r="DT63" s="189"/>
      <c r="DV63" s="198"/>
      <c r="DW63" s="387"/>
      <c r="DX63" s="124">
        <f>-[31]foreigndebt!DW168</f>
        <v>0</v>
      </c>
      <c r="DY63" s="189"/>
      <c r="EA63" s="198"/>
      <c r="EB63" s="387"/>
      <c r="EC63" s="124">
        <f>-[31]foreigndebt!EB168</f>
        <v>0</v>
      </c>
      <c r="ED63" s="189"/>
      <c r="EF63" s="198"/>
      <c r="EG63" s="387"/>
      <c r="EH63" s="124">
        <f>-[31]foreigndebt!EG168</f>
        <v>0</v>
      </c>
      <c r="EI63" s="189"/>
      <c r="EK63" s="198"/>
      <c r="EL63" s="387"/>
      <c r="EM63" s="124">
        <f>-[31]foreigndebt!EL168</f>
        <v>0</v>
      </c>
      <c r="EN63" s="189"/>
      <c r="EP63" s="13"/>
      <c r="ES63" s="14"/>
      <c r="ET63" s="14">
        <f t="shared" si="0"/>
        <v>0</v>
      </c>
    </row>
    <row r="64" spans="3:150" ht="13.9" hidden="1" customHeight="1" x14ac:dyDescent="0.2">
      <c r="C64" s="187" t="s">
        <v>325</v>
      </c>
      <c r="E64" s="369"/>
      <c r="F64" s="387"/>
      <c r="G64" s="387"/>
      <c r="H64" s="213">
        <v>0</v>
      </c>
      <c r="I64" s="189"/>
      <c r="K64" s="198"/>
      <c r="L64" s="387"/>
      <c r="M64" s="213">
        <f>-[31]foreigndebt!L169</f>
        <v>0</v>
      </c>
      <c r="N64" s="189"/>
      <c r="P64" s="198"/>
      <c r="Q64" s="387"/>
      <c r="R64" s="213">
        <f>-[31]foreigndebt!Q169</f>
        <v>0</v>
      </c>
      <c r="S64" s="189"/>
      <c r="U64" s="198"/>
      <c r="V64" s="387"/>
      <c r="W64" s="213">
        <f>-[31]foreigndebt!V169</f>
        <v>0</v>
      </c>
      <c r="X64" s="189"/>
      <c r="Z64" s="198"/>
      <c r="AA64" s="387"/>
      <c r="AB64" s="213">
        <f>-[31]foreigndebt!AA169</f>
        <v>0</v>
      </c>
      <c r="AC64" s="189"/>
      <c r="AE64" s="198"/>
      <c r="AF64" s="387"/>
      <c r="AG64" s="213">
        <f>-[31]foreigndebt!AF169</f>
        <v>0</v>
      </c>
      <c r="AH64" s="189"/>
      <c r="AJ64" s="198"/>
      <c r="AK64" s="387"/>
      <c r="AL64" s="213">
        <f>-[31]foreigndebt!AK169</f>
        <v>0</v>
      </c>
      <c r="AM64" s="189"/>
      <c r="AO64" s="198"/>
      <c r="AP64" s="387"/>
      <c r="AQ64" s="213">
        <f>-[31]foreigndebt!AP169</f>
        <v>0</v>
      </c>
      <c r="AR64" s="189"/>
      <c r="AT64" s="198"/>
      <c r="AU64" s="387"/>
      <c r="AV64" s="213">
        <f>-[31]foreigndebt!AU169</f>
        <v>0</v>
      </c>
      <c r="AW64" s="189"/>
      <c r="AY64" s="198"/>
      <c r="AZ64" s="387"/>
      <c r="BA64" s="213">
        <f>-[31]foreigndebt!AZ169</f>
        <v>0</v>
      </c>
      <c r="BB64" s="189"/>
      <c r="BD64" s="198"/>
      <c r="BE64" s="387"/>
      <c r="BF64" s="213">
        <f>-[31]foreigndebt!BE169</f>
        <v>0</v>
      </c>
      <c r="BG64" s="189"/>
      <c r="BI64" s="198"/>
      <c r="BJ64" s="387"/>
      <c r="BK64" s="213">
        <f>-[31]foreigndebt!BJ169</f>
        <v>0</v>
      </c>
      <c r="BL64" s="189"/>
      <c r="BN64" s="198"/>
      <c r="BO64" s="387"/>
      <c r="BP64" s="213">
        <f>-[31]foreigndebt!BO169</f>
        <v>0</v>
      </c>
      <c r="BQ64" s="189"/>
      <c r="BS64" s="198"/>
      <c r="BT64" s="387"/>
      <c r="BU64" s="213">
        <f>-[31]foreigndebt!BT169</f>
        <v>0</v>
      </c>
      <c r="BV64" s="189"/>
      <c r="BX64" s="198"/>
      <c r="BY64" s="387"/>
      <c r="BZ64" s="382">
        <v>0</v>
      </c>
      <c r="CA64" s="189"/>
      <c r="CC64" s="198"/>
      <c r="CD64" s="387"/>
      <c r="CE64" s="213">
        <f>-[31]foreigndebt!CD169</f>
        <v>0</v>
      </c>
      <c r="CF64" s="189"/>
      <c r="CH64" s="198"/>
      <c r="CI64" s="387"/>
      <c r="CJ64" s="213">
        <f>-[31]foreigndebt!CI169</f>
        <v>0</v>
      </c>
      <c r="CK64" s="189"/>
      <c r="CM64" s="198"/>
      <c r="CN64" s="387"/>
      <c r="CO64" s="213">
        <f>-[31]foreigndebt!CN169</f>
        <v>0</v>
      </c>
      <c r="CP64" s="189"/>
      <c r="CR64" s="198"/>
      <c r="CS64" s="387"/>
      <c r="CT64" s="213">
        <f>-[31]foreigndebt!CS169</f>
        <v>0</v>
      </c>
      <c r="CU64" s="189"/>
      <c r="CW64" s="198"/>
      <c r="CX64" s="387"/>
      <c r="CY64" s="213">
        <f>-[31]foreigndebt!CX169</f>
        <v>0</v>
      </c>
      <c r="CZ64" s="189"/>
      <c r="DB64" s="198"/>
      <c r="DC64" s="387"/>
      <c r="DD64" s="213">
        <f>-[31]foreigndebt!DC169</f>
        <v>0</v>
      </c>
      <c r="DE64" s="189"/>
      <c r="DG64" s="198"/>
      <c r="DH64" s="387"/>
      <c r="DI64" s="213">
        <f>-[31]foreigndebt!DH169</f>
        <v>0</v>
      </c>
      <c r="DJ64" s="189"/>
      <c r="DL64" s="198"/>
      <c r="DM64" s="387"/>
      <c r="DN64" s="213">
        <f>-[31]foreigndebt!DM169</f>
        <v>0</v>
      </c>
      <c r="DO64" s="189"/>
      <c r="DQ64" s="198"/>
      <c r="DR64" s="387"/>
      <c r="DS64" s="213">
        <f>-[31]foreigndebt!DR169</f>
        <v>0</v>
      </c>
      <c r="DT64" s="189"/>
      <c r="DV64" s="198"/>
      <c r="DW64" s="387"/>
      <c r="DX64" s="213">
        <f>-[31]foreigndebt!DW169</f>
        <v>0</v>
      </c>
      <c r="DY64" s="189"/>
      <c r="EA64" s="198"/>
      <c r="EB64" s="387"/>
      <c r="EC64" s="213">
        <f>-[31]foreigndebt!EB169</f>
        <v>0</v>
      </c>
      <c r="ED64" s="189"/>
      <c r="EF64" s="198"/>
      <c r="EG64" s="387"/>
      <c r="EH64" s="213">
        <f>-[31]foreigndebt!EG169</f>
        <v>0</v>
      </c>
      <c r="EI64" s="189"/>
      <c r="EK64" s="198"/>
      <c r="EL64" s="387"/>
      <c r="EM64" s="213">
        <f>-[31]foreigndebt!EL169</f>
        <v>0</v>
      </c>
      <c r="EN64" s="189"/>
      <c r="EP64" s="13"/>
      <c r="ES64" s="14"/>
      <c r="ET64" s="14">
        <f t="shared" si="0"/>
        <v>0</v>
      </c>
    </row>
    <row r="65" spans="3:150" x14ac:dyDescent="0.2">
      <c r="C65" s="13"/>
      <c r="E65" s="369"/>
      <c r="F65" s="387"/>
      <c r="G65" s="402"/>
      <c r="H65" s="201"/>
      <c r="I65" s="212"/>
      <c r="K65" s="198"/>
      <c r="L65" s="402"/>
      <c r="M65" s="201"/>
      <c r="N65" s="212"/>
      <c r="P65" s="198"/>
      <c r="Q65" s="402"/>
      <c r="R65" s="201"/>
      <c r="S65" s="212"/>
      <c r="U65" s="198"/>
      <c r="V65" s="402"/>
      <c r="W65" s="201"/>
      <c r="X65" s="212"/>
      <c r="Z65" s="198"/>
      <c r="AA65" s="402"/>
      <c r="AB65" s="201"/>
      <c r="AC65" s="212"/>
      <c r="AE65" s="198"/>
      <c r="AF65" s="402"/>
      <c r="AG65" s="201"/>
      <c r="AH65" s="212"/>
      <c r="AJ65" s="198"/>
      <c r="AK65" s="402"/>
      <c r="AL65" s="201"/>
      <c r="AM65" s="212"/>
      <c r="AO65" s="198"/>
      <c r="AP65" s="402"/>
      <c r="AQ65" s="201"/>
      <c r="AR65" s="212"/>
      <c r="AT65" s="198"/>
      <c r="AU65" s="402"/>
      <c r="AV65" s="201"/>
      <c r="AW65" s="212"/>
      <c r="AY65" s="198"/>
      <c r="AZ65" s="402"/>
      <c r="BA65" s="201"/>
      <c r="BB65" s="212"/>
      <c r="BD65" s="198"/>
      <c r="BE65" s="402"/>
      <c r="BF65" s="201"/>
      <c r="BG65" s="212"/>
      <c r="BI65" s="198"/>
      <c r="BJ65" s="402"/>
      <c r="BK65" s="201"/>
      <c r="BL65" s="212"/>
      <c r="BN65" s="198"/>
      <c r="BO65" s="402"/>
      <c r="BP65" s="201"/>
      <c r="BQ65" s="212"/>
      <c r="BS65" s="198"/>
      <c r="BT65" s="402"/>
      <c r="BU65" s="201"/>
      <c r="BV65" s="212"/>
      <c r="BX65" s="198"/>
      <c r="BY65" s="402"/>
      <c r="BZ65" s="386"/>
      <c r="CA65" s="212"/>
      <c r="CC65" s="198"/>
      <c r="CD65" s="402"/>
      <c r="CE65" s="201"/>
      <c r="CF65" s="212"/>
      <c r="CH65" s="198"/>
      <c r="CI65" s="402"/>
      <c r="CJ65" s="201"/>
      <c r="CK65" s="212"/>
      <c r="CM65" s="198"/>
      <c r="CN65" s="402"/>
      <c r="CO65" s="201"/>
      <c r="CP65" s="212"/>
      <c r="CR65" s="198"/>
      <c r="CS65" s="402"/>
      <c r="CT65" s="201"/>
      <c r="CU65" s="212"/>
      <c r="CW65" s="198"/>
      <c r="CX65" s="402"/>
      <c r="CY65" s="201"/>
      <c r="CZ65" s="212"/>
      <c r="DB65" s="198"/>
      <c r="DC65" s="402"/>
      <c r="DD65" s="201"/>
      <c r="DE65" s="212"/>
      <c r="DG65" s="198"/>
      <c r="DH65" s="402"/>
      <c r="DI65" s="201"/>
      <c r="DJ65" s="212"/>
      <c r="DL65" s="198"/>
      <c r="DM65" s="402"/>
      <c r="DN65" s="201"/>
      <c r="DO65" s="212"/>
      <c r="DQ65" s="198"/>
      <c r="DR65" s="402"/>
      <c r="DS65" s="201"/>
      <c r="DT65" s="212"/>
      <c r="DV65" s="198"/>
      <c r="DW65" s="402"/>
      <c r="DX65" s="201"/>
      <c r="DY65" s="212"/>
      <c r="EA65" s="198"/>
      <c r="EB65" s="402"/>
      <c r="EC65" s="201"/>
      <c r="ED65" s="212"/>
      <c r="EF65" s="198"/>
      <c r="EG65" s="402"/>
      <c r="EH65" s="201"/>
      <c r="EI65" s="212"/>
      <c r="EK65" s="198"/>
      <c r="EL65" s="402"/>
      <c r="EM65" s="201"/>
      <c r="EN65" s="212"/>
      <c r="EP65" s="13"/>
      <c r="ES65" s="14"/>
      <c r="ET65" s="14">
        <f t="shared" si="0"/>
        <v>0</v>
      </c>
    </row>
    <row r="66" spans="3:150" x14ac:dyDescent="0.2">
      <c r="C66" s="13"/>
      <c r="E66" s="369"/>
      <c r="F66" s="387"/>
      <c r="G66" s="388"/>
      <c r="K66" s="198"/>
      <c r="P66" s="198"/>
      <c r="U66" s="198"/>
      <c r="Z66" s="198"/>
      <c r="AE66" s="198"/>
      <c r="AJ66" s="198"/>
      <c r="AO66" s="198"/>
      <c r="AT66" s="198"/>
      <c r="AY66" s="198"/>
      <c r="BD66" s="198"/>
      <c r="BI66" s="198"/>
      <c r="BN66" s="198"/>
      <c r="BS66" s="198"/>
      <c r="BX66" s="198"/>
      <c r="BZ66" s="383"/>
      <c r="CC66" s="198"/>
      <c r="CH66" s="198"/>
      <c r="CM66" s="198"/>
      <c r="CR66" s="198"/>
      <c r="CW66" s="198"/>
      <c r="DB66" s="198"/>
      <c r="DG66" s="198"/>
      <c r="DL66" s="198"/>
      <c r="DQ66" s="198"/>
      <c r="DV66" s="198"/>
      <c r="EA66" s="198"/>
      <c r="EF66" s="198"/>
      <c r="EK66" s="198"/>
      <c r="EP66" s="13"/>
      <c r="ES66" s="14"/>
      <c r="ET66" s="14">
        <f t="shared" si="0"/>
        <v>0</v>
      </c>
    </row>
    <row r="67" spans="3:150" s="14" customFormat="1" x14ac:dyDescent="0.2">
      <c r="C67" s="93" t="s">
        <v>327</v>
      </c>
      <c r="E67" s="392" t="s">
        <v>328</v>
      </c>
      <c r="F67" s="393"/>
      <c r="G67" s="400"/>
      <c r="H67" s="371">
        <f>SUM(H68:H75)</f>
        <v>47835711.668461092</v>
      </c>
      <c r="I67" s="371"/>
      <c r="J67" s="371"/>
      <c r="K67" s="372"/>
      <c r="L67" s="371"/>
      <c r="M67" s="14">
        <f>SUM(M68:M75)</f>
        <v>-18499278.953769997</v>
      </c>
      <c r="P67" s="180"/>
      <c r="R67" s="14">
        <f>SUM(R68:R75)</f>
        <v>537410.36356998235</v>
      </c>
      <c r="U67" s="180"/>
      <c r="W67" s="14">
        <f>SUM(W68:W75)</f>
        <v>-23974845.376640022</v>
      </c>
      <c r="Z67" s="180"/>
      <c r="AB67" s="14">
        <f>SUM(AB68:AB75)</f>
        <v>-39272434.960170001</v>
      </c>
      <c r="AE67" s="180"/>
      <c r="AG67" s="14">
        <f>SUM(AG68:AG75)</f>
        <v>32418642.456500009</v>
      </c>
      <c r="AJ67" s="180"/>
      <c r="AL67" s="14">
        <f>SUM(AL68:AL75)</f>
        <v>-8875713.0291699618</v>
      </c>
      <c r="AO67" s="180"/>
      <c r="AQ67" s="14">
        <f>SUM(AQ68:AQ75)</f>
        <v>-36949546.152860001</v>
      </c>
      <c r="AT67" s="180"/>
      <c r="AV67" s="14">
        <f>SUM(AV68:AV75)</f>
        <v>-18096631.773589998</v>
      </c>
      <c r="AY67" s="180"/>
      <c r="BA67" s="14">
        <f>SUM(BA68:BA75)</f>
        <v>-17747258.769499987</v>
      </c>
      <c r="BD67" s="180"/>
      <c r="BF67" s="14">
        <f>SUM(BF68:BF75)</f>
        <v>25860728.776310012</v>
      </c>
      <c r="BI67" s="180"/>
      <c r="BK67" s="14">
        <f>SUM(BK68:BK75)</f>
        <v>378365248</v>
      </c>
      <c r="BN67" s="180"/>
      <c r="BP67" s="14">
        <f>SUM(BP68:BP75)</f>
        <v>0</v>
      </c>
      <c r="BS67" s="180"/>
      <c r="BU67" s="14">
        <f>SUM(BU68:BU75)</f>
        <v>-104598927.41931997</v>
      </c>
      <c r="BX67" s="180"/>
      <c r="BZ67" s="373">
        <f>SUM(BZ68:BZ75)</f>
        <v>-1669085.7470803251</v>
      </c>
      <c r="CA67" s="371"/>
      <c r="CB67" s="371"/>
      <c r="CC67" s="372"/>
      <c r="CD67" s="371"/>
      <c r="CE67" s="371">
        <f>SUM(CE68:CE75)</f>
        <v>12935068.914269969</v>
      </c>
      <c r="CF67" s="371"/>
      <c r="CG67" s="371"/>
      <c r="CH67" s="372"/>
      <c r="CI67" s="371"/>
      <c r="CJ67" s="14">
        <f>SUM(CJ68:CJ75)</f>
        <v>6028814.930979982</v>
      </c>
      <c r="CM67" s="180"/>
      <c r="CO67" s="14">
        <f>SUM(CO68:CO75)</f>
        <v>-64456252.997280002</v>
      </c>
      <c r="CR67" s="180"/>
      <c r="CT67" s="14">
        <f>SUM(CT68:CT75)</f>
        <v>71916201.470700011</v>
      </c>
      <c r="CW67" s="180"/>
      <c r="CY67" s="14">
        <f>SUM(CY68:CY75)</f>
        <v>-5938593.6452499926</v>
      </c>
      <c r="DB67" s="180"/>
      <c r="DD67" s="14">
        <f>SUM(DD68:DD75)</f>
        <v>-87185842.274320006</v>
      </c>
      <c r="DG67" s="180"/>
      <c r="DI67" s="14">
        <f>SUM(DI68:DI75)</f>
        <v>4292248.2650700212</v>
      </c>
      <c r="DL67" s="180"/>
      <c r="DN67" s="14">
        <f>SUM(DN68:DN75)</f>
        <v>-21698105.034100011</v>
      </c>
      <c r="DQ67" s="180"/>
      <c r="DS67" s="14">
        <f>SUM(DS68:DS75)</f>
        <v>-5176181.425060004</v>
      </c>
      <c r="DV67" s="180"/>
      <c r="DX67" s="14">
        <f>SUM(DX68:DX75)</f>
        <v>31144738.333759978</v>
      </c>
      <c r="EA67" s="180"/>
      <c r="EC67" s="14">
        <f>SUM(EC68:EC75)</f>
        <v>-28811986.091639996</v>
      </c>
      <c r="EF67" s="180"/>
      <c r="EH67" s="14">
        <f>SUM(EH68:EH75)</f>
        <v>88388350.272639573</v>
      </c>
      <c r="EK67" s="180"/>
      <c r="EM67" s="14">
        <f>SUM(EM68:EM75)</f>
        <v>-58137903.461230054</v>
      </c>
      <c r="EP67" s="93"/>
      <c r="ET67" s="14">
        <f>EM67-BZ67</f>
        <v>-56468817.714149728</v>
      </c>
    </row>
    <row r="68" spans="3:150" ht="12.75" customHeight="1" x14ac:dyDescent="0.2">
      <c r="C68" s="13" t="s">
        <v>329</v>
      </c>
      <c r="E68" s="369"/>
      <c r="F68" s="387"/>
      <c r="G68" s="391"/>
      <c r="H68" s="101">
        <f>+[31]cashbalances!H12</f>
        <v>40467668</v>
      </c>
      <c r="I68" s="375"/>
      <c r="K68" s="198"/>
      <c r="L68" s="374"/>
      <c r="M68" s="101">
        <f>+[31]cashbalances!M12</f>
        <v>-18484170</v>
      </c>
      <c r="N68" s="375"/>
      <c r="P68" s="198"/>
      <c r="Q68" s="374"/>
      <c r="R68" s="101">
        <f>+[31]cashbalances!R12</f>
        <v>3349854</v>
      </c>
      <c r="S68" s="375"/>
      <c r="U68" s="198"/>
      <c r="V68" s="374"/>
      <c r="W68" s="101">
        <f>+[31]cashbalances!W12</f>
        <v>-22973000</v>
      </c>
      <c r="X68" s="375"/>
      <c r="Z68" s="198"/>
      <c r="AA68" s="374"/>
      <c r="AB68" s="101">
        <f>+[31]cashbalances!AB12</f>
        <v>-53649787</v>
      </c>
      <c r="AC68" s="375"/>
      <c r="AE68" s="198"/>
      <c r="AF68" s="374"/>
      <c r="AG68" s="101">
        <f>+[31]cashbalances!AG12</f>
        <v>41961434</v>
      </c>
      <c r="AH68" s="375"/>
      <c r="AJ68" s="198"/>
      <c r="AK68" s="374"/>
      <c r="AL68" s="101">
        <f>+[31]cashbalances!AL12</f>
        <v>-13252498</v>
      </c>
      <c r="AM68" s="375"/>
      <c r="AO68" s="198"/>
      <c r="AP68" s="374"/>
      <c r="AQ68" s="101">
        <f>+[31]cashbalances!AQ12</f>
        <v>-40961985</v>
      </c>
      <c r="AR68" s="375"/>
      <c r="AT68" s="198"/>
      <c r="AU68" s="374"/>
      <c r="AV68" s="101">
        <f>+[31]cashbalances!AV12</f>
        <v>-19510192</v>
      </c>
      <c r="AW68" s="375"/>
      <c r="AY68" s="198"/>
      <c r="AZ68" s="374"/>
      <c r="BA68" s="101">
        <f>+[31]cashbalances!BA12</f>
        <v>-18762903</v>
      </c>
      <c r="BB68" s="375"/>
      <c r="BD68" s="198"/>
      <c r="BE68" s="374"/>
      <c r="BF68" s="101">
        <f>+[31]cashbalances!BF12</f>
        <v>-420333</v>
      </c>
      <c r="BG68" s="375"/>
      <c r="BI68" s="198"/>
      <c r="BJ68" s="374"/>
      <c r="BK68" s="101">
        <f>+[31]cashbalances!BK12</f>
        <v>378365248</v>
      </c>
      <c r="BL68" s="375"/>
      <c r="BN68" s="198"/>
      <c r="BO68" s="374"/>
      <c r="BP68" s="101">
        <f>+[31]cashbalances!BP12</f>
        <v>0</v>
      </c>
      <c r="BQ68" s="375"/>
      <c r="BS68" s="198"/>
      <c r="BT68" s="374"/>
      <c r="BU68" s="101">
        <f>+[31]cashbalances!BU12</f>
        <v>-142703580</v>
      </c>
      <c r="BV68" s="375"/>
      <c r="BX68" s="198"/>
      <c r="BY68" s="374"/>
      <c r="BZ68" s="378">
        <f>+[31]cashbalances!BZ12</f>
        <v>2473985</v>
      </c>
      <c r="CA68" s="375"/>
      <c r="CC68" s="198"/>
      <c r="CD68" s="374"/>
      <c r="CE68" s="376">
        <f>+[31]cashbalances!CE12</f>
        <v>39161985</v>
      </c>
      <c r="CF68" s="403"/>
      <c r="CG68" s="404"/>
      <c r="CH68" s="405"/>
      <c r="CI68" s="406"/>
      <c r="CJ68" s="101">
        <f>+[31]cashbalances!CJ12</f>
        <v>6533576</v>
      </c>
      <c r="CK68" s="375"/>
      <c r="CM68" s="198"/>
      <c r="CN68" s="374"/>
      <c r="CO68" s="101">
        <f>+[31]cashbalances!CO12</f>
        <v>-80194837</v>
      </c>
      <c r="CP68" s="375"/>
      <c r="CR68" s="198"/>
      <c r="CS68" s="374"/>
      <c r="CT68" s="101">
        <f>+[31]cashbalances!CT12</f>
        <v>71485782</v>
      </c>
      <c r="CU68" s="375"/>
      <c r="CW68" s="198"/>
      <c r="CX68" s="374"/>
      <c r="CY68" s="101">
        <f>+[31]cashbalances!CY12</f>
        <v>10515236</v>
      </c>
      <c r="CZ68" s="375"/>
      <c r="DB68" s="198"/>
      <c r="DC68" s="374"/>
      <c r="DD68" s="101">
        <f>+[31]cashbalances!DD12</f>
        <v>-104528279</v>
      </c>
      <c r="DE68" s="375"/>
      <c r="DG68" s="198"/>
      <c r="DH68" s="374"/>
      <c r="DI68" s="101">
        <f>+[31]cashbalances!DI12</f>
        <v>2731873</v>
      </c>
      <c r="DJ68" s="375"/>
      <c r="DL68" s="198"/>
      <c r="DM68" s="374"/>
      <c r="DN68" s="101">
        <f>+[31]cashbalances!DN12</f>
        <v>-9369739</v>
      </c>
      <c r="DO68" s="375"/>
      <c r="DQ68" s="198"/>
      <c r="DR68" s="374"/>
      <c r="DS68" s="101">
        <f>+[31]cashbalances!DS12</f>
        <v>-7896523</v>
      </c>
      <c r="DT68" s="375"/>
      <c r="DV68" s="198"/>
      <c r="DW68" s="374"/>
      <c r="DX68" s="101">
        <f>+[31]cashbalances!DX12</f>
        <v>33364654</v>
      </c>
      <c r="DY68" s="375"/>
      <c r="EA68" s="198"/>
      <c r="EB68" s="374"/>
      <c r="EC68" s="101">
        <f>+[31]cashbalances!EC12</f>
        <v>-27939762</v>
      </c>
      <c r="ED68" s="375"/>
      <c r="EF68" s="198"/>
      <c r="EG68" s="374"/>
      <c r="EH68" s="101">
        <f>+[31]cashbalances!EH12</f>
        <v>68610019</v>
      </c>
      <c r="EI68" s="375"/>
      <c r="EK68" s="198"/>
      <c r="EL68" s="374"/>
      <c r="EM68" s="101">
        <f>+[31]cashbalances!EM12</f>
        <v>-38196272</v>
      </c>
      <c r="EN68" s="375"/>
      <c r="EP68" s="13"/>
      <c r="ES68" s="14"/>
      <c r="ET68" s="14">
        <f t="shared" si="0"/>
        <v>-40670257</v>
      </c>
    </row>
    <row r="69" spans="3:150" ht="12.75" hidden="1" customHeight="1" x14ac:dyDescent="0.2">
      <c r="C69" s="13" t="s">
        <v>330</v>
      </c>
      <c r="E69" s="369"/>
      <c r="F69" s="387"/>
      <c r="G69" s="387"/>
      <c r="I69" s="189"/>
      <c r="K69" s="198"/>
      <c r="L69" s="198"/>
      <c r="N69" s="189"/>
      <c r="P69" s="198"/>
      <c r="Q69" s="198"/>
      <c r="S69" s="189"/>
      <c r="U69" s="198"/>
      <c r="V69" s="198"/>
      <c r="X69" s="189"/>
      <c r="Z69" s="198"/>
      <c r="AA69" s="198"/>
      <c r="AC69" s="189"/>
      <c r="AE69" s="198"/>
      <c r="AF69" s="198"/>
      <c r="AH69" s="189"/>
      <c r="AJ69" s="198"/>
      <c r="AK69" s="198"/>
      <c r="AM69" s="189"/>
      <c r="AO69" s="198"/>
      <c r="AP69" s="198"/>
      <c r="AR69" s="189"/>
      <c r="AT69" s="198"/>
      <c r="AU69" s="198"/>
      <c r="AW69" s="189"/>
      <c r="AY69" s="198"/>
      <c r="AZ69" s="198"/>
      <c r="BB69" s="189"/>
      <c r="BD69" s="198"/>
      <c r="BE69" s="198"/>
      <c r="BG69" s="189"/>
      <c r="BI69" s="198"/>
      <c r="BJ69" s="198"/>
      <c r="BL69" s="189"/>
      <c r="BN69" s="198"/>
      <c r="BO69" s="198"/>
      <c r="BQ69" s="189"/>
      <c r="BS69" s="198"/>
      <c r="BT69" s="198"/>
      <c r="BV69" s="189"/>
      <c r="BX69" s="198"/>
      <c r="BY69" s="198"/>
      <c r="BZ69" s="383"/>
      <c r="CA69" s="189"/>
      <c r="CC69" s="198"/>
      <c r="CD69" s="198"/>
      <c r="CF69" s="189"/>
      <c r="CH69" s="198"/>
      <c r="CI69" s="198"/>
      <c r="CK69" s="189"/>
      <c r="CM69" s="198"/>
      <c r="CN69" s="198"/>
      <c r="CP69" s="189"/>
      <c r="CR69" s="198"/>
      <c r="CS69" s="198"/>
      <c r="CU69" s="189"/>
      <c r="CW69" s="198"/>
      <c r="CX69" s="198"/>
      <c r="CZ69" s="189"/>
      <c r="DB69" s="198"/>
      <c r="DC69" s="198"/>
      <c r="DE69" s="189"/>
      <c r="DG69" s="198"/>
      <c r="DH69" s="198"/>
      <c r="DJ69" s="189"/>
      <c r="DL69" s="198"/>
      <c r="DM69" s="198"/>
      <c r="DO69" s="189"/>
      <c r="DQ69" s="198"/>
      <c r="DR69" s="198"/>
      <c r="DT69" s="189"/>
      <c r="DV69" s="198"/>
      <c r="DW69" s="198"/>
      <c r="DY69" s="189"/>
      <c r="EA69" s="198"/>
      <c r="EB69" s="198"/>
      <c r="ED69" s="189"/>
      <c r="EF69" s="198"/>
      <c r="EG69" s="198"/>
      <c r="EI69" s="189"/>
      <c r="EK69" s="198"/>
      <c r="EL69" s="198"/>
      <c r="EN69" s="189"/>
      <c r="EP69" s="13"/>
      <c r="ES69" s="14"/>
      <c r="ET69" s="14">
        <f t="shared" si="0"/>
        <v>0</v>
      </c>
    </row>
    <row r="70" spans="3:150" ht="12.75" customHeight="1" x14ac:dyDescent="0.2">
      <c r="C70" s="13" t="s">
        <v>330</v>
      </c>
      <c r="E70" s="369"/>
      <c r="F70" s="387"/>
      <c r="G70" s="387"/>
      <c r="H70" s="1">
        <f>+[31]cashbalances!H23</f>
        <v>0</v>
      </c>
      <c r="I70" s="189"/>
      <c r="K70" s="198"/>
      <c r="L70" s="198"/>
      <c r="M70" s="1">
        <f>+[31]cashbalances!M23</f>
        <v>34143659</v>
      </c>
      <c r="N70" s="189"/>
      <c r="P70" s="198"/>
      <c r="Q70" s="198"/>
      <c r="R70" s="1">
        <f>+[31]cashbalances!R23</f>
        <v>-4349966</v>
      </c>
      <c r="S70" s="189"/>
      <c r="U70" s="198"/>
      <c r="V70" s="198"/>
      <c r="W70" s="1">
        <f>+[31]cashbalances!W23</f>
        <v>2527515</v>
      </c>
      <c r="X70" s="189"/>
      <c r="Z70" s="198"/>
      <c r="AA70" s="198"/>
      <c r="AB70" s="1">
        <f>+[31]cashbalances!AB23</f>
        <v>-24856159</v>
      </c>
      <c r="AC70" s="189"/>
      <c r="AE70" s="198"/>
      <c r="AF70" s="198"/>
      <c r="AG70" s="1">
        <f>+[31]cashbalances!AG23</f>
        <v>26866570</v>
      </c>
      <c r="AH70" s="189"/>
      <c r="AJ70" s="198"/>
      <c r="AK70" s="198"/>
      <c r="AL70" s="1">
        <f>+[31]cashbalances!AL23</f>
        <v>-5977613</v>
      </c>
      <c r="AM70" s="189"/>
      <c r="AO70" s="198"/>
      <c r="AP70" s="198"/>
      <c r="AQ70" s="1">
        <f>+[31]cashbalances!AQ23</f>
        <v>15416167</v>
      </c>
      <c r="AR70" s="189"/>
      <c r="AT70" s="198"/>
      <c r="AU70" s="198"/>
      <c r="AV70" s="1">
        <f>+[31]cashbalances!AV23</f>
        <v>-315227</v>
      </c>
      <c r="AW70" s="189"/>
      <c r="AY70" s="198"/>
      <c r="AZ70" s="198"/>
      <c r="BA70" s="1">
        <f>+[31]cashbalances!BA23</f>
        <v>-6539100</v>
      </c>
      <c r="BB70" s="189"/>
      <c r="BD70" s="198"/>
      <c r="BE70" s="198"/>
      <c r="BF70" s="1">
        <f>+[31]cashbalances!BF23</f>
        <v>59957836</v>
      </c>
      <c r="BG70" s="189"/>
      <c r="BI70" s="198"/>
      <c r="BJ70" s="198"/>
      <c r="BK70" s="1">
        <f>+[31]cashbalances!BK23</f>
        <v>0</v>
      </c>
      <c r="BL70" s="189"/>
      <c r="BN70" s="198"/>
      <c r="BO70" s="198"/>
      <c r="BP70" s="1">
        <f>+[31]cashbalances!BP23</f>
        <v>0</v>
      </c>
      <c r="BQ70" s="189"/>
      <c r="BS70" s="198"/>
      <c r="BT70" s="198"/>
      <c r="BU70" s="1">
        <f>+[31]cashbalances!BU23</f>
        <v>96873682</v>
      </c>
      <c r="BV70" s="189"/>
      <c r="BX70" s="198"/>
      <c r="BY70" s="198"/>
      <c r="BZ70" s="383">
        <f>+[31]cashbalances!BZ23</f>
        <v>-17008126</v>
      </c>
      <c r="CA70" s="189"/>
      <c r="CC70" s="198"/>
      <c r="CD70" s="198"/>
      <c r="CE70" s="1">
        <f>+[31]cashbalances!CE23</f>
        <v>-17895405</v>
      </c>
      <c r="CF70" s="189"/>
      <c r="CH70" s="198"/>
      <c r="CI70" s="198"/>
      <c r="CJ70" s="1">
        <f>+[31]cashbalances!CJ23</f>
        <v>-2162772</v>
      </c>
      <c r="CK70" s="189"/>
      <c r="CM70" s="198"/>
      <c r="CN70" s="198"/>
      <c r="CO70" s="1">
        <f>+[31]cashbalances!CO23</f>
        <v>1746060</v>
      </c>
      <c r="CP70" s="189"/>
      <c r="CR70" s="198"/>
      <c r="CS70" s="198"/>
      <c r="CT70" s="1">
        <f>+[31]cashbalances!CT23</f>
        <v>9207825</v>
      </c>
      <c r="CU70" s="189"/>
      <c r="CW70" s="198"/>
      <c r="CX70" s="198"/>
      <c r="CY70" s="1">
        <f>+[31]cashbalances!CY23</f>
        <v>-8222766</v>
      </c>
      <c r="CZ70" s="189"/>
      <c r="DB70" s="198"/>
      <c r="DC70" s="198"/>
      <c r="DD70" s="1">
        <f>+[31]cashbalances!DD23</f>
        <v>21412052</v>
      </c>
      <c r="DE70" s="189"/>
      <c r="DG70" s="198"/>
      <c r="DH70" s="198"/>
      <c r="DI70" s="1">
        <f>+[31]cashbalances!DI23</f>
        <v>67094</v>
      </c>
      <c r="DJ70" s="189"/>
      <c r="DL70" s="198"/>
      <c r="DM70" s="198"/>
      <c r="DN70" s="1">
        <f>+[31]cashbalances!DN23</f>
        <v>5423083</v>
      </c>
      <c r="DO70" s="189"/>
      <c r="DQ70" s="198"/>
      <c r="DR70" s="198"/>
      <c r="DS70" s="1">
        <f>+[31]cashbalances!DS23</f>
        <v>3006040</v>
      </c>
      <c r="DT70" s="189"/>
      <c r="DV70" s="198"/>
      <c r="DW70" s="198"/>
      <c r="DX70" s="1">
        <f>+[31]cashbalances!DX23</f>
        <v>484408</v>
      </c>
      <c r="DY70" s="189"/>
      <c r="EA70" s="198"/>
      <c r="EB70" s="198"/>
      <c r="EC70" s="1">
        <f>+[31]cashbalances!EC23</f>
        <v>4553332</v>
      </c>
      <c r="ED70" s="189"/>
      <c r="EF70" s="198"/>
      <c r="EG70" s="198"/>
      <c r="EH70" s="1">
        <f>+[31]cashbalances!EH23</f>
        <v>-34627077</v>
      </c>
      <c r="EI70" s="189"/>
      <c r="EK70" s="198"/>
      <c r="EL70" s="198"/>
      <c r="EM70" s="1">
        <f>+[31]cashbalances!EM23</f>
        <v>13065619</v>
      </c>
      <c r="EN70" s="189"/>
      <c r="EP70" s="13"/>
      <c r="ES70" s="14"/>
      <c r="ET70" s="14">
        <f t="shared" si="0"/>
        <v>30073745</v>
      </c>
    </row>
    <row r="71" spans="3:150" ht="12.75" customHeight="1" x14ac:dyDescent="0.2">
      <c r="C71" s="187" t="s">
        <v>331</v>
      </c>
      <c r="E71" s="369"/>
      <c r="F71" s="387"/>
      <c r="G71" s="387"/>
      <c r="H71" s="1">
        <f>+[31]cashbalances!H25</f>
        <v>0</v>
      </c>
      <c r="I71" s="189"/>
      <c r="K71" s="198"/>
      <c r="L71" s="198"/>
      <c r="M71" s="1">
        <f>[31]cashbalances!M25</f>
        <v>0</v>
      </c>
      <c r="N71" s="189"/>
      <c r="P71" s="198"/>
      <c r="Q71" s="198"/>
      <c r="R71" s="1">
        <f>[31]cashbalances!R25</f>
        <v>0</v>
      </c>
      <c r="S71" s="189"/>
      <c r="U71" s="198"/>
      <c r="V71" s="198"/>
      <c r="W71" s="1">
        <f>[31]cashbalances!W25</f>
        <v>0</v>
      </c>
      <c r="X71" s="189"/>
      <c r="Z71" s="198"/>
      <c r="AA71" s="198"/>
      <c r="AB71" s="1">
        <f>[31]cashbalances!AB25</f>
        <v>0</v>
      </c>
      <c r="AC71" s="189"/>
      <c r="AE71" s="198"/>
      <c r="AF71" s="198"/>
      <c r="AG71" s="1">
        <f>[31]cashbalances!AG25</f>
        <v>0</v>
      </c>
      <c r="AH71" s="189"/>
      <c r="AJ71" s="198"/>
      <c r="AK71" s="198"/>
      <c r="AL71" s="1">
        <f>[31]cashbalances!AL25</f>
        <v>0</v>
      </c>
      <c r="AM71" s="189"/>
      <c r="AO71" s="198"/>
      <c r="AP71" s="198"/>
      <c r="AQ71" s="1">
        <f>[31]cashbalances!AQ25</f>
        <v>0</v>
      </c>
      <c r="AR71" s="189"/>
      <c r="AT71" s="198"/>
      <c r="AU71" s="198"/>
      <c r="AV71" s="1">
        <f>[31]cashbalances!AV25</f>
        <v>0</v>
      </c>
      <c r="AW71" s="189"/>
      <c r="AY71" s="198"/>
      <c r="AZ71" s="198"/>
      <c r="BA71" s="1">
        <f>[31]cashbalances!BA25</f>
        <v>0</v>
      </c>
      <c r="BB71" s="189"/>
      <c r="BD71" s="198"/>
      <c r="BE71" s="198"/>
      <c r="BF71" s="1">
        <f>[31]cashbalances!BF25</f>
        <v>0</v>
      </c>
      <c r="BG71" s="189"/>
      <c r="BI71" s="198"/>
      <c r="BJ71" s="198"/>
      <c r="BK71" s="1">
        <f>[31]cashbalances!BK25</f>
        <v>0</v>
      </c>
      <c r="BL71" s="189"/>
      <c r="BN71" s="198"/>
      <c r="BO71" s="198"/>
      <c r="BP71" s="1">
        <f>[31]cashbalances!BP25</f>
        <v>0</v>
      </c>
      <c r="BQ71" s="189"/>
      <c r="BS71" s="198"/>
      <c r="BT71" s="198"/>
      <c r="BU71" s="1">
        <f>[31]cashbalances!BU25</f>
        <v>0</v>
      </c>
      <c r="BV71" s="189"/>
      <c r="BX71" s="198"/>
      <c r="BY71" s="198"/>
      <c r="BZ71" s="383">
        <f>+[31]cashbalances!BZ25</f>
        <v>2087301.7651195501</v>
      </c>
      <c r="CA71" s="189"/>
      <c r="CC71" s="198"/>
      <c r="CD71" s="198"/>
      <c r="CE71" s="1">
        <f>[31]cashbalances!CE25</f>
        <v>0</v>
      </c>
      <c r="CF71" s="189"/>
      <c r="CH71" s="198"/>
      <c r="CI71" s="198"/>
      <c r="CJ71" s="1">
        <f>[31]cashbalances!CJ25</f>
        <v>0</v>
      </c>
      <c r="CK71" s="189"/>
      <c r="CM71" s="198"/>
      <c r="CN71" s="198"/>
      <c r="CO71" s="1">
        <f>[31]cashbalances!CO25</f>
        <v>0</v>
      </c>
      <c r="CP71" s="189"/>
      <c r="CR71" s="198"/>
      <c r="CS71" s="198"/>
      <c r="CT71" s="1">
        <f>[31]cashbalances!CT25</f>
        <v>0</v>
      </c>
      <c r="CU71" s="189"/>
      <c r="CW71" s="198"/>
      <c r="CX71" s="198"/>
      <c r="CY71" s="1">
        <f>[31]cashbalances!CY25</f>
        <v>0</v>
      </c>
      <c r="CZ71" s="189"/>
      <c r="DB71" s="198"/>
      <c r="DC71" s="198"/>
      <c r="DD71" s="1">
        <f>[31]cashbalances!DD25</f>
        <v>0</v>
      </c>
      <c r="DE71" s="189"/>
      <c r="DG71" s="198"/>
      <c r="DH71" s="198"/>
      <c r="DI71" s="1">
        <f>[31]cashbalances!DI25</f>
        <v>0</v>
      </c>
      <c r="DJ71" s="189"/>
      <c r="DL71" s="198"/>
      <c r="DM71" s="198"/>
      <c r="DN71" s="1">
        <f>[31]cashbalances!DN25</f>
        <v>0</v>
      </c>
      <c r="DO71" s="189"/>
      <c r="DQ71" s="198"/>
      <c r="DR71" s="198"/>
      <c r="DS71" s="1">
        <f>[31]cashbalances!DS25</f>
        <v>0</v>
      </c>
      <c r="DT71" s="189"/>
      <c r="DV71" s="198"/>
      <c r="DW71" s="198"/>
      <c r="DX71" s="1">
        <f>[31]cashbalances!DX25</f>
        <v>0</v>
      </c>
      <c r="DY71" s="189"/>
      <c r="EA71" s="198"/>
      <c r="EB71" s="198"/>
      <c r="EC71" s="1">
        <f>[31]cashbalances!EC25</f>
        <v>0</v>
      </c>
      <c r="ED71" s="189"/>
      <c r="EF71" s="198"/>
      <c r="EG71" s="198"/>
      <c r="EH71" s="1">
        <f>[31]cashbalances!EH25</f>
        <v>2087353.7651195501</v>
      </c>
      <c r="EI71" s="189"/>
      <c r="EK71" s="198"/>
      <c r="EL71" s="198"/>
      <c r="EM71" s="1">
        <f>[31]cashbalances!EM25</f>
        <v>0</v>
      </c>
      <c r="EN71" s="189"/>
      <c r="EP71" s="13"/>
      <c r="ES71" s="14"/>
      <c r="ET71" s="14">
        <f>EM71-BZ71</f>
        <v>-2087301.7651195501</v>
      </c>
    </row>
    <row r="72" spans="3:150" ht="12.75" customHeight="1" x14ac:dyDescent="0.2">
      <c r="C72" s="13" t="s">
        <v>332</v>
      </c>
      <c r="E72" s="369"/>
      <c r="F72" s="387"/>
      <c r="G72" s="387"/>
      <c r="H72" s="1">
        <f>+[31]cashbalances!H27</f>
        <v>7368043.66846109</v>
      </c>
      <c r="I72" s="189"/>
      <c r="K72" s="198"/>
      <c r="L72" s="198"/>
      <c r="M72" s="1">
        <f>+[31]cashbalances!M27</f>
        <v>0</v>
      </c>
      <c r="N72" s="189"/>
      <c r="P72" s="198"/>
      <c r="Q72" s="198"/>
      <c r="R72" s="1">
        <f>+[31]cashbalances!R27</f>
        <v>871744.25600000005</v>
      </c>
      <c r="S72" s="189"/>
      <c r="U72" s="198"/>
      <c r="V72" s="198"/>
      <c r="W72" s="1">
        <f>+[31]cashbalances!W27</f>
        <v>0</v>
      </c>
      <c r="X72" s="189"/>
      <c r="Z72" s="198"/>
      <c r="AA72" s="198"/>
      <c r="AB72" s="1">
        <f>+[31]cashbalances!AB27</f>
        <v>126224</v>
      </c>
      <c r="AC72" s="189"/>
      <c r="AE72" s="198"/>
      <c r="AF72" s="198"/>
      <c r="AG72" s="1">
        <f>+[31]cashbalances!AG27</f>
        <v>0</v>
      </c>
      <c r="AH72" s="189"/>
      <c r="AJ72" s="198"/>
      <c r="AK72" s="198"/>
      <c r="AL72" s="1">
        <f>+[31]cashbalances!AL27</f>
        <v>3836</v>
      </c>
      <c r="AM72" s="189"/>
      <c r="AO72" s="198"/>
      <c r="AP72" s="198"/>
      <c r="AQ72" s="1">
        <f>+[31]cashbalances!AQ27</f>
        <v>1831061</v>
      </c>
      <c r="AR72" s="189"/>
      <c r="AT72" s="198"/>
      <c r="AU72" s="198"/>
      <c r="AV72" s="1">
        <f>+[31]cashbalances!AV27</f>
        <v>2236273</v>
      </c>
      <c r="AW72" s="189"/>
      <c r="AY72" s="198"/>
      <c r="AZ72" s="198"/>
      <c r="BA72" s="1">
        <f>+[31]cashbalances!BA27</f>
        <v>1620990</v>
      </c>
      <c r="BB72" s="189"/>
      <c r="BD72" s="198"/>
      <c r="BE72" s="198"/>
      <c r="BF72" s="1">
        <f>+[31]cashbalances!BF27</f>
        <v>89678</v>
      </c>
      <c r="BG72" s="189"/>
      <c r="BI72" s="198"/>
      <c r="BJ72" s="198"/>
      <c r="BK72" s="1">
        <f>+[31]cashbalances!BK27</f>
        <v>0</v>
      </c>
      <c r="BL72" s="189"/>
      <c r="BN72" s="198"/>
      <c r="BO72" s="198"/>
      <c r="BP72" s="1">
        <f>+[31]cashbalances!BP27</f>
        <v>0</v>
      </c>
      <c r="BQ72" s="189"/>
      <c r="BS72" s="198"/>
      <c r="BT72" s="198"/>
      <c r="BU72" s="1">
        <f>+[31]cashbalances!BU27</f>
        <v>6779806.2560000001</v>
      </c>
      <c r="BV72" s="189"/>
      <c r="BX72" s="198"/>
      <c r="BY72" s="198"/>
      <c r="BZ72" s="383">
        <f>+[31]cashbalances!BZ28</f>
        <v>11826596</v>
      </c>
      <c r="CA72" s="189"/>
      <c r="CC72" s="198"/>
      <c r="CD72" s="198"/>
      <c r="CE72" s="1">
        <f>+[31]cashbalances!CE27</f>
        <v>1285536</v>
      </c>
      <c r="CF72" s="189"/>
      <c r="CH72" s="198"/>
      <c r="CI72" s="198"/>
      <c r="CJ72" s="1">
        <f>+[31]cashbalances!CJ27</f>
        <v>0</v>
      </c>
      <c r="CK72" s="189"/>
      <c r="CM72" s="198"/>
      <c r="CN72" s="198"/>
      <c r="CO72" s="1">
        <f>+[31]cashbalances!CO27</f>
        <v>12272</v>
      </c>
      <c r="CP72" s="189"/>
      <c r="CR72" s="198"/>
      <c r="CS72" s="198"/>
      <c r="CT72" s="1">
        <f>+[31]cashbalances!CT27</f>
        <v>0</v>
      </c>
      <c r="CU72" s="189"/>
      <c r="CW72" s="198"/>
      <c r="CX72" s="198"/>
      <c r="CY72" s="1">
        <f>+[31]cashbalances!CY27</f>
        <v>1736919</v>
      </c>
      <c r="CZ72" s="189"/>
      <c r="DB72" s="198"/>
      <c r="DC72" s="198"/>
      <c r="DD72" s="1">
        <f>+[31]cashbalances!DD27</f>
        <v>245929</v>
      </c>
      <c r="DE72" s="189"/>
      <c r="DG72" s="198"/>
      <c r="DH72" s="198"/>
      <c r="DI72" s="1">
        <f>+[31]cashbalances!DI27</f>
        <v>2261765</v>
      </c>
      <c r="DJ72" s="189"/>
      <c r="DL72" s="198"/>
      <c r="DM72" s="198"/>
      <c r="DN72" s="1">
        <f>+[31]cashbalances!DN27</f>
        <v>1146180</v>
      </c>
      <c r="DO72" s="189"/>
      <c r="DQ72" s="198"/>
      <c r="DR72" s="198"/>
      <c r="DS72" s="1">
        <f>+[31]cashbalances!DS27</f>
        <v>1005353</v>
      </c>
      <c r="DT72" s="189"/>
      <c r="DV72" s="198"/>
      <c r="DW72" s="198"/>
      <c r="DX72" s="1">
        <f>+[31]cashbalances!DX27</f>
        <v>41798</v>
      </c>
      <c r="DY72" s="189"/>
      <c r="EA72" s="198"/>
      <c r="EB72" s="198"/>
      <c r="EC72" s="1">
        <f>+[31]cashbalances!EC27</f>
        <v>360442</v>
      </c>
      <c r="ED72" s="189"/>
      <c r="EF72" s="198"/>
      <c r="EG72" s="198"/>
      <c r="EH72" s="1">
        <f>+[31]cashbalances!EH27</f>
        <v>3730402</v>
      </c>
      <c r="EI72" s="189"/>
      <c r="EK72" s="198"/>
      <c r="EL72" s="198"/>
      <c r="EM72" s="1">
        <f>+[31]cashbalances!EM27</f>
        <v>7735752</v>
      </c>
      <c r="EN72" s="189"/>
      <c r="EP72" s="13"/>
      <c r="ES72" s="14"/>
      <c r="ET72" s="14">
        <f t="shared" si="0"/>
        <v>-4090844</v>
      </c>
    </row>
    <row r="73" spans="3:150" ht="12.75" customHeight="1" x14ac:dyDescent="0.2">
      <c r="C73" s="13" t="s">
        <v>333</v>
      </c>
      <c r="E73" s="369"/>
      <c r="F73" s="387"/>
      <c r="G73" s="387"/>
      <c r="H73" s="1">
        <f>+[31]cashbalances!H32</f>
        <v>0</v>
      </c>
      <c r="I73" s="189"/>
      <c r="K73" s="198"/>
      <c r="L73" s="198"/>
      <c r="M73" s="1">
        <f>+[31]cashbalances!M32</f>
        <v>0</v>
      </c>
      <c r="N73" s="189"/>
      <c r="P73" s="198"/>
      <c r="Q73" s="198"/>
      <c r="R73" s="1">
        <f>+[31]cashbalances!R32</f>
        <v>0</v>
      </c>
      <c r="S73" s="189"/>
      <c r="U73" s="198"/>
      <c r="V73" s="198"/>
      <c r="W73" s="1">
        <f>+[31]cashbalances!W32</f>
        <v>0</v>
      </c>
      <c r="X73" s="189"/>
      <c r="Z73" s="198"/>
      <c r="AA73" s="198"/>
      <c r="AB73" s="1">
        <f>+[31]cashbalances!AB32</f>
        <v>-22185</v>
      </c>
      <c r="AC73" s="189"/>
      <c r="AE73" s="198"/>
      <c r="AF73" s="198"/>
      <c r="AG73" s="1">
        <f>+[31]cashbalances!AG32</f>
        <v>0</v>
      </c>
      <c r="AH73" s="189"/>
      <c r="AJ73" s="198"/>
      <c r="AK73" s="198"/>
      <c r="AL73" s="1">
        <f>+[31]cashbalances!AL32</f>
        <v>0</v>
      </c>
      <c r="AM73" s="189"/>
      <c r="AO73" s="198"/>
      <c r="AP73" s="198"/>
      <c r="AQ73" s="1">
        <f>+[31]cashbalances!AQ32</f>
        <v>0</v>
      </c>
      <c r="AR73" s="189"/>
      <c r="AT73" s="198"/>
      <c r="AU73" s="198"/>
      <c r="AV73" s="1">
        <f>+[31]cashbalances!AV32</f>
        <v>0</v>
      </c>
      <c r="AW73" s="189"/>
      <c r="AY73" s="198"/>
      <c r="AZ73" s="198"/>
      <c r="BA73" s="1">
        <f>+[31]cashbalances!BA32</f>
        <v>0</v>
      </c>
      <c r="BB73" s="189"/>
      <c r="BD73" s="198"/>
      <c r="BE73" s="198"/>
      <c r="BF73" s="1">
        <f>+[31]cashbalances!BF32</f>
        <v>0</v>
      </c>
      <c r="BG73" s="189"/>
      <c r="BI73" s="198"/>
      <c r="BJ73" s="198"/>
      <c r="BK73" s="1">
        <f>+[31]cashbalances!BK32</f>
        <v>0</v>
      </c>
      <c r="BL73" s="189"/>
      <c r="BN73" s="198"/>
      <c r="BO73" s="198"/>
      <c r="BP73" s="1">
        <f>+[31]cashbalances!BP32</f>
        <v>0</v>
      </c>
      <c r="BQ73" s="189"/>
      <c r="BS73" s="198"/>
      <c r="BT73" s="198"/>
      <c r="BU73" s="1">
        <f>+[31]cashbalances!BU32</f>
        <v>-22185</v>
      </c>
      <c r="BV73" s="189"/>
      <c r="BX73" s="198"/>
      <c r="BY73" s="198"/>
      <c r="BZ73" s="383">
        <f>+[31]cashbalances!BZ32</f>
        <v>-372703</v>
      </c>
      <c r="CA73" s="189"/>
      <c r="CC73" s="198"/>
      <c r="CD73" s="198"/>
      <c r="CE73" s="404">
        <f>+[31]cashbalances!CE32</f>
        <v>0</v>
      </c>
      <c r="CF73" s="407"/>
      <c r="CG73" s="404"/>
      <c r="CH73" s="405"/>
      <c r="CI73" s="405"/>
      <c r="CJ73" s="1">
        <f>+[31]cashbalances!CJ32</f>
        <v>0</v>
      </c>
      <c r="CK73" s="189"/>
      <c r="CM73" s="198"/>
      <c r="CN73" s="198"/>
      <c r="CO73" s="1">
        <f>+[31]cashbalances!CO32</f>
        <v>0</v>
      </c>
      <c r="CP73" s="189"/>
      <c r="CR73" s="198"/>
      <c r="CS73" s="198"/>
      <c r="CT73" s="1">
        <f>+[31]cashbalances!CT32</f>
        <v>0</v>
      </c>
      <c r="CU73" s="189"/>
      <c r="CW73" s="198"/>
      <c r="CX73" s="198"/>
      <c r="CY73" s="1">
        <f>+[31]cashbalances!CY32</f>
        <v>-98</v>
      </c>
      <c r="CZ73" s="189"/>
      <c r="DB73" s="198"/>
      <c r="DC73" s="198"/>
      <c r="DD73" s="1">
        <f>+[31]cashbalances!DD32</f>
        <v>0</v>
      </c>
      <c r="DE73" s="189"/>
      <c r="DG73" s="198"/>
      <c r="DH73" s="198"/>
      <c r="DI73" s="1">
        <f>+[31]cashbalances!DI32</f>
        <v>-372528</v>
      </c>
      <c r="DJ73" s="189"/>
      <c r="DL73" s="198"/>
      <c r="DM73" s="198"/>
      <c r="DN73" s="1">
        <f>+[31]cashbalances!DN32</f>
        <v>0</v>
      </c>
      <c r="DO73" s="189"/>
      <c r="DQ73" s="198"/>
      <c r="DR73" s="198"/>
      <c r="DS73" s="1">
        <f>+[31]cashbalances!DS32</f>
        <v>0</v>
      </c>
      <c r="DT73" s="189"/>
      <c r="DV73" s="198"/>
      <c r="DW73" s="198"/>
      <c r="DX73" s="1">
        <f>+[31]cashbalances!DX32</f>
        <v>0</v>
      </c>
      <c r="DY73" s="189"/>
      <c r="EA73" s="198"/>
      <c r="EB73" s="198"/>
      <c r="EC73" s="1">
        <f>+[31]cashbalances!EC32</f>
        <v>0</v>
      </c>
      <c r="ED73" s="189"/>
      <c r="EF73" s="198"/>
      <c r="EG73" s="198"/>
      <c r="EH73" s="1">
        <f>+[31]cashbalances!EH32</f>
        <v>-77</v>
      </c>
      <c r="EI73" s="189"/>
      <c r="EK73" s="198"/>
      <c r="EL73" s="198"/>
      <c r="EM73" s="1">
        <f>+[31]cashbalances!EM32</f>
        <v>-372626</v>
      </c>
      <c r="EN73" s="189"/>
      <c r="EP73" s="13"/>
      <c r="ES73" s="14"/>
      <c r="ET73" s="14">
        <f t="shared" si="0"/>
        <v>77</v>
      </c>
    </row>
    <row r="74" spans="3:150" ht="12.75" hidden="1" customHeight="1" x14ac:dyDescent="0.2">
      <c r="C74" s="13" t="s">
        <v>334</v>
      </c>
      <c r="E74" s="369"/>
      <c r="F74" s="387"/>
      <c r="G74" s="387"/>
      <c r="I74" s="189"/>
      <c r="K74" s="198"/>
      <c r="L74" s="198"/>
      <c r="N74" s="189"/>
      <c r="P74" s="198"/>
      <c r="Q74" s="198"/>
      <c r="S74" s="189"/>
      <c r="U74" s="198"/>
      <c r="V74" s="198"/>
      <c r="X74" s="189"/>
      <c r="Z74" s="198"/>
      <c r="AA74" s="198"/>
      <c r="AC74" s="189"/>
      <c r="AE74" s="198"/>
      <c r="AF74" s="198"/>
      <c r="AH74" s="189"/>
      <c r="AJ74" s="198"/>
      <c r="AK74" s="198"/>
      <c r="AM74" s="189"/>
      <c r="AO74" s="198"/>
      <c r="AP74" s="198"/>
      <c r="AR74" s="189"/>
      <c r="AT74" s="198"/>
      <c r="AU74" s="198"/>
      <c r="AW74" s="189"/>
      <c r="AY74" s="198"/>
      <c r="AZ74" s="198"/>
      <c r="BB74" s="189"/>
      <c r="BD74" s="198"/>
      <c r="BE74" s="198"/>
      <c r="BG74" s="189"/>
      <c r="BI74" s="198"/>
      <c r="BJ74" s="198"/>
      <c r="BL74" s="189"/>
      <c r="BN74" s="198"/>
      <c r="BO74" s="198"/>
      <c r="BQ74" s="189"/>
      <c r="BS74" s="198"/>
      <c r="BT74" s="198"/>
      <c r="BV74" s="189"/>
      <c r="BX74" s="198"/>
      <c r="BY74" s="198"/>
      <c r="BZ74" s="408"/>
      <c r="CA74" s="189"/>
      <c r="CC74" s="198"/>
      <c r="CD74" s="198"/>
      <c r="CF74" s="189"/>
      <c r="CH74" s="198"/>
      <c r="CI74" s="198"/>
      <c r="CK74" s="189"/>
      <c r="CM74" s="198"/>
      <c r="CN74" s="198"/>
      <c r="CP74" s="189"/>
      <c r="CR74" s="198"/>
      <c r="CS74" s="198"/>
      <c r="CU74" s="189"/>
      <c r="CW74" s="198"/>
      <c r="CX74" s="198"/>
      <c r="CZ74" s="189"/>
      <c r="DB74" s="198"/>
      <c r="DC74" s="198"/>
      <c r="DE74" s="189"/>
      <c r="DG74" s="198"/>
      <c r="DH74" s="198"/>
      <c r="DJ74" s="189"/>
      <c r="DL74" s="198"/>
      <c r="DM74" s="198"/>
      <c r="DO74" s="189"/>
      <c r="DQ74" s="198"/>
      <c r="DR74" s="198"/>
      <c r="DT74" s="189"/>
      <c r="DV74" s="198"/>
      <c r="DW74" s="198"/>
      <c r="DY74" s="189"/>
      <c r="EA74" s="198"/>
      <c r="EB74" s="198"/>
      <c r="ED74" s="189"/>
      <c r="EF74" s="198"/>
      <c r="EG74" s="198"/>
      <c r="EI74" s="189"/>
      <c r="EK74" s="198"/>
      <c r="EL74" s="198"/>
      <c r="EN74" s="189"/>
      <c r="EP74" s="13"/>
      <c r="ES74" s="14"/>
      <c r="ET74" s="14">
        <f t="shared" si="0"/>
        <v>0</v>
      </c>
    </row>
    <row r="75" spans="3:150" ht="12.75" customHeight="1" x14ac:dyDescent="0.2">
      <c r="C75" s="13" t="s">
        <v>334</v>
      </c>
      <c r="E75" s="369"/>
      <c r="F75" s="387"/>
      <c r="G75" s="402"/>
      <c r="H75" s="201">
        <f>+[31]cashbalances!H38</f>
        <v>0</v>
      </c>
      <c r="I75" s="212"/>
      <c r="K75" s="198"/>
      <c r="L75" s="385"/>
      <c r="M75" s="201">
        <f>+[31]cashbalances!M38</f>
        <v>-34158767.953769997</v>
      </c>
      <c r="N75" s="212"/>
      <c r="P75" s="198"/>
      <c r="Q75" s="385"/>
      <c r="R75" s="201">
        <f>+[31]cashbalances!R38</f>
        <v>665778.1075699823</v>
      </c>
      <c r="S75" s="212"/>
      <c r="U75" s="198"/>
      <c r="V75" s="385"/>
      <c r="W75" s="201">
        <f>+[31]cashbalances!W38</f>
        <v>-3529360.3766400218</v>
      </c>
      <c r="X75" s="212"/>
      <c r="Z75" s="198"/>
      <c r="AA75" s="385"/>
      <c r="AB75" s="201">
        <f>+[31]cashbalances!AB38</f>
        <v>39129472.039829999</v>
      </c>
      <c r="AC75" s="212"/>
      <c r="AE75" s="198"/>
      <c r="AF75" s="385"/>
      <c r="AG75" s="201">
        <f>+[31]cashbalances!AG38</f>
        <v>-36409361.543499991</v>
      </c>
      <c r="AH75" s="212"/>
      <c r="AJ75" s="198"/>
      <c r="AK75" s="385"/>
      <c r="AL75" s="201">
        <f>+[31]cashbalances!AL38</f>
        <v>10350561.970830038</v>
      </c>
      <c r="AM75" s="212"/>
      <c r="AO75" s="198"/>
      <c r="AP75" s="385"/>
      <c r="AQ75" s="201">
        <f>+[31]cashbalances!AQ38</f>
        <v>-13234789.152860001</v>
      </c>
      <c r="AR75" s="212"/>
      <c r="AT75" s="198"/>
      <c r="AU75" s="385"/>
      <c r="AV75" s="201">
        <f>+[31]cashbalances!AV38</f>
        <v>-507485.77358999848</v>
      </c>
      <c r="AW75" s="212"/>
      <c r="AY75" s="198"/>
      <c r="AZ75" s="385"/>
      <c r="BA75" s="201">
        <f>+[31]cashbalances!BA38</f>
        <v>5933754.2305000126</v>
      </c>
      <c r="BB75" s="212"/>
      <c r="BD75" s="198"/>
      <c r="BE75" s="385"/>
      <c r="BF75" s="201">
        <f>+[31]cashbalances!BF38</f>
        <v>-33766452.223689988</v>
      </c>
      <c r="BG75" s="212"/>
      <c r="BI75" s="198"/>
      <c r="BJ75" s="385"/>
      <c r="BK75" s="201">
        <f>+[31]cashbalances!BK38</f>
        <v>0</v>
      </c>
      <c r="BL75" s="212"/>
      <c r="BN75" s="198"/>
      <c r="BO75" s="385"/>
      <c r="BP75" s="201">
        <f>+[31]cashbalances!BP38</f>
        <v>0</v>
      </c>
      <c r="BQ75" s="212"/>
      <c r="BS75" s="198"/>
      <c r="BT75" s="385"/>
      <c r="BU75" s="201">
        <f>+[31]cashbalances!BU38</f>
        <v>-65526650.67531997</v>
      </c>
      <c r="BV75" s="212"/>
      <c r="BX75" s="198"/>
      <c r="BY75" s="385"/>
      <c r="BZ75" s="386">
        <f>+[31]cashbalances!BZ38</f>
        <v>-676139.5121998759</v>
      </c>
      <c r="CA75" s="212"/>
      <c r="CC75" s="198"/>
      <c r="CD75" s="385"/>
      <c r="CE75" s="201">
        <f>+[31]cashbalances!CE38</f>
        <v>-9617047.0857300311</v>
      </c>
      <c r="CF75" s="212"/>
      <c r="CH75" s="198"/>
      <c r="CI75" s="385"/>
      <c r="CJ75" s="201">
        <f>+[31]cashbalances!CJ38</f>
        <v>1658010.930979982</v>
      </c>
      <c r="CK75" s="212"/>
      <c r="CM75" s="198"/>
      <c r="CN75" s="385"/>
      <c r="CO75" s="201">
        <f>+[31]cashbalances!CO38</f>
        <v>13980252.002719998</v>
      </c>
      <c r="CP75" s="212"/>
      <c r="CR75" s="198"/>
      <c r="CS75" s="385"/>
      <c r="CT75" s="201">
        <f>+[31]cashbalances!CT38</f>
        <v>-8777405.5292999893</v>
      </c>
      <c r="CU75" s="212"/>
      <c r="CW75" s="198"/>
      <c r="CX75" s="385"/>
      <c r="CY75" s="201">
        <f>+[31]cashbalances!CY38</f>
        <v>-9967884.6452499926</v>
      </c>
      <c r="CZ75" s="212"/>
      <c r="DB75" s="198"/>
      <c r="DC75" s="385"/>
      <c r="DD75" s="201">
        <f>+[31]cashbalances!DD38</f>
        <v>-4315544.2743200064</v>
      </c>
      <c r="DE75" s="212"/>
      <c r="DG75" s="198"/>
      <c r="DH75" s="385"/>
      <c r="DI75" s="201">
        <f>+[31]cashbalances!DI38</f>
        <v>-395955.73492997885</v>
      </c>
      <c r="DJ75" s="212"/>
      <c r="DL75" s="198"/>
      <c r="DM75" s="385"/>
      <c r="DN75" s="201">
        <f>+[31]cashbalances!DN38</f>
        <v>-18897629.034100011</v>
      </c>
      <c r="DO75" s="212"/>
      <c r="DQ75" s="198"/>
      <c r="DR75" s="385"/>
      <c r="DS75" s="201">
        <f>+[31]cashbalances!DS38</f>
        <v>-1291051.425060004</v>
      </c>
      <c r="DT75" s="212"/>
      <c r="DV75" s="198"/>
      <c r="DW75" s="385"/>
      <c r="DX75" s="201">
        <f>+[31]cashbalances!DX38</f>
        <v>-2746121.6662400216</v>
      </c>
      <c r="DY75" s="212"/>
      <c r="EA75" s="198"/>
      <c r="EB75" s="385"/>
      <c r="EC75" s="201">
        <f>+[31]cashbalances!EC38</f>
        <v>-5785998.0916399956</v>
      </c>
      <c r="ED75" s="212"/>
      <c r="EF75" s="198"/>
      <c r="EG75" s="385"/>
      <c r="EH75" s="201">
        <f>+[31]cashbalances!EH38+1</f>
        <v>48587729.50752002</v>
      </c>
      <c r="EI75" s="212"/>
      <c r="EK75" s="198"/>
      <c r="EL75" s="385"/>
      <c r="EM75" s="201">
        <f>[31]cashbalances!EM38</f>
        <v>-40370376.461230054</v>
      </c>
      <c r="EN75" s="212"/>
      <c r="EP75" s="13"/>
      <c r="ES75" s="14"/>
      <c r="ET75" s="14">
        <f>EM75-BZ75</f>
        <v>-39694236.949030176</v>
      </c>
    </row>
    <row r="76" spans="3:150" x14ac:dyDescent="0.2">
      <c r="C76" s="13"/>
      <c r="E76" s="369"/>
      <c r="F76" s="387"/>
      <c r="G76" s="388"/>
      <c r="K76" s="198"/>
      <c r="P76" s="198"/>
      <c r="U76" s="198"/>
      <c r="Z76" s="198"/>
      <c r="AE76" s="198"/>
      <c r="AJ76" s="198"/>
      <c r="AO76" s="198"/>
      <c r="AT76" s="198"/>
      <c r="AY76" s="198"/>
      <c r="BD76" s="198"/>
      <c r="BI76" s="198"/>
      <c r="BN76" s="198"/>
      <c r="BS76" s="198"/>
      <c r="BX76" s="198"/>
      <c r="BZ76" s="383"/>
      <c r="CC76" s="198"/>
      <c r="CH76" s="198"/>
      <c r="CM76" s="198"/>
      <c r="CR76" s="198"/>
      <c r="CW76" s="198"/>
      <c r="DB76" s="198"/>
      <c r="DG76" s="198"/>
      <c r="DL76" s="198"/>
      <c r="DQ76" s="198"/>
      <c r="DV76" s="198"/>
      <c r="EA76" s="198"/>
      <c r="EF76" s="198"/>
      <c r="EK76" s="198"/>
      <c r="EP76" s="13"/>
      <c r="ES76" s="14"/>
      <c r="ET76" s="14">
        <f>EM76-BZ76</f>
        <v>0</v>
      </c>
    </row>
    <row r="77" spans="3:150" s="14" customFormat="1" x14ac:dyDescent="0.2">
      <c r="C77" s="409" t="s">
        <v>335</v>
      </c>
      <c r="D77" s="410"/>
      <c r="E77" s="370"/>
      <c r="F77" s="411"/>
      <c r="G77" s="412"/>
      <c r="H77" s="100">
        <f>+H13+H23+H44+H67</f>
        <v>707826711.66846108</v>
      </c>
      <c r="I77" s="100"/>
      <c r="J77" s="100"/>
      <c r="K77" s="413"/>
      <c r="L77" s="100"/>
      <c r="M77" s="100">
        <f>+M13+M23+M44+M67</f>
        <v>51156457.046230003</v>
      </c>
      <c r="N77" s="100"/>
      <c r="O77" s="100"/>
      <c r="P77" s="413"/>
      <c r="Q77" s="100"/>
      <c r="R77" s="100">
        <f>+R13+R23+R44+R67</f>
        <v>52369080.107569978</v>
      </c>
      <c r="S77" s="100"/>
      <c r="T77" s="100"/>
      <c r="U77" s="413"/>
      <c r="V77" s="100"/>
      <c r="W77" s="100">
        <f>+W13+W23+W44+W67</f>
        <v>22296182.623359978</v>
      </c>
      <c r="X77" s="100"/>
      <c r="Y77" s="100"/>
      <c r="Z77" s="413"/>
      <c r="AA77" s="100"/>
      <c r="AB77" s="100">
        <f>+AB13+AB23+AB44+AB67</f>
        <v>134529648.03983</v>
      </c>
      <c r="AC77" s="100"/>
      <c r="AD77" s="100"/>
      <c r="AE77" s="413"/>
      <c r="AF77" s="100"/>
      <c r="AG77" s="100">
        <f>+AG13+AG23+AG44+AG67</f>
        <v>63673793.456500009</v>
      </c>
      <c r="AH77" s="100"/>
      <c r="AI77" s="100"/>
      <c r="AJ77" s="413"/>
      <c r="AK77" s="100"/>
      <c r="AL77" s="100">
        <f>+AL13+AL23+AL44+AL67</f>
        <v>42866801.970830038</v>
      </c>
      <c r="AM77" s="100"/>
      <c r="AN77" s="100"/>
      <c r="AO77" s="413"/>
      <c r="AP77" s="100"/>
      <c r="AQ77" s="100">
        <f>+AQ13+AQ23+AQ44+AQ67</f>
        <v>49729127.847139999</v>
      </c>
      <c r="AR77" s="100"/>
      <c r="AS77" s="100"/>
      <c r="AT77" s="413"/>
      <c r="AU77" s="100"/>
      <c r="AV77" s="100">
        <f>+AV13+AV23+AV44+AV67</f>
        <v>21403285.226410002</v>
      </c>
      <c r="AW77" s="100"/>
      <c r="AX77" s="100"/>
      <c r="AY77" s="413"/>
      <c r="AZ77" s="100"/>
      <c r="BA77" s="100">
        <f>+BA13+BA23+BA44+BA67</f>
        <v>-5051318.7694999874</v>
      </c>
      <c r="BB77" s="100"/>
      <c r="BC77" s="100"/>
      <c r="BD77" s="413"/>
      <c r="BE77" s="100"/>
      <c r="BF77" s="100">
        <f>+BF13+BF23+BF44+BF67</f>
        <v>76235278.776310012</v>
      </c>
      <c r="BG77" s="100"/>
      <c r="BH77" s="100"/>
      <c r="BI77" s="413"/>
      <c r="BJ77" s="100"/>
      <c r="BK77" s="100">
        <f>+BK13+BK23+BK44+BK67</f>
        <v>378365248</v>
      </c>
      <c r="BL77" s="100"/>
      <c r="BM77" s="100"/>
      <c r="BN77" s="413"/>
      <c r="BO77" s="100"/>
      <c r="BP77" s="100">
        <f>+BP13+BP23+BP44+BP67</f>
        <v>0</v>
      </c>
      <c r="BQ77" s="100"/>
      <c r="BR77" s="100"/>
      <c r="BS77" s="413"/>
      <c r="BT77" s="100"/>
      <c r="BU77" s="100">
        <f>+BU13+BU23+BU44+BU67</f>
        <v>509208336.32467997</v>
      </c>
      <c r="BV77" s="100"/>
      <c r="BW77" s="100"/>
      <c r="BX77" s="413"/>
      <c r="BY77" s="100"/>
      <c r="BZ77" s="414">
        <f>+BZ13+BZ23+BZ44+BZ67</f>
        <v>345253040.25291967</v>
      </c>
      <c r="CA77" s="100"/>
      <c r="CB77" s="100"/>
      <c r="CC77" s="413"/>
      <c r="CD77" s="100"/>
      <c r="CE77" s="100">
        <f>+CE13+CE23+CE44+CE67</f>
        <v>63530124.914269969</v>
      </c>
      <c r="CF77" s="100"/>
      <c r="CG77" s="410"/>
      <c r="CH77" s="413"/>
      <c r="CI77" s="100"/>
      <c r="CJ77" s="100">
        <f>+CJ13+CJ23+CJ44+CJ67</f>
        <v>17540392.930979982</v>
      </c>
      <c r="CK77" s="100"/>
      <c r="CL77" s="100"/>
      <c r="CM77" s="413"/>
      <c r="CN77" s="100"/>
      <c r="CO77" s="100">
        <f>+CO13+CO23+CO44+CO67</f>
        <v>-23606007.997280002</v>
      </c>
      <c r="CP77" s="100"/>
      <c r="CQ77" s="100"/>
      <c r="CR77" s="413"/>
      <c r="CS77" s="100"/>
      <c r="CT77" s="100">
        <f>+CT13+CT23+CT44+CT67</f>
        <v>99103979.470700011</v>
      </c>
      <c r="CU77" s="100"/>
      <c r="CV77" s="100"/>
      <c r="CW77" s="413"/>
      <c r="CX77" s="100"/>
      <c r="CY77" s="100">
        <f>+CY13+CY23+CY44+CY67</f>
        <v>32839807.354750007</v>
      </c>
      <c r="CZ77" s="100"/>
      <c r="DA77" s="100"/>
      <c r="DB77" s="413"/>
      <c r="DC77" s="100"/>
      <c r="DD77" s="100">
        <f>+DD13+DD23+DD44+DD67</f>
        <v>649646.72567999363</v>
      </c>
      <c r="DE77" s="100"/>
      <c r="DF77" s="100"/>
      <c r="DG77" s="413"/>
      <c r="DH77" s="100"/>
      <c r="DI77" s="100">
        <f>+DI13+DI23+DI44+DI67</f>
        <v>42343200.265070021</v>
      </c>
      <c r="DJ77" s="100"/>
      <c r="DK77" s="100"/>
      <c r="DL77" s="413"/>
      <c r="DM77" s="100"/>
      <c r="DN77" s="100">
        <f>+DN13+DN23+DN44+DN67</f>
        <v>15141181.965899989</v>
      </c>
      <c r="DO77" s="100"/>
      <c r="DP77" s="100"/>
      <c r="DQ77" s="413"/>
      <c r="DR77" s="100"/>
      <c r="DS77" s="100">
        <f>+DS13+DS23+DS44+DS67</f>
        <v>2169109.574939996</v>
      </c>
      <c r="DT77" s="100"/>
      <c r="DU77" s="100"/>
      <c r="DV77" s="413"/>
      <c r="DW77" s="100"/>
      <c r="DX77" s="100">
        <f>+DX13+DX23+DX44+DX67</f>
        <v>47546404.333759978</v>
      </c>
      <c r="DY77" s="100"/>
      <c r="DZ77" s="100"/>
      <c r="EA77" s="413"/>
      <c r="EB77" s="100"/>
      <c r="EC77" s="100">
        <f>+EC13+EC23+EC44+EC67</f>
        <v>-2152970.0916399956</v>
      </c>
      <c r="ED77" s="100"/>
      <c r="EE77" s="100"/>
      <c r="EF77" s="413"/>
      <c r="EG77" s="100"/>
      <c r="EH77" s="100">
        <f>+EH13+EH23+EH44+EH67</f>
        <v>53255717.272639573</v>
      </c>
      <c r="EI77" s="100"/>
      <c r="EJ77" s="100"/>
      <c r="EK77" s="413"/>
      <c r="EL77" s="100"/>
      <c r="EM77" s="100">
        <f>+EM13+EM23+EM44+EM67</f>
        <v>297257839.53876996</v>
      </c>
      <c r="EN77" s="100"/>
      <c r="EO77" s="415"/>
      <c r="EP77" s="93"/>
      <c r="ET77" s="14">
        <f>EM77-BZ77</f>
        <v>-47995200.714149714</v>
      </c>
    </row>
    <row r="78" spans="3:150" ht="15" customHeight="1" x14ac:dyDescent="0.2">
      <c r="C78" s="416"/>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T78" s="14">
        <f>EM78-BZ78</f>
        <v>0</v>
      </c>
    </row>
    <row r="79" spans="3:150" ht="5.25" customHeight="1" x14ac:dyDescent="0.2"/>
    <row r="80" spans="3:150" ht="15" customHeight="1" x14ac:dyDescent="0.2"/>
    <row r="81" spans="3:78" s="417" customFormat="1" ht="15" hidden="1" customHeight="1" x14ac:dyDescent="0.2">
      <c r="D81" s="418"/>
      <c r="AL81" s="419"/>
      <c r="BW81" s="14">
        <f>+BW82+BW89</f>
        <v>138317256</v>
      </c>
    </row>
    <row r="82" spans="3:78" s="417" customFormat="1" ht="15" hidden="1" customHeight="1" x14ac:dyDescent="0.2">
      <c r="C82" s="294"/>
      <c r="D82" s="418"/>
      <c r="BW82" s="1">
        <f>SUM(BW83:BW87)</f>
        <v>138317256</v>
      </c>
    </row>
    <row r="83" spans="3:78" ht="15" hidden="1" customHeight="1" x14ac:dyDescent="0.2">
      <c r="M83" s="1">
        <f t="shared" ref="M83:BU87" si="1">M13-CE13</f>
        <v>5493593</v>
      </c>
      <c r="N83" s="1">
        <f t="shared" si="1"/>
        <v>0</v>
      </c>
      <c r="O83" s="1">
        <f t="shared" si="1"/>
        <v>0</v>
      </c>
      <c r="P83" s="1">
        <f t="shared" si="1"/>
        <v>0</v>
      </c>
      <c r="Q83" s="1">
        <f t="shared" si="1"/>
        <v>0</v>
      </c>
      <c r="R83" s="1">
        <f t="shared" si="1"/>
        <v>3749691</v>
      </c>
      <c r="S83" s="1">
        <f t="shared" si="1"/>
        <v>0</v>
      </c>
      <c r="T83" s="1">
        <f t="shared" si="1"/>
        <v>0</v>
      </c>
      <c r="U83" s="1">
        <f t="shared" si="1"/>
        <v>0</v>
      </c>
      <c r="V83" s="1">
        <f t="shared" si="1"/>
        <v>0</v>
      </c>
      <c r="W83" s="1">
        <f t="shared" si="1"/>
        <v>-10077326</v>
      </c>
      <c r="X83" s="1">
        <f t="shared" si="1"/>
        <v>0</v>
      </c>
      <c r="Y83" s="1">
        <f t="shared" si="1"/>
        <v>0</v>
      </c>
      <c r="Z83" s="1">
        <f t="shared" si="1"/>
        <v>0</v>
      </c>
      <c r="AA83" s="1">
        <f t="shared" si="1"/>
        <v>0</v>
      </c>
      <c r="AB83" s="1">
        <f t="shared" si="1"/>
        <v>21902023</v>
      </c>
      <c r="AC83" s="1">
        <f t="shared" si="1"/>
        <v>0</v>
      </c>
      <c r="AD83" s="1">
        <f t="shared" si="1"/>
        <v>0</v>
      </c>
      <c r="AE83" s="1">
        <f t="shared" si="1"/>
        <v>0</v>
      </c>
      <c r="AF83" s="1">
        <f t="shared" si="1"/>
        <v>0</v>
      </c>
      <c r="AG83" s="1">
        <f t="shared" si="1"/>
        <v>-16587922</v>
      </c>
      <c r="AH83" s="1">
        <f t="shared" si="1"/>
        <v>0</v>
      </c>
      <c r="AI83" s="1">
        <f t="shared" si="1"/>
        <v>0</v>
      </c>
      <c r="AJ83" s="1">
        <f t="shared" si="1"/>
        <v>0</v>
      </c>
      <c r="AK83" s="1">
        <f t="shared" si="1"/>
        <v>0</v>
      </c>
      <c r="AL83" s="1">
        <f t="shared" si="1"/>
        <v>18639242</v>
      </c>
      <c r="AM83" s="1">
        <f t="shared" si="1"/>
        <v>0</v>
      </c>
      <c r="AN83" s="1">
        <f t="shared" si="1"/>
        <v>0</v>
      </c>
      <c r="AO83" s="1">
        <f t="shared" si="1"/>
        <v>0</v>
      </c>
      <c r="AP83" s="1">
        <f t="shared" si="1"/>
        <v>0</v>
      </c>
      <c r="AQ83" s="1">
        <f t="shared" si="1"/>
        <v>23320142</v>
      </c>
      <c r="AR83" s="1">
        <f t="shared" si="1"/>
        <v>0</v>
      </c>
      <c r="AS83" s="1">
        <f t="shared" si="1"/>
        <v>0</v>
      </c>
      <c r="AT83" s="1">
        <f t="shared" si="1"/>
        <v>0</v>
      </c>
      <c r="AU83" s="1">
        <f t="shared" si="1"/>
        <v>0</v>
      </c>
      <c r="AV83" s="1">
        <f t="shared" si="1"/>
        <v>-5831437</v>
      </c>
      <c r="AW83" s="1">
        <f t="shared" si="1"/>
        <v>0</v>
      </c>
      <c r="AX83" s="1">
        <f t="shared" si="1"/>
        <v>0</v>
      </c>
      <c r="AY83" s="1">
        <f t="shared" si="1"/>
        <v>0</v>
      </c>
      <c r="AZ83" s="1">
        <f t="shared" si="1"/>
        <v>0</v>
      </c>
      <c r="BA83" s="1">
        <f t="shared" si="1"/>
        <v>-16507763</v>
      </c>
      <c r="BB83" s="1">
        <f t="shared" si="1"/>
        <v>0</v>
      </c>
      <c r="BC83" s="1">
        <f t="shared" si="1"/>
        <v>0</v>
      </c>
      <c r="BD83" s="1">
        <f t="shared" si="1"/>
        <v>0</v>
      </c>
      <c r="BE83" s="1">
        <f t="shared" si="1"/>
        <v>0</v>
      </c>
      <c r="BF83" s="1">
        <f t="shared" si="1"/>
        <v>2450441</v>
      </c>
      <c r="BG83" s="1">
        <f t="shared" si="1"/>
        <v>0</v>
      </c>
      <c r="BH83" s="1">
        <f t="shared" si="1"/>
        <v>0</v>
      </c>
      <c r="BI83" s="1">
        <f t="shared" si="1"/>
        <v>0</v>
      </c>
      <c r="BJ83" s="1">
        <f t="shared" si="1"/>
        <v>0</v>
      </c>
      <c r="BK83" s="1">
        <f t="shared" si="1"/>
        <v>2500139</v>
      </c>
      <c r="BL83" s="1">
        <f t="shared" si="1"/>
        <v>0</v>
      </c>
      <c r="BM83" s="1">
        <f t="shared" si="1"/>
        <v>0</v>
      </c>
      <c r="BN83" s="1">
        <f t="shared" si="1"/>
        <v>0</v>
      </c>
      <c r="BO83" s="1">
        <f t="shared" si="1"/>
        <v>0</v>
      </c>
      <c r="BP83" s="1">
        <f t="shared" si="1"/>
        <v>35857416</v>
      </c>
      <c r="BQ83" s="1">
        <f t="shared" si="1"/>
        <v>0</v>
      </c>
      <c r="BR83" s="1">
        <f t="shared" si="1"/>
        <v>0</v>
      </c>
      <c r="BS83" s="1">
        <f t="shared" si="1"/>
        <v>0</v>
      </c>
      <c r="BT83" s="1">
        <f t="shared" si="1"/>
        <v>0</v>
      </c>
      <c r="BU83" s="1">
        <f t="shared" si="1"/>
        <v>26550684</v>
      </c>
      <c r="BW83" s="1">
        <f>SUM(O83:BR83)</f>
        <v>59414646</v>
      </c>
      <c r="BZ83" s="1">
        <f>M67+R67+W67+AB67+AG67</f>
        <v>-48790506.470510021</v>
      </c>
    </row>
    <row r="84" spans="3:78" ht="15" hidden="1" customHeight="1" x14ac:dyDescent="0.2">
      <c r="C84" s="420"/>
      <c r="H84" s="421"/>
      <c r="M84" s="1">
        <f t="shared" si="1"/>
        <v>-1484000</v>
      </c>
      <c r="N84" s="1">
        <f t="shared" si="1"/>
        <v>0</v>
      </c>
      <c r="O84" s="1">
        <f t="shared" si="1"/>
        <v>0</v>
      </c>
      <c r="P84" s="1">
        <f t="shared" si="1"/>
        <v>0</v>
      </c>
      <c r="Q84" s="1">
        <f t="shared" si="1"/>
        <v>0</v>
      </c>
      <c r="R84" s="1">
        <f t="shared" si="1"/>
        <v>-4604650</v>
      </c>
      <c r="S84" s="1">
        <f t="shared" si="1"/>
        <v>0</v>
      </c>
      <c r="T84" s="1">
        <f t="shared" si="1"/>
        <v>0</v>
      </c>
      <c r="U84" s="1">
        <f t="shared" si="1"/>
        <v>0</v>
      </c>
      <c r="V84" s="1">
        <f t="shared" si="1"/>
        <v>0</v>
      </c>
      <c r="W84" s="1">
        <f t="shared" si="1"/>
        <v>-896800</v>
      </c>
      <c r="X84" s="1">
        <f t="shared" si="1"/>
        <v>0</v>
      </c>
      <c r="Y84" s="1">
        <f t="shared" si="1"/>
        <v>0</v>
      </c>
      <c r="Z84" s="1">
        <f t="shared" si="1"/>
        <v>0</v>
      </c>
      <c r="AA84" s="1">
        <f t="shared" si="1"/>
        <v>0</v>
      </c>
      <c r="AB84" s="1">
        <f t="shared" si="1"/>
        <v>12420110</v>
      </c>
      <c r="AC84" s="1">
        <f t="shared" si="1"/>
        <v>0</v>
      </c>
      <c r="AD84" s="1">
        <f t="shared" si="1"/>
        <v>0</v>
      </c>
      <c r="AE84" s="1">
        <f t="shared" si="1"/>
        <v>0</v>
      </c>
      <c r="AF84" s="1">
        <f t="shared" si="1"/>
        <v>0</v>
      </c>
      <c r="AG84" s="1">
        <f t="shared" si="1"/>
        <v>5854400</v>
      </c>
      <c r="AH84" s="1">
        <f t="shared" si="1"/>
        <v>0</v>
      </c>
      <c r="AI84" s="1">
        <f t="shared" si="1"/>
        <v>0</v>
      </c>
      <c r="AJ84" s="1">
        <f t="shared" si="1"/>
        <v>0</v>
      </c>
      <c r="AK84" s="1">
        <f t="shared" si="1"/>
        <v>0</v>
      </c>
      <c r="AL84" s="1">
        <f t="shared" si="1"/>
        <v>9990150</v>
      </c>
      <c r="AM84" s="1">
        <f t="shared" si="1"/>
        <v>0</v>
      </c>
      <c r="AN84" s="1">
        <f t="shared" si="1"/>
        <v>0</v>
      </c>
      <c r="AO84" s="1">
        <f t="shared" si="1"/>
        <v>0</v>
      </c>
      <c r="AP84" s="1">
        <f t="shared" si="1"/>
        <v>0</v>
      </c>
      <c r="AQ84" s="1">
        <f t="shared" si="1"/>
        <v>8518070</v>
      </c>
      <c r="AR84" s="1">
        <f t="shared" si="1"/>
        <v>0</v>
      </c>
      <c r="AS84" s="1">
        <f t="shared" si="1"/>
        <v>0</v>
      </c>
      <c r="AT84" s="1">
        <f t="shared" si="1"/>
        <v>0</v>
      </c>
      <c r="AU84" s="1">
        <f t="shared" si="1"/>
        <v>0</v>
      </c>
      <c r="AV84" s="1">
        <f t="shared" si="1"/>
        <v>8214730</v>
      </c>
      <c r="AW84" s="1">
        <f t="shared" si="1"/>
        <v>0</v>
      </c>
      <c r="AX84" s="1">
        <f t="shared" si="1"/>
        <v>0</v>
      </c>
      <c r="AY84" s="1">
        <f t="shared" si="1"/>
        <v>0</v>
      </c>
      <c r="AZ84" s="1">
        <f t="shared" si="1"/>
        <v>0</v>
      </c>
      <c r="BA84" s="1">
        <f t="shared" si="1"/>
        <v>6729470</v>
      </c>
      <c r="BB84" s="1">
        <f t="shared" si="1"/>
        <v>0</v>
      </c>
      <c r="BC84" s="1">
        <f t="shared" si="1"/>
        <v>0</v>
      </c>
      <c r="BD84" s="1">
        <f t="shared" si="1"/>
        <v>0</v>
      </c>
      <c r="BE84" s="1">
        <f t="shared" si="1"/>
        <v>0</v>
      </c>
      <c r="BF84" s="1">
        <f t="shared" si="1"/>
        <v>16435590</v>
      </c>
      <c r="BG84" s="1">
        <f t="shared" si="1"/>
        <v>0</v>
      </c>
      <c r="BH84" s="1">
        <f t="shared" si="1"/>
        <v>0</v>
      </c>
      <c r="BI84" s="1">
        <f t="shared" si="1"/>
        <v>0</v>
      </c>
      <c r="BJ84" s="1">
        <f t="shared" si="1"/>
        <v>0</v>
      </c>
      <c r="BK84" s="1">
        <f t="shared" si="1"/>
        <v>9474050</v>
      </c>
      <c r="BL84" s="1">
        <f t="shared" si="1"/>
        <v>0</v>
      </c>
      <c r="BM84" s="1">
        <f t="shared" si="1"/>
        <v>0</v>
      </c>
      <c r="BN84" s="1">
        <f t="shared" si="1"/>
        <v>0</v>
      </c>
      <c r="BO84" s="1">
        <f t="shared" si="1"/>
        <v>0</v>
      </c>
      <c r="BP84" s="1">
        <f t="shared" si="1"/>
        <v>6767490</v>
      </c>
      <c r="BQ84" s="1">
        <f t="shared" si="1"/>
        <v>0</v>
      </c>
      <c r="BR84" s="1">
        <f t="shared" si="1"/>
        <v>0</v>
      </c>
      <c r="BS84" s="1">
        <f t="shared" si="1"/>
        <v>0</v>
      </c>
      <c r="BT84" s="1">
        <f t="shared" si="1"/>
        <v>0</v>
      </c>
      <c r="BU84" s="1">
        <f t="shared" si="1"/>
        <v>61177070</v>
      </c>
      <c r="BW84" s="1">
        <f>SUM(O84:BR84)</f>
        <v>78902610</v>
      </c>
    </row>
    <row r="85" spans="3:78" ht="15" hidden="1" customHeight="1" x14ac:dyDescent="0.2">
      <c r="M85" s="1">
        <f t="shared" si="1"/>
        <v>0</v>
      </c>
      <c r="N85" s="1">
        <f t="shared" si="1"/>
        <v>0</v>
      </c>
      <c r="O85" s="1">
        <f t="shared" si="1"/>
        <v>0</v>
      </c>
      <c r="P85" s="1">
        <f t="shared" si="1"/>
        <v>0</v>
      </c>
      <c r="Q85" s="1">
        <f t="shared" si="1"/>
        <v>0</v>
      </c>
      <c r="R85" s="1">
        <f t="shared" si="1"/>
        <v>0</v>
      </c>
      <c r="S85" s="1">
        <f t="shared" si="1"/>
        <v>0</v>
      </c>
      <c r="T85" s="1">
        <f t="shared" si="1"/>
        <v>0</v>
      </c>
      <c r="U85" s="1">
        <f t="shared" si="1"/>
        <v>0</v>
      </c>
      <c r="V85" s="1">
        <f t="shared" si="1"/>
        <v>0</v>
      </c>
      <c r="W85" s="1">
        <f t="shared" si="1"/>
        <v>0</v>
      </c>
      <c r="X85" s="1">
        <f t="shared" si="1"/>
        <v>0</v>
      </c>
      <c r="Y85" s="1">
        <f t="shared" si="1"/>
        <v>0</v>
      </c>
      <c r="Z85" s="1">
        <f t="shared" si="1"/>
        <v>0</v>
      </c>
      <c r="AA85" s="1">
        <f t="shared" si="1"/>
        <v>0</v>
      </c>
      <c r="AB85" s="1">
        <f t="shared" si="1"/>
        <v>0</v>
      </c>
      <c r="AC85" s="1">
        <f t="shared" si="1"/>
        <v>0</v>
      </c>
      <c r="AD85" s="1">
        <f t="shared" si="1"/>
        <v>0</v>
      </c>
      <c r="AE85" s="1">
        <f t="shared" si="1"/>
        <v>0</v>
      </c>
      <c r="AF85" s="1">
        <f t="shared" si="1"/>
        <v>0</v>
      </c>
      <c r="AG85" s="1">
        <f t="shared" si="1"/>
        <v>0</v>
      </c>
      <c r="AH85" s="1">
        <f t="shared" si="1"/>
        <v>0</v>
      </c>
      <c r="AI85" s="1">
        <f t="shared" si="1"/>
        <v>0</v>
      </c>
      <c r="AJ85" s="1">
        <f t="shared" si="1"/>
        <v>0</v>
      </c>
      <c r="AK85" s="1">
        <f t="shared" si="1"/>
        <v>0</v>
      </c>
      <c r="AL85" s="1">
        <f t="shared" si="1"/>
        <v>0</v>
      </c>
      <c r="AM85" s="1">
        <f t="shared" si="1"/>
        <v>0</v>
      </c>
      <c r="AN85" s="1">
        <f t="shared" si="1"/>
        <v>0</v>
      </c>
      <c r="AO85" s="1">
        <f t="shared" si="1"/>
        <v>0</v>
      </c>
      <c r="AP85" s="1">
        <f t="shared" si="1"/>
        <v>0</v>
      </c>
      <c r="AQ85" s="1">
        <f t="shared" si="1"/>
        <v>0</v>
      </c>
      <c r="AR85" s="1">
        <f t="shared" si="1"/>
        <v>0</v>
      </c>
      <c r="AS85" s="1">
        <f t="shared" si="1"/>
        <v>0</v>
      </c>
      <c r="AT85" s="1">
        <f t="shared" si="1"/>
        <v>0</v>
      </c>
      <c r="AU85" s="1">
        <f t="shared" si="1"/>
        <v>0</v>
      </c>
      <c r="AV85" s="1">
        <f t="shared" si="1"/>
        <v>0</v>
      </c>
      <c r="AW85" s="1">
        <f t="shared" si="1"/>
        <v>0</v>
      </c>
      <c r="AX85" s="1">
        <f t="shared" si="1"/>
        <v>0</v>
      </c>
      <c r="AY85" s="1">
        <f t="shared" si="1"/>
        <v>0</v>
      </c>
      <c r="AZ85" s="1">
        <f t="shared" si="1"/>
        <v>0</v>
      </c>
      <c r="BA85" s="1">
        <f t="shared" si="1"/>
        <v>0</v>
      </c>
      <c r="BB85" s="1">
        <f t="shared" si="1"/>
        <v>0</v>
      </c>
      <c r="BC85" s="1">
        <f t="shared" si="1"/>
        <v>0</v>
      </c>
      <c r="BD85" s="1">
        <f t="shared" si="1"/>
        <v>0</v>
      </c>
      <c r="BE85" s="1">
        <f t="shared" si="1"/>
        <v>0</v>
      </c>
      <c r="BF85" s="1">
        <f t="shared" si="1"/>
        <v>0</v>
      </c>
      <c r="BG85" s="1">
        <f t="shared" si="1"/>
        <v>0</v>
      </c>
      <c r="BH85" s="1">
        <f t="shared" si="1"/>
        <v>0</v>
      </c>
      <c r="BI85" s="1">
        <f t="shared" si="1"/>
        <v>0</v>
      </c>
      <c r="BJ85" s="1">
        <f t="shared" si="1"/>
        <v>0</v>
      </c>
      <c r="BK85" s="1">
        <f t="shared" si="1"/>
        <v>0</v>
      </c>
      <c r="BL85" s="1">
        <f t="shared" si="1"/>
        <v>0</v>
      </c>
      <c r="BM85" s="1">
        <f t="shared" si="1"/>
        <v>0</v>
      </c>
      <c r="BN85" s="1">
        <f t="shared" si="1"/>
        <v>0</v>
      </c>
      <c r="BO85" s="1">
        <f t="shared" si="1"/>
        <v>0</v>
      </c>
      <c r="BP85" s="1">
        <f t="shared" si="1"/>
        <v>0</v>
      </c>
      <c r="BQ85" s="1">
        <f t="shared" si="1"/>
        <v>0</v>
      </c>
      <c r="BR85" s="1">
        <f t="shared" si="1"/>
        <v>0</v>
      </c>
      <c r="BS85" s="1">
        <f t="shared" si="1"/>
        <v>0</v>
      </c>
      <c r="BT85" s="1">
        <f t="shared" si="1"/>
        <v>0</v>
      </c>
      <c r="BU85" s="1">
        <f t="shared" si="1"/>
        <v>0</v>
      </c>
      <c r="BW85" s="1">
        <f>SUM(O85:BR85)</f>
        <v>0</v>
      </c>
    </row>
    <row r="86" spans="3:78" ht="15" hidden="1" customHeight="1" x14ac:dyDescent="0.2">
      <c r="M86" s="1">
        <f t="shared" si="1"/>
        <v>-64240</v>
      </c>
      <c r="N86" s="1">
        <f t="shared" si="1"/>
        <v>0</v>
      </c>
      <c r="O86" s="1">
        <f t="shared" si="1"/>
        <v>0</v>
      </c>
      <c r="P86" s="1">
        <f t="shared" si="1"/>
        <v>0</v>
      </c>
      <c r="Q86" s="1">
        <f t="shared" si="1"/>
        <v>0</v>
      </c>
      <c r="R86" s="1">
        <f t="shared" si="1"/>
        <v>-2070150</v>
      </c>
      <c r="S86" s="1">
        <f t="shared" si="1"/>
        <v>0</v>
      </c>
      <c r="T86" s="1">
        <f t="shared" si="1"/>
        <v>0</v>
      </c>
      <c r="U86" s="1">
        <f t="shared" si="1"/>
        <v>0</v>
      </c>
      <c r="V86" s="1">
        <f t="shared" si="1"/>
        <v>0</v>
      </c>
      <c r="W86" s="1">
        <f t="shared" si="1"/>
        <v>375900</v>
      </c>
      <c r="X86" s="1">
        <f t="shared" si="1"/>
        <v>0</v>
      </c>
      <c r="Y86" s="1">
        <f t="shared" si="1"/>
        <v>0</v>
      </c>
      <c r="Z86" s="1">
        <f t="shared" si="1"/>
        <v>0</v>
      </c>
      <c r="AA86" s="1">
        <f t="shared" si="1"/>
        <v>0</v>
      </c>
      <c r="AB86" s="1">
        <f t="shared" si="1"/>
        <v>-450430</v>
      </c>
      <c r="AC86" s="1">
        <f t="shared" si="1"/>
        <v>0</v>
      </c>
      <c r="AD86" s="1">
        <f t="shared" si="1"/>
        <v>0</v>
      </c>
      <c r="AE86" s="1">
        <f t="shared" si="1"/>
        <v>0</v>
      </c>
      <c r="AF86" s="1">
        <f t="shared" si="1"/>
        <v>0</v>
      </c>
      <c r="AG86" s="1">
        <f t="shared" si="1"/>
        <v>-1677100</v>
      </c>
      <c r="AH86" s="1">
        <f t="shared" si="1"/>
        <v>0</v>
      </c>
      <c r="AI86" s="1">
        <f t="shared" si="1"/>
        <v>0</v>
      </c>
      <c r="AJ86" s="1">
        <f t="shared" si="1"/>
        <v>0</v>
      </c>
      <c r="AK86" s="1">
        <f t="shared" si="1"/>
        <v>0</v>
      </c>
      <c r="AL86" s="1">
        <f t="shared" si="1"/>
        <v>-3776600</v>
      </c>
      <c r="AM86" s="1">
        <f t="shared" si="1"/>
        <v>0</v>
      </c>
      <c r="AN86" s="1">
        <f t="shared" si="1"/>
        <v>0</v>
      </c>
      <c r="AO86" s="1">
        <f t="shared" si="1"/>
        <v>0</v>
      </c>
      <c r="AP86" s="1">
        <f t="shared" si="1"/>
        <v>0</v>
      </c>
      <c r="AQ86" s="1">
        <f t="shared" si="1"/>
        <v>4027370</v>
      </c>
      <c r="AR86" s="1">
        <f t="shared" si="1"/>
        <v>0</v>
      </c>
      <c r="AS86" s="1">
        <f t="shared" si="1"/>
        <v>0</v>
      </c>
      <c r="AT86" s="1">
        <f t="shared" si="1"/>
        <v>0</v>
      </c>
      <c r="AU86" s="1">
        <f t="shared" si="1"/>
        <v>0</v>
      </c>
      <c r="AV86" s="1">
        <f t="shared" si="1"/>
        <v>360230</v>
      </c>
      <c r="AW86" s="1">
        <f t="shared" si="1"/>
        <v>0</v>
      </c>
      <c r="AX86" s="1">
        <f t="shared" si="1"/>
        <v>0</v>
      </c>
      <c r="AY86" s="1">
        <f t="shared" si="1"/>
        <v>0</v>
      </c>
      <c r="AZ86" s="1">
        <f t="shared" si="1"/>
        <v>0</v>
      </c>
      <c r="BA86" s="1">
        <f t="shared" si="1"/>
        <v>4470810</v>
      </c>
      <c r="BB86" s="1">
        <f t="shared" si="1"/>
        <v>0</v>
      </c>
      <c r="BC86" s="1">
        <f t="shared" si="1"/>
        <v>0</v>
      </c>
      <c r="BD86" s="1">
        <f t="shared" si="1"/>
        <v>0</v>
      </c>
      <c r="BE86" s="1">
        <f t="shared" si="1"/>
        <v>0</v>
      </c>
      <c r="BF86" s="1">
        <f t="shared" si="1"/>
        <v>4049500</v>
      </c>
      <c r="BG86" s="1">
        <f t="shared" si="1"/>
        <v>0</v>
      </c>
      <c r="BH86" s="1">
        <f t="shared" si="1"/>
        <v>0</v>
      </c>
      <c r="BI86" s="1">
        <f t="shared" si="1"/>
        <v>0</v>
      </c>
      <c r="BJ86" s="1">
        <f t="shared" si="1"/>
        <v>0</v>
      </c>
      <c r="BK86" s="1">
        <f t="shared" si="1"/>
        <v>6099850</v>
      </c>
      <c r="BL86" s="1">
        <f t="shared" si="1"/>
        <v>0</v>
      </c>
      <c r="BM86" s="1">
        <f t="shared" si="1"/>
        <v>0</v>
      </c>
      <c r="BN86" s="1">
        <f t="shared" si="1"/>
        <v>0</v>
      </c>
      <c r="BO86" s="1">
        <f t="shared" si="1"/>
        <v>0</v>
      </c>
      <c r="BP86" s="1">
        <f t="shared" si="1"/>
        <v>1321490</v>
      </c>
      <c r="BQ86" s="1">
        <f t="shared" si="1"/>
        <v>0</v>
      </c>
      <c r="BR86" s="1">
        <f t="shared" si="1"/>
        <v>0</v>
      </c>
      <c r="BS86" s="1">
        <f t="shared" si="1"/>
        <v>0</v>
      </c>
      <c r="BT86" s="1">
        <f t="shared" si="1"/>
        <v>0</v>
      </c>
      <c r="BU86" s="1">
        <f t="shared" si="1"/>
        <v>5245290</v>
      </c>
    </row>
    <row r="87" spans="3:78" ht="15" hidden="1" customHeight="1" x14ac:dyDescent="0.2">
      <c r="M87" s="1">
        <f t="shared" si="1"/>
        <v>832150</v>
      </c>
      <c r="N87" s="1">
        <f t="shared" si="1"/>
        <v>0</v>
      </c>
      <c r="O87" s="1">
        <f t="shared" si="1"/>
        <v>0</v>
      </c>
      <c r="P87" s="1">
        <f t="shared" si="1"/>
        <v>0</v>
      </c>
      <c r="Q87" s="1">
        <f t="shared" si="1"/>
        <v>0</v>
      </c>
      <c r="R87" s="1">
        <f t="shared" si="1"/>
        <v>3723900</v>
      </c>
      <c r="S87" s="1">
        <f t="shared" si="1"/>
        <v>0</v>
      </c>
      <c r="T87" s="1">
        <f t="shared" si="1"/>
        <v>0</v>
      </c>
      <c r="U87" s="1">
        <f t="shared" si="1"/>
        <v>0</v>
      </c>
      <c r="V87" s="1">
        <f t="shared" si="1"/>
        <v>0</v>
      </c>
      <c r="W87" s="1">
        <f t="shared" si="1"/>
        <v>1320500</v>
      </c>
      <c r="X87" s="1">
        <f t="shared" ref="X87:BU92" si="2">X17-CP17</f>
        <v>0</v>
      </c>
      <c r="Y87" s="1">
        <f t="shared" si="2"/>
        <v>0</v>
      </c>
      <c r="Z87" s="1">
        <f t="shared" si="2"/>
        <v>0</v>
      </c>
      <c r="AA87" s="1">
        <f t="shared" si="2"/>
        <v>0</v>
      </c>
      <c r="AB87" s="1">
        <f t="shared" si="2"/>
        <v>6358300</v>
      </c>
      <c r="AC87" s="1">
        <f t="shared" si="2"/>
        <v>0</v>
      </c>
      <c r="AD87" s="1">
        <f t="shared" si="2"/>
        <v>0</v>
      </c>
      <c r="AE87" s="1">
        <f t="shared" si="2"/>
        <v>0</v>
      </c>
      <c r="AF87" s="1">
        <f t="shared" si="2"/>
        <v>0</v>
      </c>
      <c r="AG87" s="1">
        <f t="shared" si="2"/>
        <v>3335000</v>
      </c>
      <c r="AH87" s="1">
        <f t="shared" si="2"/>
        <v>0</v>
      </c>
      <c r="AI87" s="1">
        <f t="shared" si="2"/>
        <v>0</v>
      </c>
      <c r="AJ87" s="1">
        <f t="shared" si="2"/>
        <v>0</v>
      </c>
      <c r="AK87" s="1">
        <f t="shared" si="2"/>
        <v>0</v>
      </c>
      <c r="AL87" s="1">
        <f t="shared" si="2"/>
        <v>2609950</v>
      </c>
      <c r="AM87" s="1">
        <f t="shared" si="2"/>
        <v>0</v>
      </c>
      <c r="AN87" s="1">
        <f t="shared" si="2"/>
        <v>0</v>
      </c>
      <c r="AO87" s="1">
        <f t="shared" si="2"/>
        <v>0</v>
      </c>
      <c r="AP87" s="1">
        <f t="shared" si="2"/>
        <v>0</v>
      </c>
      <c r="AQ87" s="1">
        <f t="shared" si="2"/>
        <v>-18300</v>
      </c>
      <c r="AR87" s="1">
        <f t="shared" si="2"/>
        <v>0</v>
      </c>
      <c r="AS87" s="1">
        <f t="shared" si="2"/>
        <v>0</v>
      </c>
      <c r="AT87" s="1">
        <f t="shared" si="2"/>
        <v>0</v>
      </c>
      <c r="AU87" s="1">
        <f t="shared" si="2"/>
        <v>0</v>
      </c>
      <c r="AV87" s="1">
        <f t="shared" si="2"/>
        <v>1443300</v>
      </c>
      <c r="AW87" s="1">
        <f t="shared" si="2"/>
        <v>0</v>
      </c>
      <c r="AX87" s="1">
        <f t="shared" si="2"/>
        <v>0</v>
      </c>
      <c r="AY87" s="1">
        <f t="shared" si="2"/>
        <v>0</v>
      </c>
      <c r="AZ87" s="1">
        <f t="shared" si="2"/>
        <v>0</v>
      </c>
      <c r="BA87" s="1">
        <f t="shared" si="2"/>
        <v>-4986500</v>
      </c>
      <c r="BB87" s="1">
        <f t="shared" si="2"/>
        <v>0</v>
      </c>
      <c r="BC87" s="1">
        <f t="shared" si="2"/>
        <v>0</v>
      </c>
      <c r="BD87" s="1">
        <f t="shared" si="2"/>
        <v>0</v>
      </c>
      <c r="BE87" s="1">
        <f t="shared" si="2"/>
        <v>0</v>
      </c>
      <c r="BF87" s="1">
        <f t="shared" si="2"/>
        <v>287500</v>
      </c>
      <c r="BG87" s="1">
        <f t="shared" si="2"/>
        <v>0</v>
      </c>
      <c r="BH87" s="1">
        <f t="shared" si="2"/>
        <v>0</v>
      </c>
      <c r="BI87" s="1">
        <f t="shared" si="2"/>
        <v>0</v>
      </c>
      <c r="BJ87" s="1">
        <f t="shared" si="2"/>
        <v>0</v>
      </c>
      <c r="BK87" s="1">
        <f t="shared" si="2"/>
        <v>1005000</v>
      </c>
      <c r="BL87" s="1">
        <f t="shared" si="2"/>
        <v>0</v>
      </c>
      <c r="BM87" s="1">
        <f t="shared" si="2"/>
        <v>0</v>
      </c>
      <c r="BN87" s="1">
        <f t="shared" si="2"/>
        <v>0</v>
      </c>
      <c r="BO87" s="1">
        <f t="shared" si="2"/>
        <v>0</v>
      </c>
      <c r="BP87" s="1">
        <f t="shared" si="2"/>
        <v>2206000</v>
      </c>
      <c r="BQ87" s="1">
        <f t="shared" si="2"/>
        <v>0</v>
      </c>
      <c r="BR87" s="1">
        <f t="shared" si="2"/>
        <v>0</v>
      </c>
      <c r="BS87" s="1">
        <f t="shared" si="2"/>
        <v>0</v>
      </c>
      <c r="BT87" s="1">
        <f t="shared" si="2"/>
        <v>0</v>
      </c>
      <c r="BU87" s="1">
        <f t="shared" si="2"/>
        <v>14905800</v>
      </c>
    </row>
    <row r="88" spans="3:78" hidden="1" x14ac:dyDescent="0.2">
      <c r="M88" s="1">
        <f t="shared" ref="M88:AB96" si="3">M18-CE18</f>
        <v>-1063460</v>
      </c>
      <c r="N88" s="1">
        <f t="shared" si="3"/>
        <v>0</v>
      </c>
      <c r="O88" s="1">
        <f t="shared" si="3"/>
        <v>0</v>
      </c>
      <c r="P88" s="1">
        <f t="shared" si="3"/>
        <v>0</v>
      </c>
      <c r="Q88" s="1">
        <f t="shared" si="3"/>
        <v>0</v>
      </c>
      <c r="R88" s="1">
        <f t="shared" si="3"/>
        <v>-2104400</v>
      </c>
      <c r="S88" s="1">
        <f t="shared" si="3"/>
        <v>0</v>
      </c>
      <c r="T88" s="1">
        <f t="shared" si="3"/>
        <v>0</v>
      </c>
      <c r="U88" s="1">
        <f t="shared" si="3"/>
        <v>0</v>
      </c>
      <c r="V88" s="1">
        <f t="shared" si="3"/>
        <v>0</v>
      </c>
      <c r="W88" s="1">
        <f t="shared" si="3"/>
        <v>-313500</v>
      </c>
      <c r="X88" s="1">
        <f t="shared" si="2"/>
        <v>0</v>
      </c>
      <c r="Y88" s="1">
        <f t="shared" si="2"/>
        <v>0</v>
      </c>
      <c r="Z88" s="1">
        <f t="shared" si="2"/>
        <v>0</v>
      </c>
      <c r="AA88" s="1">
        <f t="shared" si="2"/>
        <v>0</v>
      </c>
      <c r="AB88" s="1">
        <f t="shared" si="2"/>
        <v>4165100</v>
      </c>
      <c r="AC88" s="1">
        <f t="shared" si="2"/>
        <v>0</v>
      </c>
      <c r="AD88" s="1">
        <f t="shared" si="2"/>
        <v>0</v>
      </c>
      <c r="AE88" s="1">
        <f t="shared" si="2"/>
        <v>0</v>
      </c>
      <c r="AF88" s="1">
        <f t="shared" si="2"/>
        <v>0</v>
      </c>
      <c r="AG88" s="1">
        <f t="shared" si="2"/>
        <v>2607500</v>
      </c>
      <c r="AH88" s="1">
        <f t="shared" si="2"/>
        <v>0</v>
      </c>
      <c r="AI88" s="1">
        <f t="shared" si="2"/>
        <v>0</v>
      </c>
      <c r="AJ88" s="1">
        <f t="shared" si="2"/>
        <v>0</v>
      </c>
      <c r="AK88" s="1">
        <f t="shared" si="2"/>
        <v>0</v>
      </c>
      <c r="AL88" s="1">
        <f t="shared" si="2"/>
        <v>6091800</v>
      </c>
      <c r="AM88" s="1">
        <f t="shared" si="2"/>
        <v>0</v>
      </c>
      <c r="AN88" s="1">
        <f t="shared" si="2"/>
        <v>0</v>
      </c>
      <c r="AO88" s="1">
        <f t="shared" si="2"/>
        <v>0</v>
      </c>
      <c r="AP88" s="1">
        <f t="shared" si="2"/>
        <v>0</v>
      </c>
      <c r="AQ88" s="1">
        <f t="shared" si="2"/>
        <v>3226300</v>
      </c>
      <c r="AR88" s="1">
        <f t="shared" si="2"/>
        <v>0</v>
      </c>
      <c r="AS88" s="1">
        <f t="shared" si="2"/>
        <v>0</v>
      </c>
      <c r="AT88" s="1">
        <f t="shared" si="2"/>
        <v>0</v>
      </c>
      <c r="AU88" s="1">
        <f t="shared" si="2"/>
        <v>0</v>
      </c>
      <c r="AV88" s="1">
        <f t="shared" si="2"/>
        <v>3511200</v>
      </c>
      <c r="AW88" s="1">
        <f t="shared" si="2"/>
        <v>0</v>
      </c>
      <c r="AX88" s="1">
        <f t="shared" si="2"/>
        <v>0</v>
      </c>
      <c r="AY88" s="1">
        <f t="shared" si="2"/>
        <v>0</v>
      </c>
      <c r="AZ88" s="1">
        <f t="shared" si="2"/>
        <v>0</v>
      </c>
      <c r="BA88" s="1">
        <f t="shared" si="2"/>
        <v>2800400</v>
      </c>
      <c r="BB88" s="1">
        <f t="shared" si="2"/>
        <v>0</v>
      </c>
      <c r="BC88" s="1">
        <f t="shared" si="2"/>
        <v>0</v>
      </c>
      <c r="BD88" s="1">
        <f t="shared" si="2"/>
        <v>0</v>
      </c>
      <c r="BE88" s="1">
        <f t="shared" si="2"/>
        <v>0</v>
      </c>
      <c r="BF88" s="1">
        <f t="shared" si="2"/>
        <v>5473560</v>
      </c>
      <c r="BG88" s="1">
        <f t="shared" si="2"/>
        <v>0</v>
      </c>
      <c r="BH88" s="1">
        <f t="shared" si="2"/>
        <v>0</v>
      </c>
      <c r="BI88" s="1">
        <f t="shared" si="2"/>
        <v>0</v>
      </c>
      <c r="BJ88" s="1">
        <f t="shared" si="2"/>
        <v>0</v>
      </c>
      <c r="BK88" s="1">
        <f t="shared" si="2"/>
        <v>1449200</v>
      </c>
      <c r="BL88" s="1">
        <f t="shared" si="2"/>
        <v>0</v>
      </c>
      <c r="BM88" s="1">
        <f t="shared" si="2"/>
        <v>0</v>
      </c>
      <c r="BN88" s="1">
        <f t="shared" si="2"/>
        <v>0</v>
      </c>
      <c r="BO88" s="1">
        <f t="shared" si="2"/>
        <v>0</v>
      </c>
      <c r="BP88" s="1">
        <f t="shared" si="2"/>
        <v>2320000</v>
      </c>
      <c r="BQ88" s="1">
        <f t="shared" si="2"/>
        <v>0</v>
      </c>
      <c r="BR88" s="1">
        <f t="shared" si="2"/>
        <v>0</v>
      </c>
      <c r="BS88" s="1">
        <f t="shared" si="2"/>
        <v>0</v>
      </c>
      <c r="BT88" s="1">
        <f t="shared" si="2"/>
        <v>0</v>
      </c>
      <c r="BU88" s="1">
        <f t="shared" si="2"/>
        <v>24394500</v>
      </c>
    </row>
    <row r="89" spans="3:78" hidden="1" x14ac:dyDescent="0.2">
      <c r="M89" s="1">
        <f t="shared" si="3"/>
        <v>-1188450</v>
      </c>
      <c r="N89" s="1">
        <f t="shared" si="3"/>
        <v>0</v>
      </c>
      <c r="O89" s="1">
        <f t="shared" si="3"/>
        <v>0</v>
      </c>
      <c r="P89" s="1">
        <f t="shared" si="3"/>
        <v>0</v>
      </c>
      <c r="Q89" s="1">
        <f t="shared" si="3"/>
        <v>0</v>
      </c>
      <c r="R89" s="1">
        <f t="shared" si="3"/>
        <v>-4154000</v>
      </c>
      <c r="S89" s="1">
        <f t="shared" si="3"/>
        <v>0</v>
      </c>
      <c r="T89" s="1">
        <f t="shared" si="3"/>
        <v>0</v>
      </c>
      <c r="U89" s="1">
        <f t="shared" si="3"/>
        <v>0</v>
      </c>
      <c r="V89" s="1">
        <f t="shared" si="3"/>
        <v>0</v>
      </c>
      <c r="W89" s="1">
        <f t="shared" si="3"/>
        <v>-2279700</v>
      </c>
      <c r="X89" s="1">
        <f t="shared" si="2"/>
        <v>0</v>
      </c>
      <c r="Y89" s="1">
        <f t="shared" si="2"/>
        <v>0</v>
      </c>
      <c r="Z89" s="1">
        <f t="shared" si="2"/>
        <v>0</v>
      </c>
      <c r="AA89" s="1">
        <f t="shared" si="2"/>
        <v>0</v>
      </c>
      <c r="AB89" s="1">
        <f t="shared" si="2"/>
        <v>2347140</v>
      </c>
      <c r="AC89" s="1">
        <f t="shared" si="2"/>
        <v>0</v>
      </c>
      <c r="AD89" s="1">
        <f t="shared" si="2"/>
        <v>0</v>
      </c>
      <c r="AE89" s="1">
        <f t="shared" si="2"/>
        <v>0</v>
      </c>
      <c r="AF89" s="1">
        <f t="shared" si="2"/>
        <v>0</v>
      </c>
      <c r="AG89" s="1">
        <f t="shared" si="2"/>
        <v>1589000</v>
      </c>
      <c r="AH89" s="1">
        <f t="shared" si="2"/>
        <v>0</v>
      </c>
      <c r="AI89" s="1">
        <f t="shared" si="2"/>
        <v>0</v>
      </c>
      <c r="AJ89" s="1">
        <f t="shared" si="2"/>
        <v>0</v>
      </c>
      <c r="AK89" s="1">
        <f t="shared" si="2"/>
        <v>0</v>
      </c>
      <c r="AL89" s="1">
        <f t="shared" si="2"/>
        <v>5065000</v>
      </c>
      <c r="AM89" s="1">
        <f t="shared" si="2"/>
        <v>0</v>
      </c>
      <c r="AN89" s="1">
        <f t="shared" si="2"/>
        <v>0</v>
      </c>
      <c r="AO89" s="1">
        <f t="shared" si="2"/>
        <v>0</v>
      </c>
      <c r="AP89" s="1">
        <f t="shared" si="2"/>
        <v>0</v>
      </c>
      <c r="AQ89" s="1">
        <f t="shared" si="2"/>
        <v>1282700</v>
      </c>
      <c r="AR89" s="1">
        <f t="shared" si="2"/>
        <v>0</v>
      </c>
      <c r="AS89" s="1">
        <f t="shared" si="2"/>
        <v>0</v>
      </c>
      <c r="AT89" s="1">
        <f t="shared" si="2"/>
        <v>0</v>
      </c>
      <c r="AU89" s="1">
        <f t="shared" si="2"/>
        <v>0</v>
      </c>
      <c r="AV89" s="1">
        <f t="shared" si="2"/>
        <v>2900000</v>
      </c>
      <c r="AW89" s="1">
        <f t="shared" si="2"/>
        <v>0</v>
      </c>
      <c r="AX89" s="1">
        <f t="shared" si="2"/>
        <v>0</v>
      </c>
      <c r="AY89" s="1">
        <f t="shared" si="2"/>
        <v>0</v>
      </c>
      <c r="AZ89" s="1">
        <f t="shared" si="2"/>
        <v>0</v>
      </c>
      <c r="BA89" s="1">
        <f t="shared" si="2"/>
        <v>4444760</v>
      </c>
      <c r="BB89" s="1">
        <f t="shared" si="2"/>
        <v>0</v>
      </c>
      <c r="BC89" s="1">
        <f t="shared" si="2"/>
        <v>0</v>
      </c>
      <c r="BD89" s="1">
        <f t="shared" si="2"/>
        <v>0</v>
      </c>
      <c r="BE89" s="1">
        <f t="shared" si="2"/>
        <v>0</v>
      </c>
      <c r="BF89" s="1">
        <f t="shared" si="2"/>
        <v>6625030</v>
      </c>
      <c r="BG89" s="1">
        <f t="shared" si="2"/>
        <v>0</v>
      </c>
      <c r="BH89" s="1">
        <f t="shared" si="2"/>
        <v>0</v>
      </c>
      <c r="BI89" s="1">
        <f t="shared" si="2"/>
        <v>0</v>
      </c>
      <c r="BJ89" s="1">
        <f t="shared" si="2"/>
        <v>0</v>
      </c>
      <c r="BK89" s="1">
        <f t="shared" si="2"/>
        <v>920000</v>
      </c>
      <c r="BL89" s="1">
        <f t="shared" si="2"/>
        <v>0</v>
      </c>
      <c r="BM89" s="1">
        <f t="shared" si="2"/>
        <v>0</v>
      </c>
      <c r="BN89" s="1">
        <f t="shared" si="2"/>
        <v>0</v>
      </c>
      <c r="BO89" s="1">
        <f t="shared" si="2"/>
        <v>0</v>
      </c>
      <c r="BP89" s="1">
        <f t="shared" si="2"/>
        <v>920000</v>
      </c>
      <c r="BQ89" s="1">
        <f t="shared" si="2"/>
        <v>0</v>
      </c>
      <c r="BR89" s="1">
        <f t="shared" si="2"/>
        <v>0</v>
      </c>
      <c r="BS89" s="1">
        <f t="shared" si="2"/>
        <v>0</v>
      </c>
      <c r="BT89" s="1">
        <f t="shared" si="2"/>
        <v>0</v>
      </c>
      <c r="BU89" s="1">
        <f t="shared" si="2"/>
        <v>16631480</v>
      </c>
    </row>
    <row r="90" spans="3:78" hidden="1" x14ac:dyDescent="0.2">
      <c r="M90" s="1">
        <f t="shared" si="3"/>
        <v>0</v>
      </c>
      <c r="N90" s="1">
        <f t="shared" si="3"/>
        <v>0</v>
      </c>
      <c r="O90" s="1">
        <f t="shared" si="3"/>
        <v>0</v>
      </c>
      <c r="P90" s="1">
        <f t="shared" si="3"/>
        <v>0</v>
      </c>
      <c r="Q90" s="1">
        <f t="shared" si="3"/>
        <v>0</v>
      </c>
      <c r="R90" s="1">
        <f t="shared" si="3"/>
        <v>0</v>
      </c>
      <c r="S90" s="1">
        <f t="shared" si="3"/>
        <v>0</v>
      </c>
      <c r="T90" s="1">
        <f t="shared" si="3"/>
        <v>0</v>
      </c>
      <c r="U90" s="1">
        <f t="shared" si="3"/>
        <v>0</v>
      </c>
      <c r="V90" s="1">
        <f t="shared" si="3"/>
        <v>0</v>
      </c>
      <c r="W90" s="1">
        <f t="shared" si="3"/>
        <v>0</v>
      </c>
      <c r="X90" s="1">
        <f t="shared" si="2"/>
        <v>0</v>
      </c>
      <c r="Y90" s="1">
        <f t="shared" si="2"/>
        <v>0</v>
      </c>
      <c r="Z90" s="1">
        <f t="shared" si="2"/>
        <v>0</v>
      </c>
      <c r="AA90" s="1">
        <f t="shared" si="2"/>
        <v>0</v>
      </c>
      <c r="AB90" s="1">
        <f t="shared" si="2"/>
        <v>0</v>
      </c>
      <c r="AC90" s="1">
        <f t="shared" si="2"/>
        <v>0</v>
      </c>
      <c r="AD90" s="1">
        <f t="shared" si="2"/>
        <v>0</v>
      </c>
      <c r="AE90" s="1">
        <f t="shared" si="2"/>
        <v>0</v>
      </c>
      <c r="AF90" s="1">
        <f t="shared" si="2"/>
        <v>0</v>
      </c>
      <c r="AG90" s="1">
        <f t="shared" si="2"/>
        <v>0</v>
      </c>
      <c r="AH90" s="1">
        <f t="shared" si="2"/>
        <v>0</v>
      </c>
      <c r="AI90" s="1">
        <f t="shared" si="2"/>
        <v>0</v>
      </c>
      <c r="AJ90" s="1">
        <f t="shared" si="2"/>
        <v>0</v>
      </c>
      <c r="AK90" s="1">
        <f t="shared" si="2"/>
        <v>0</v>
      </c>
      <c r="AL90" s="1">
        <f t="shared" si="2"/>
        <v>0</v>
      </c>
      <c r="AM90" s="1">
        <f t="shared" si="2"/>
        <v>0</v>
      </c>
      <c r="AN90" s="1">
        <f t="shared" si="2"/>
        <v>0</v>
      </c>
      <c r="AO90" s="1">
        <f t="shared" si="2"/>
        <v>0</v>
      </c>
      <c r="AP90" s="1">
        <f t="shared" si="2"/>
        <v>0</v>
      </c>
      <c r="AQ90" s="1">
        <f t="shared" si="2"/>
        <v>0</v>
      </c>
      <c r="AR90" s="1">
        <f t="shared" si="2"/>
        <v>0</v>
      </c>
      <c r="AS90" s="1">
        <f t="shared" si="2"/>
        <v>0</v>
      </c>
      <c r="AT90" s="1">
        <f t="shared" si="2"/>
        <v>0</v>
      </c>
      <c r="AU90" s="1">
        <f t="shared" si="2"/>
        <v>0</v>
      </c>
      <c r="AV90" s="1">
        <f t="shared" si="2"/>
        <v>0</v>
      </c>
      <c r="AW90" s="1">
        <f t="shared" si="2"/>
        <v>0</v>
      </c>
      <c r="AX90" s="1">
        <f t="shared" si="2"/>
        <v>0</v>
      </c>
      <c r="AY90" s="1">
        <f t="shared" si="2"/>
        <v>0</v>
      </c>
      <c r="AZ90" s="1">
        <f t="shared" si="2"/>
        <v>0</v>
      </c>
      <c r="BA90" s="1">
        <f t="shared" si="2"/>
        <v>0</v>
      </c>
      <c r="BB90" s="1">
        <f t="shared" si="2"/>
        <v>0</v>
      </c>
      <c r="BC90" s="1">
        <f t="shared" si="2"/>
        <v>0</v>
      </c>
      <c r="BD90" s="1">
        <f t="shared" si="2"/>
        <v>0</v>
      </c>
      <c r="BE90" s="1">
        <f t="shared" si="2"/>
        <v>0</v>
      </c>
      <c r="BF90" s="1">
        <f t="shared" si="2"/>
        <v>0</v>
      </c>
      <c r="BG90" s="1">
        <f t="shared" si="2"/>
        <v>0</v>
      </c>
      <c r="BH90" s="1">
        <f t="shared" si="2"/>
        <v>0</v>
      </c>
      <c r="BI90" s="1">
        <f t="shared" si="2"/>
        <v>0</v>
      </c>
      <c r="BJ90" s="1">
        <f t="shared" si="2"/>
        <v>0</v>
      </c>
      <c r="BK90" s="1">
        <f t="shared" si="2"/>
        <v>0</v>
      </c>
      <c r="BL90" s="1">
        <f t="shared" si="2"/>
        <v>0</v>
      </c>
      <c r="BM90" s="1">
        <f t="shared" si="2"/>
        <v>0</v>
      </c>
      <c r="BN90" s="1">
        <f t="shared" si="2"/>
        <v>0</v>
      </c>
      <c r="BO90" s="1">
        <f t="shared" si="2"/>
        <v>0</v>
      </c>
      <c r="BP90" s="1">
        <f t="shared" si="2"/>
        <v>0</v>
      </c>
      <c r="BQ90" s="1">
        <f t="shared" si="2"/>
        <v>0</v>
      </c>
      <c r="BR90" s="1">
        <f t="shared" si="2"/>
        <v>0</v>
      </c>
      <c r="BS90" s="1">
        <f t="shared" si="2"/>
        <v>0</v>
      </c>
      <c r="BT90" s="1">
        <f t="shared" si="2"/>
        <v>0</v>
      </c>
      <c r="BU90" s="1">
        <f t="shared" si="2"/>
        <v>0</v>
      </c>
    </row>
    <row r="91" spans="3:78" hidden="1" x14ac:dyDescent="0.2">
      <c r="M91" s="1">
        <f t="shared" si="3"/>
        <v>6977593</v>
      </c>
      <c r="N91" s="1">
        <f t="shared" si="3"/>
        <v>0</v>
      </c>
      <c r="O91" s="1">
        <f t="shared" si="3"/>
        <v>0</v>
      </c>
      <c r="P91" s="1">
        <f t="shared" si="3"/>
        <v>0</v>
      </c>
      <c r="Q91" s="1">
        <f t="shared" si="3"/>
        <v>0</v>
      </c>
      <c r="R91" s="1">
        <f t="shared" si="3"/>
        <v>8354341</v>
      </c>
      <c r="S91" s="1">
        <f t="shared" si="3"/>
        <v>0</v>
      </c>
      <c r="T91" s="1">
        <f t="shared" si="3"/>
        <v>0</v>
      </c>
      <c r="U91" s="1">
        <f t="shared" si="3"/>
        <v>0</v>
      </c>
      <c r="V91" s="1">
        <f t="shared" si="3"/>
        <v>0</v>
      </c>
      <c r="W91" s="1">
        <f t="shared" si="3"/>
        <v>-9180526</v>
      </c>
      <c r="X91" s="1">
        <f t="shared" si="2"/>
        <v>0</v>
      </c>
      <c r="Y91" s="1">
        <f t="shared" si="2"/>
        <v>0</v>
      </c>
      <c r="Z91" s="1">
        <f t="shared" si="2"/>
        <v>0</v>
      </c>
      <c r="AA91" s="1">
        <f t="shared" si="2"/>
        <v>0</v>
      </c>
      <c r="AB91" s="1">
        <f t="shared" si="2"/>
        <v>9481913</v>
      </c>
      <c r="AC91" s="1">
        <f t="shared" si="2"/>
        <v>0</v>
      </c>
      <c r="AD91" s="1">
        <f t="shared" si="2"/>
        <v>0</v>
      </c>
      <c r="AE91" s="1">
        <f t="shared" si="2"/>
        <v>0</v>
      </c>
      <c r="AF91" s="1">
        <f t="shared" si="2"/>
        <v>0</v>
      </c>
      <c r="AG91" s="1">
        <f t="shared" si="2"/>
        <v>-22442322</v>
      </c>
      <c r="AH91" s="1">
        <f t="shared" si="2"/>
        <v>0</v>
      </c>
      <c r="AI91" s="1">
        <f t="shared" si="2"/>
        <v>0</v>
      </c>
      <c r="AJ91" s="1">
        <f t="shared" si="2"/>
        <v>0</v>
      </c>
      <c r="AK91" s="1">
        <f t="shared" si="2"/>
        <v>0</v>
      </c>
      <c r="AL91" s="1">
        <f t="shared" si="2"/>
        <v>8649092</v>
      </c>
      <c r="AM91" s="1">
        <f t="shared" si="2"/>
        <v>0</v>
      </c>
      <c r="AN91" s="1">
        <f t="shared" si="2"/>
        <v>0</v>
      </c>
      <c r="AO91" s="1">
        <f t="shared" si="2"/>
        <v>0</v>
      </c>
      <c r="AP91" s="1">
        <f t="shared" si="2"/>
        <v>0</v>
      </c>
      <c r="AQ91" s="1">
        <f t="shared" si="2"/>
        <v>14802072</v>
      </c>
      <c r="AR91" s="1">
        <f t="shared" si="2"/>
        <v>0</v>
      </c>
      <c r="AS91" s="1">
        <f t="shared" si="2"/>
        <v>0</v>
      </c>
      <c r="AT91" s="1">
        <f t="shared" si="2"/>
        <v>0</v>
      </c>
      <c r="AU91" s="1">
        <f t="shared" si="2"/>
        <v>0</v>
      </c>
      <c r="AV91" s="1">
        <f t="shared" si="2"/>
        <v>-14046167</v>
      </c>
      <c r="AW91" s="1">
        <f t="shared" si="2"/>
        <v>0</v>
      </c>
      <c r="AX91" s="1">
        <f t="shared" si="2"/>
        <v>0</v>
      </c>
      <c r="AY91" s="1">
        <f t="shared" si="2"/>
        <v>0</v>
      </c>
      <c r="AZ91" s="1">
        <f t="shared" si="2"/>
        <v>0</v>
      </c>
      <c r="BA91" s="1">
        <f t="shared" si="2"/>
        <v>-23237233</v>
      </c>
      <c r="BB91" s="1">
        <f t="shared" si="2"/>
        <v>0</v>
      </c>
      <c r="BC91" s="1">
        <f t="shared" si="2"/>
        <v>0</v>
      </c>
      <c r="BD91" s="1">
        <f t="shared" si="2"/>
        <v>0</v>
      </c>
      <c r="BE91" s="1">
        <f t="shared" si="2"/>
        <v>0</v>
      </c>
      <c r="BF91" s="1">
        <f t="shared" si="2"/>
        <v>-13985149</v>
      </c>
      <c r="BG91" s="1">
        <f t="shared" si="2"/>
        <v>0</v>
      </c>
      <c r="BH91" s="1">
        <f t="shared" si="2"/>
        <v>0</v>
      </c>
      <c r="BI91" s="1">
        <f t="shared" si="2"/>
        <v>0</v>
      </c>
      <c r="BJ91" s="1">
        <f t="shared" si="2"/>
        <v>0</v>
      </c>
      <c r="BK91" s="1">
        <f t="shared" si="2"/>
        <v>-6973911</v>
      </c>
      <c r="BL91" s="1">
        <f t="shared" si="2"/>
        <v>0</v>
      </c>
      <c r="BM91" s="1">
        <f t="shared" si="2"/>
        <v>0</v>
      </c>
      <c r="BN91" s="1">
        <f t="shared" si="2"/>
        <v>0</v>
      </c>
      <c r="BO91" s="1">
        <f t="shared" si="2"/>
        <v>0</v>
      </c>
      <c r="BP91" s="1">
        <f t="shared" si="2"/>
        <v>29089926</v>
      </c>
      <c r="BQ91" s="1">
        <f t="shared" si="2"/>
        <v>0</v>
      </c>
      <c r="BR91" s="1">
        <f t="shared" si="2"/>
        <v>0</v>
      </c>
      <c r="BS91" s="1">
        <f t="shared" si="2"/>
        <v>0</v>
      </c>
      <c r="BT91" s="1">
        <f t="shared" si="2"/>
        <v>0</v>
      </c>
      <c r="BU91" s="1">
        <f t="shared" si="2"/>
        <v>-34626386</v>
      </c>
    </row>
    <row r="92" spans="3:78" hidden="1" x14ac:dyDescent="0.2">
      <c r="M92" s="1">
        <f t="shared" si="3"/>
        <v>0</v>
      </c>
      <c r="N92" s="1">
        <f t="shared" si="3"/>
        <v>0</v>
      </c>
      <c r="O92" s="1">
        <f t="shared" si="3"/>
        <v>0</v>
      </c>
      <c r="P92" s="1">
        <f t="shared" si="3"/>
        <v>0</v>
      </c>
      <c r="Q92" s="1">
        <f t="shared" si="3"/>
        <v>0</v>
      </c>
      <c r="R92" s="1">
        <f t="shared" si="3"/>
        <v>0</v>
      </c>
      <c r="S92" s="1">
        <f t="shared" si="3"/>
        <v>0</v>
      </c>
      <c r="T92" s="1">
        <f t="shared" si="3"/>
        <v>0</v>
      </c>
      <c r="U92" s="1">
        <f t="shared" si="3"/>
        <v>0</v>
      </c>
      <c r="V92" s="1">
        <f t="shared" si="3"/>
        <v>0</v>
      </c>
      <c r="W92" s="1">
        <f t="shared" si="3"/>
        <v>0</v>
      </c>
      <c r="X92" s="1">
        <f t="shared" si="2"/>
        <v>0</v>
      </c>
      <c r="Y92" s="1">
        <f t="shared" si="2"/>
        <v>0</v>
      </c>
      <c r="Z92" s="1">
        <f t="shared" si="2"/>
        <v>0</v>
      </c>
      <c r="AA92" s="1">
        <f t="shared" si="2"/>
        <v>0</v>
      </c>
      <c r="AB92" s="1">
        <f t="shared" si="2"/>
        <v>0</v>
      </c>
      <c r="AC92" s="1">
        <f t="shared" ref="AC92:BU96" si="4">AC22-CU22</f>
        <v>0</v>
      </c>
      <c r="AD92" s="1">
        <f t="shared" si="4"/>
        <v>0</v>
      </c>
      <c r="AE92" s="1">
        <f t="shared" si="4"/>
        <v>0</v>
      </c>
      <c r="AF92" s="1">
        <f t="shared" si="4"/>
        <v>0</v>
      </c>
      <c r="AG92" s="1">
        <f t="shared" si="4"/>
        <v>0</v>
      </c>
      <c r="AH92" s="1">
        <f t="shared" si="4"/>
        <v>0</v>
      </c>
      <c r="AI92" s="1">
        <f t="shared" si="4"/>
        <v>0</v>
      </c>
      <c r="AJ92" s="1">
        <f t="shared" si="4"/>
        <v>0</v>
      </c>
      <c r="AK92" s="1">
        <f t="shared" si="4"/>
        <v>0</v>
      </c>
      <c r="AL92" s="1">
        <f t="shared" si="4"/>
        <v>0</v>
      </c>
      <c r="AM92" s="1">
        <f t="shared" si="4"/>
        <v>0</v>
      </c>
      <c r="AN92" s="1">
        <f t="shared" si="4"/>
        <v>0</v>
      </c>
      <c r="AO92" s="1">
        <f t="shared" si="4"/>
        <v>0</v>
      </c>
      <c r="AP92" s="1">
        <f t="shared" si="4"/>
        <v>0</v>
      </c>
      <c r="AQ92" s="1">
        <f t="shared" si="4"/>
        <v>0</v>
      </c>
      <c r="AR92" s="1">
        <f t="shared" si="4"/>
        <v>0</v>
      </c>
      <c r="AS92" s="1">
        <f t="shared" si="4"/>
        <v>0</v>
      </c>
      <c r="AT92" s="1">
        <f t="shared" si="4"/>
        <v>0</v>
      </c>
      <c r="AU92" s="1">
        <f t="shared" si="4"/>
        <v>0</v>
      </c>
      <c r="AV92" s="1">
        <f t="shared" si="4"/>
        <v>0</v>
      </c>
      <c r="AW92" s="1">
        <f t="shared" si="4"/>
        <v>0</v>
      </c>
      <c r="AX92" s="1">
        <f t="shared" si="4"/>
        <v>0</v>
      </c>
      <c r="AY92" s="1">
        <f t="shared" si="4"/>
        <v>0</v>
      </c>
      <c r="AZ92" s="1">
        <f t="shared" si="4"/>
        <v>0</v>
      </c>
      <c r="BA92" s="1">
        <f t="shared" si="4"/>
        <v>0</v>
      </c>
      <c r="BB92" s="1">
        <f t="shared" si="4"/>
        <v>0</v>
      </c>
      <c r="BC92" s="1">
        <f t="shared" si="4"/>
        <v>0</v>
      </c>
      <c r="BD92" s="1">
        <f t="shared" si="4"/>
        <v>0</v>
      </c>
      <c r="BE92" s="1">
        <f t="shared" si="4"/>
        <v>0</v>
      </c>
      <c r="BF92" s="1">
        <f t="shared" si="4"/>
        <v>0</v>
      </c>
      <c r="BG92" s="1">
        <f t="shared" si="4"/>
        <v>0</v>
      </c>
      <c r="BH92" s="1">
        <f t="shared" si="4"/>
        <v>0</v>
      </c>
      <c r="BI92" s="1">
        <f t="shared" si="4"/>
        <v>0</v>
      </c>
      <c r="BJ92" s="1">
        <f t="shared" si="4"/>
        <v>0</v>
      </c>
      <c r="BK92" s="1">
        <f t="shared" si="4"/>
        <v>0</v>
      </c>
      <c r="BL92" s="1">
        <f t="shared" si="4"/>
        <v>0</v>
      </c>
      <c r="BM92" s="1">
        <f t="shared" si="4"/>
        <v>0</v>
      </c>
      <c r="BN92" s="1">
        <f t="shared" si="4"/>
        <v>0</v>
      </c>
      <c r="BO92" s="1">
        <f t="shared" si="4"/>
        <v>0</v>
      </c>
      <c r="BP92" s="1">
        <f t="shared" si="4"/>
        <v>0</v>
      </c>
      <c r="BQ92" s="1">
        <f t="shared" si="4"/>
        <v>0</v>
      </c>
      <c r="BR92" s="1">
        <f t="shared" si="4"/>
        <v>0</v>
      </c>
      <c r="BS92" s="1">
        <f t="shared" si="4"/>
        <v>0</v>
      </c>
      <c r="BT92" s="1">
        <f t="shared" si="4"/>
        <v>0</v>
      </c>
      <c r="BU92" s="1">
        <f t="shared" si="4"/>
        <v>0</v>
      </c>
    </row>
    <row r="93" spans="3:78" hidden="1" x14ac:dyDescent="0.2">
      <c r="M93" s="1">
        <f t="shared" si="3"/>
        <v>13716303</v>
      </c>
      <c r="N93" s="1">
        <f t="shared" si="3"/>
        <v>0</v>
      </c>
      <c r="O93" s="1">
        <f t="shared" si="3"/>
        <v>0</v>
      </c>
      <c r="P93" s="1">
        <f t="shared" si="3"/>
        <v>0</v>
      </c>
      <c r="Q93" s="1">
        <f t="shared" si="3"/>
        <v>0</v>
      </c>
      <c r="R93" s="1">
        <f t="shared" si="3"/>
        <v>16255001.743999995</v>
      </c>
      <c r="S93" s="1">
        <f t="shared" si="3"/>
        <v>0</v>
      </c>
      <c r="T93" s="1">
        <f t="shared" si="3"/>
        <v>0</v>
      </c>
      <c r="U93" s="1">
        <f t="shared" si="3"/>
        <v>0</v>
      </c>
      <c r="V93" s="1">
        <f t="shared" si="3"/>
        <v>0</v>
      </c>
      <c r="W93" s="1">
        <f t="shared" si="3"/>
        <v>24197809</v>
      </c>
      <c r="X93" s="1">
        <f t="shared" si="3"/>
        <v>0</v>
      </c>
      <c r="Y93" s="1">
        <f t="shared" si="3"/>
        <v>0</v>
      </c>
      <c r="Z93" s="1">
        <f t="shared" si="3"/>
        <v>0</v>
      </c>
      <c r="AA93" s="1">
        <f t="shared" si="3"/>
        <v>0</v>
      </c>
      <c r="AB93" s="1">
        <f t="shared" si="3"/>
        <v>37800698</v>
      </c>
      <c r="AC93" s="1">
        <f t="shared" si="4"/>
        <v>0</v>
      </c>
      <c r="AD93" s="1">
        <f t="shared" si="4"/>
        <v>0</v>
      </c>
      <c r="AE93" s="1">
        <f t="shared" si="4"/>
        <v>0</v>
      </c>
      <c r="AF93" s="1">
        <f t="shared" si="4"/>
        <v>0</v>
      </c>
      <c r="AG93" s="1">
        <f t="shared" si="4"/>
        <v>9064672</v>
      </c>
      <c r="AH93" s="1">
        <f t="shared" si="4"/>
        <v>0</v>
      </c>
      <c r="AI93" s="1">
        <f t="shared" si="4"/>
        <v>0</v>
      </c>
      <c r="AJ93" s="1">
        <f t="shared" si="4"/>
        <v>0</v>
      </c>
      <c r="AK93" s="1">
        <f t="shared" si="4"/>
        <v>0</v>
      </c>
      <c r="AL93" s="1">
        <f t="shared" si="4"/>
        <v>21319784</v>
      </c>
      <c r="AM93" s="1">
        <f t="shared" si="4"/>
        <v>0</v>
      </c>
      <c r="AN93" s="1">
        <f t="shared" si="4"/>
        <v>0</v>
      </c>
      <c r="AO93" s="1">
        <f t="shared" si="4"/>
        <v>0</v>
      </c>
      <c r="AP93" s="1">
        <f t="shared" si="4"/>
        <v>0</v>
      </c>
      <c r="AQ93" s="1">
        <f t="shared" si="4"/>
        <v>19644925</v>
      </c>
      <c r="AR93" s="1">
        <f t="shared" si="4"/>
        <v>0</v>
      </c>
      <c r="AS93" s="1">
        <f t="shared" si="4"/>
        <v>0</v>
      </c>
      <c r="AT93" s="1">
        <f t="shared" si="4"/>
        <v>0</v>
      </c>
      <c r="AU93" s="1">
        <f t="shared" si="4"/>
        <v>0</v>
      </c>
      <c r="AV93" s="1">
        <f t="shared" si="4"/>
        <v>8492669</v>
      </c>
      <c r="AW93" s="1">
        <f t="shared" si="4"/>
        <v>0</v>
      </c>
      <c r="AX93" s="1">
        <f t="shared" si="4"/>
        <v>0</v>
      </c>
      <c r="AY93" s="1">
        <f t="shared" si="4"/>
        <v>0</v>
      </c>
      <c r="AZ93" s="1">
        <f t="shared" si="4"/>
        <v>0</v>
      </c>
      <c r="BA93" s="1">
        <f t="shared" si="4"/>
        <v>21858412</v>
      </c>
      <c r="BB93" s="1">
        <f t="shared" si="4"/>
        <v>0</v>
      </c>
      <c r="BC93" s="1">
        <f t="shared" si="4"/>
        <v>0</v>
      </c>
      <c r="BD93" s="1">
        <f t="shared" si="4"/>
        <v>0</v>
      </c>
      <c r="BE93" s="1">
        <f t="shared" si="4"/>
        <v>0</v>
      </c>
      <c r="BF93" s="1">
        <f t="shared" si="4"/>
        <v>31522443</v>
      </c>
      <c r="BG93" s="1">
        <f t="shared" si="4"/>
        <v>0</v>
      </c>
      <c r="BH93" s="1">
        <f t="shared" si="4"/>
        <v>0</v>
      </c>
      <c r="BI93" s="1">
        <f t="shared" si="4"/>
        <v>0</v>
      </c>
      <c r="BJ93" s="1">
        <f t="shared" si="4"/>
        <v>0</v>
      </c>
      <c r="BK93" s="1">
        <f t="shared" si="4"/>
        <v>-29159155</v>
      </c>
      <c r="BL93" s="1">
        <f t="shared" si="4"/>
        <v>0</v>
      </c>
      <c r="BM93" s="1">
        <f t="shared" si="4"/>
        <v>0</v>
      </c>
      <c r="BN93" s="1">
        <f t="shared" si="4"/>
        <v>0</v>
      </c>
      <c r="BO93" s="1">
        <f t="shared" si="4"/>
        <v>0</v>
      </c>
      <c r="BP93" s="1">
        <f t="shared" si="4"/>
        <v>-25417050</v>
      </c>
      <c r="BQ93" s="1">
        <f t="shared" si="4"/>
        <v>0</v>
      </c>
      <c r="BR93" s="1">
        <f t="shared" si="4"/>
        <v>0</v>
      </c>
      <c r="BS93" s="1">
        <f t="shared" si="4"/>
        <v>0</v>
      </c>
      <c r="BT93" s="1">
        <f t="shared" si="4"/>
        <v>0</v>
      </c>
      <c r="BU93" s="1">
        <f t="shared" si="4"/>
        <v>203872716.74399996</v>
      </c>
    </row>
    <row r="94" spans="3:78" hidden="1" x14ac:dyDescent="0.2">
      <c r="M94" s="1">
        <f t="shared" si="3"/>
        <v>13716303</v>
      </c>
      <c r="N94" s="1">
        <f t="shared" si="3"/>
        <v>0</v>
      </c>
      <c r="O94" s="1">
        <f t="shared" si="3"/>
        <v>0</v>
      </c>
      <c r="P94" s="1">
        <f t="shared" si="3"/>
        <v>0</v>
      </c>
      <c r="Q94" s="1">
        <f t="shared" si="3"/>
        <v>0</v>
      </c>
      <c r="R94" s="1">
        <f t="shared" si="3"/>
        <v>15965711.743999995</v>
      </c>
      <c r="S94" s="1">
        <f t="shared" si="3"/>
        <v>0</v>
      </c>
      <c r="T94" s="1">
        <f t="shared" si="3"/>
        <v>0</v>
      </c>
      <c r="U94" s="1">
        <f t="shared" si="3"/>
        <v>0</v>
      </c>
      <c r="V94" s="1">
        <f t="shared" si="3"/>
        <v>0</v>
      </c>
      <c r="W94" s="1">
        <f t="shared" si="3"/>
        <v>24197809</v>
      </c>
      <c r="X94" s="1">
        <f t="shared" si="3"/>
        <v>0</v>
      </c>
      <c r="Y94" s="1">
        <f t="shared" si="3"/>
        <v>0</v>
      </c>
      <c r="Z94" s="1">
        <f t="shared" si="3"/>
        <v>0</v>
      </c>
      <c r="AA94" s="1">
        <f t="shared" si="3"/>
        <v>0</v>
      </c>
      <c r="AB94" s="1">
        <f t="shared" si="3"/>
        <v>37800698</v>
      </c>
      <c r="AC94" s="1">
        <f t="shared" si="4"/>
        <v>0</v>
      </c>
      <c r="AD94" s="1">
        <f t="shared" si="4"/>
        <v>0</v>
      </c>
      <c r="AE94" s="1">
        <f t="shared" si="4"/>
        <v>0</v>
      </c>
      <c r="AF94" s="1">
        <f t="shared" si="4"/>
        <v>0</v>
      </c>
      <c r="AG94" s="1">
        <f t="shared" si="4"/>
        <v>9064672</v>
      </c>
      <c r="AH94" s="1">
        <f t="shared" si="4"/>
        <v>0</v>
      </c>
      <c r="AI94" s="1">
        <f t="shared" si="4"/>
        <v>0</v>
      </c>
      <c r="AJ94" s="1">
        <f t="shared" si="4"/>
        <v>0</v>
      </c>
      <c r="AK94" s="1">
        <f t="shared" si="4"/>
        <v>0</v>
      </c>
      <c r="AL94" s="1">
        <f t="shared" si="4"/>
        <v>21319784</v>
      </c>
      <c r="AM94" s="1">
        <f t="shared" si="4"/>
        <v>0</v>
      </c>
      <c r="AN94" s="1">
        <f t="shared" si="4"/>
        <v>0</v>
      </c>
      <c r="AO94" s="1">
        <f t="shared" si="4"/>
        <v>0</v>
      </c>
      <c r="AP94" s="1">
        <f t="shared" si="4"/>
        <v>0</v>
      </c>
      <c r="AQ94" s="1">
        <f t="shared" si="4"/>
        <v>19644925</v>
      </c>
      <c r="AR94" s="1">
        <f t="shared" si="4"/>
        <v>0</v>
      </c>
      <c r="AS94" s="1">
        <f t="shared" si="4"/>
        <v>0</v>
      </c>
      <c r="AT94" s="1">
        <f t="shared" si="4"/>
        <v>0</v>
      </c>
      <c r="AU94" s="1">
        <f t="shared" si="4"/>
        <v>0</v>
      </c>
      <c r="AV94" s="1">
        <f t="shared" si="4"/>
        <v>8406792</v>
      </c>
      <c r="AW94" s="1">
        <f t="shared" si="4"/>
        <v>0</v>
      </c>
      <c r="AX94" s="1">
        <f t="shared" si="4"/>
        <v>0</v>
      </c>
      <c r="AY94" s="1">
        <f t="shared" si="4"/>
        <v>0</v>
      </c>
      <c r="AZ94" s="1">
        <f t="shared" si="4"/>
        <v>0</v>
      </c>
      <c r="BA94" s="1">
        <f t="shared" si="4"/>
        <v>21944289</v>
      </c>
      <c r="BB94" s="1">
        <f t="shared" si="4"/>
        <v>0</v>
      </c>
      <c r="BC94" s="1">
        <f t="shared" si="4"/>
        <v>0</v>
      </c>
      <c r="BD94" s="1">
        <f t="shared" si="4"/>
        <v>0</v>
      </c>
      <c r="BE94" s="1">
        <f t="shared" si="4"/>
        <v>0</v>
      </c>
      <c r="BF94" s="1">
        <f t="shared" si="4"/>
        <v>31522443</v>
      </c>
      <c r="BG94" s="1">
        <f t="shared" si="4"/>
        <v>0</v>
      </c>
      <c r="BH94" s="1">
        <f t="shared" si="4"/>
        <v>0</v>
      </c>
      <c r="BI94" s="1">
        <f t="shared" si="4"/>
        <v>0</v>
      </c>
      <c r="BJ94" s="1">
        <f t="shared" si="4"/>
        <v>0</v>
      </c>
      <c r="BK94" s="1">
        <f t="shared" si="4"/>
        <v>-29159155</v>
      </c>
      <c r="BL94" s="1">
        <f t="shared" si="4"/>
        <v>0</v>
      </c>
      <c r="BM94" s="1">
        <f t="shared" si="4"/>
        <v>0</v>
      </c>
      <c r="BN94" s="1">
        <f t="shared" si="4"/>
        <v>0</v>
      </c>
      <c r="BO94" s="1">
        <f t="shared" si="4"/>
        <v>0</v>
      </c>
      <c r="BP94" s="1">
        <f t="shared" si="4"/>
        <v>-25417050</v>
      </c>
      <c r="BQ94" s="1">
        <f t="shared" si="4"/>
        <v>0</v>
      </c>
      <c r="BR94" s="1">
        <f t="shared" si="4"/>
        <v>0</v>
      </c>
      <c r="BS94" s="1">
        <f t="shared" si="4"/>
        <v>0</v>
      </c>
      <c r="BT94" s="1">
        <f t="shared" si="4"/>
        <v>0</v>
      </c>
      <c r="BU94" s="1">
        <f t="shared" si="4"/>
        <v>203583426.74399996</v>
      </c>
    </row>
    <row r="95" spans="3:78" hidden="1" x14ac:dyDescent="0.2">
      <c r="M95" s="1">
        <f t="shared" si="3"/>
        <v>17624743</v>
      </c>
      <c r="N95" s="1">
        <f t="shared" si="3"/>
        <v>0</v>
      </c>
      <c r="O95" s="1">
        <f t="shared" si="3"/>
        <v>0</v>
      </c>
      <c r="P95" s="1">
        <f t="shared" si="3"/>
        <v>0</v>
      </c>
      <c r="Q95" s="1">
        <f t="shared" si="3"/>
        <v>0</v>
      </c>
      <c r="R95" s="1">
        <f t="shared" si="3"/>
        <v>18452036.743999995</v>
      </c>
      <c r="S95" s="1">
        <f t="shared" si="3"/>
        <v>0</v>
      </c>
      <c r="T95" s="1">
        <f t="shared" si="3"/>
        <v>0</v>
      </c>
      <c r="U95" s="1">
        <f t="shared" si="3"/>
        <v>0</v>
      </c>
      <c r="V95" s="1">
        <f t="shared" si="3"/>
        <v>0</v>
      </c>
      <c r="W95" s="1">
        <f t="shared" si="3"/>
        <v>28476641</v>
      </c>
      <c r="X95" s="1">
        <f t="shared" si="3"/>
        <v>0</v>
      </c>
      <c r="Y95" s="1">
        <f t="shared" si="3"/>
        <v>0</v>
      </c>
      <c r="Z95" s="1">
        <f t="shared" si="3"/>
        <v>0</v>
      </c>
      <c r="AA95" s="1">
        <f t="shared" si="3"/>
        <v>0</v>
      </c>
      <c r="AB95" s="1">
        <f t="shared" si="3"/>
        <v>45172203</v>
      </c>
      <c r="AC95" s="1">
        <f t="shared" si="4"/>
        <v>0</v>
      </c>
      <c r="AD95" s="1">
        <f t="shared" si="4"/>
        <v>0</v>
      </c>
      <c r="AE95" s="1">
        <f t="shared" si="4"/>
        <v>0</v>
      </c>
      <c r="AF95" s="1">
        <f t="shared" si="4"/>
        <v>0</v>
      </c>
      <c r="AG95" s="1">
        <f t="shared" si="4"/>
        <v>13414624</v>
      </c>
      <c r="AH95" s="1">
        <f t="shared" si="4"/>
        <v>0</v>
      </c>
      <c r="AI95" s="1">
        <f t="shared" si="4"/>
        <v>0</v>
      </c>
      <c r="AJ95" s="1">
        <f t="shared" si="4"/>
        <v>0</v>
      </c>
      <c r="AK95" s="1">
        <f t="shared" si="4"/>
        <v>0</v>
      </c>
      <c r="AL95" s="1">
        <f t="shared" si="4"/>
        <v>29397396</v>
      </c>
      <c r="AM95" s="1">
        <f t="shared" si="4"/>
        <v>0</v>
      </c>
      <c r="AN95" s="1">
        <f t="shared" si="4"/>
        <v>0</v>
      </c>
      <c r="AO95" s="1">
        <f t="shared" si="4"/>
        <v>0</v>
      </c>
      <c r="AP95" s="1">
        <f t="shared" si="4"/>
        <v>0</v>
      </c>
      <c r="AQ95" s="1">
        <f t="shared" si="4"/>
        <v>25960536</v>
      </c>
      <c r="AR95" s="1">
        <f t="shared" si="4"/>
        <v>0</v>
      </c>
      <c r="AS95" s="1">
        <f t="shared" si="4"/>
        <v>0</v>
      </c>
      <c r="AT95" s="1">
        <f t="shared" si="4"/>
        <v>0</v>
      </c>
      <c r="AU95" s="1">
        <f t="shared" si="4"/>
        <v>0</v>
      </c>
      <c r="AV95" s="1">
        <f t="shared" si="4"/>
        <v>12046075</v>
      </c>
      <c r="AW95" s="1">
        <f t="shared" si="4"/>
        <v>0</v>
      </c>
      <c r="AX95" s="1">
        <f t="shared" si="4"/>
        <v>0</v>
      </c>
      <c r="AY95" s="1">
        <f t="shared" si="4"/>
        <v>0</v>
      </c>
      <c r="AZ95" s="1">
        <f t="shared" si="4"/>
        <v>0</v>
      </c>
      <c r="BA95" s="1">
        <f t="shared" si="4"/>
        <v>25715065</v>
      </c>
      <c r="BB95" s="1">
        <f t="shared" si="4"/>
        <v>0</v>
      </c>
      <c r="BC95" s="1">
        <f t="shared" si="4"/>
        <v>0</v>
      </c>
      <c r="BD95" s="1">
        <f t="shared" si="4"/>
        <v>0</v>
      </c>
      <c r="BE95" s="1">
        <f t="shared" si="4"/>
        <v>0</v>
      </c>
      <c r="BF95" s="1">
        <f t="shared" si="4"/>
        <v>17497866</v>
      </c>
      <c r="BG95" s="1">
        <f t="shared" si="4"/>
        <v>0</v>
      </c>
      <c r="BH95" s="1">
        <f t="shared" si="4"/>
        <v>0</v>
      </c>
      <c r="BI95" s="1">
        <f t="shared" si="4"/>
        <v>0</v>
      </c>
      <c r="BJ95" s="1">
        <f t="shared" si="4"/>
        <v>0</v>
      </c>
      <c r="BK95" s="1">
        <f t="shared" si="4"/>
        <v>-32267535</v>
      </c>
      <c r="BL95" s="1">
        <f t="shared" si="4"/>
        <v>0</v>
      </c>
      <c r="BM95" s="1">
        <f t="shared" si="4"/>
        <v>0</v>
      </c>
      <c r="BN95" s="1">
        <f t="shared" si="4"/>
        <v>0</v>
      </c>
      <c r="BO95" s="1">
        <f t="shared" si="4"/>
        <v>0</v>
      </c>
      <c r="BP95" s="1">
        <f t="shared" si="4"/>
        <v>-30466846</v>
      </c>
      <c r="BQ95" s="1">
        <f t="shared" si="4"/>
        <v>0</v>
      </c>
      <c r="BR95" s="1">
        <f t="shared" si="4"/>
        <v>0</v>
      </c>
      <c r="BS95" s="1">
        <f t="shared" si="4"/>
        <v>0</v>
      </c>
      <c r="BT95" s="1">
        <f t="shared" si="4"/>
        <v>0</v>
      </c>
      <c r="BU95" s="1">
        <f t="shared" si="4"/>
        <v>233757185.74399996</v>
      </c>
    </row>
    <row r="96" spans="3:78" hidden="1" x14ac:dyDescent="0.2">
      <c r="M96" s="1">
        <f t="shared" si="3"/>
        <v>-3042815</v>
      </c>
      <c r="N96" s="1">
        <f t="shared" si="3"/>
        <v>0</v>
      </c>
      <c r="O96" s="1">
        <f t="shared" si="3"/>
        <v>0</v>
      </c>
      <c r="P96" s="1">
        <f t="shared" si="3"/>
        <v>0</v>
      </c>
      <c r="Q96" s="1">
        <f t="shared" si="3"/>
        <v>0</v>
      </c>
      <c r="R96" s="1">
        <f t="shared" si="3"/>
        <v>-2405672</v>
      </c>
      <c r="S96" s="1">
        <f t="shared" si="3"/>
        <v>0</v>
      </c>
      <c r="T96" s="1">
        <f t="shared" si="3"/>
        <v>0</v>
      </c>
      <c r="U96" s="1">
        <f t="shared" si="3"/>
        <v>0</v>
      </c>
      <c r="V96" s="1">
        <f t="shared" si="3"/>
        <v>0</v>
      </c>
      <c r="W96" s="1">
        <f t="shared" si="3"/>
        <v>-4417363</v>
      </c>
      <c r="X96" s="1">
        <f t="shared" si="3"/>
        <v>0</v>
      </c>
      <c r="Y96" s="1">
        <f t="shared" si="3"/>
        <v>0</v>
      </c>
      <c r="Z96" s="1">
        <f t="shared" si="3"/>
        <v>0</v>
      </c>
      <c r="AA96" s="1">
        <f t="shared" si="3"/>
        <v>0</v>
      </c>
      <c r="AB96" s="1">
        <f t="shared" si="3"/>
        <v>-7271559</v>
      </c>
      <c r="AC96" s="1">
        <f t="shared" si="4"/>
        <v>0</v>
      </c>
      <c r="AD96" s="1">
        <f t="shared" si="4"/>
        <v>0</v>
      </c>
      <c r="AE96" s="1">
        <f t="shared" si="4"/>
        <v>0</v>
      </c>
      <c r="AF96" s="1">
        <f t="shared" si="4"/>
        <v>0</v>
      </c>
      <c r="AG96" s="1">
        <f t="shared" si="4"/>
        <v>-4454700</v>
      </c>
      <c r="AH96" s="1">
        <f t="shared" si="4"/>
        <v>0</v>
      </c>
      <c r="AI96" s="1">
        <f t="shared" si="4"/>
        <v>0</v>
      </c>
      <c r="AJ96" s="1">
        <f t="shared" si="4"/>
        <v>0</v>
      </c>
      <c r="AK96" s="1">
        <f t="shared" si="4"/>
        <v>0</v>
      </c>
      <c r="AL96" s="1">
        <f t="shared" si="4"/>
        <v>-8318990</v>
      </c>
      <c r="AM96" s="1">
        <f t="shared" si="4"/>
        <v>0</v>
      </c>
      <c r="AN96" s="1">
        <f t="shared" si="4"/>
        <v>0</v>
      </c>
      <c r="AO96" s="1">
        <f t="shared" si="4"/>
        <v>0</v>
      </c>
      <c r="AP96" s="1">
        <f t="shared" si="4"/>
        <v>0</v>
      </c>
      <c r="AQ96" s="1">
        <f t="shared" si="4"/>
        <v>-6173253</v>
      </c>
      <c r="AR96" s="1">
        <f t="shared" si="4"/>
        <v>0</v>
      </c>
      <c r="AS96" s="1">
        <f t="shared" si="4"/>
        <v>0</v>
      </c>
      <c r="AT96" s="1">
        <f t="shared" si="4"/>
        <v>0</v>
      </c>
      <c r="AU96" s="1">
        <f t="shared" si="4"/>
        <v>0</v>
      </c>
      <c r="AV96" s="1">
        <f t="shared" si="4"/>
        <v>-3697829</v>
      </c>
      <c r="AW96" s="1">
        <f t="shared" si="4"/>
        <v>0</v>
      </c>
      <c r="AX96" s="1">
        <f t="shared" si="4"/>
        <v>0</v>
      </c>
      <c r="AY96" s="1">
        <f t="shared" si="4"/>
        <v>0</v>
      </c>
      <c r="AZ96" s="1">
        <f t="shared" si="4"/>
        <v>0</v>
      </c>
      <c r="BA96" s="1">
        <f t="shared" si="4"/>
        <v>-4046770</v>
      </c>
      <c r="BB96" s="1">
        <f t="shared" si="4"/>
        <v>0</v>
      </c>
      <c r="BC96" s="1">
        <f t="shared" si="4"/>
        <v>0</v>
      </c>
      <c r="BD96" s="1">
        <f t="shared" si="4"/>
        <v>0</v>
      </c>
      <c r="BE96" s="1">
        <f t="shared" si="4"/>
        <v>0</v>
      </c>
      <c r="BF96" s="1">
        <f t="shared" si="4"/>
        <v>-1707188</v>
      </c>
      <c r="BG96" s="1">
        <f t="shared" si="4"/>
        <v>0</v>
      </c>
      <c r="BH96" s="1">
        <f t="shared" si="4"/>
        <v>0</v>
      </c>
      <c r="BI96" s="1">
        <f t="shared" si="4"/>
        <v>0</v>
      </c>
      <c r="BJ96" s="1">
        <f t="shared" si="4"/>
        <v>0</v>
      </c>
      <c r="BK96" s="1">
        <f t="shared" si="4"/>
        <v>2868557</v>
      </c>
      <c r="BL96" s="1">
        <f t="shared" si="4"/>
        <v>0</v>
      </c>
      <c r="BM96" s="1">
        <f t="shared" si="4"/>
        <v>0</v>
      </c>
      <c r="BN96" s="1">
        <f t="shared" si="4"/>
        <v>0</v>
      </c>
      <c r="BO96" s="1">
        <f t="shared" si="4"/>
        <v>0</v>
      </c>
      <c r="BP96" s="1">
        <f t="shared" si="4"/>
        <v>4752306</v>
      </c>
      <c r="BQ96" s="1">
        <f t="shared" si="4"/>
        <v>0</v>
      </c>
      <c r="BR96" s="1">
        <f t="shared" si="4"/>
        <v>0</v>
      </c>
      <c r="BS96" s="1">
        <f t="shared" si="4"/>
        <v>0</v>
      </c>
      <c r="BT96" s="1">
        <f t="shared" si="4"/>
        <v>0</v>
      </c>
      <c r="BU96" s="1">
        <f t="shared" si="4"/>
        <v>-45536139</v>
      </c>
      <c r="BW96" s="1">
        <f>-[31]domredemp!BV98</f>
        <v>0</v>
      </c>
    </row>
    <row r="97" spans="13:75" hidden="1" x14ac:dyDescent="0.2">
      <c r="M97" s="1" t="e">
        <f>#REF!-#REF!</f>
        <v>#REF!</v>
      </c>
      <c r="N97" s="1" t="e">
        <f>#REF!-#REF!</f>
        <v>#REF!</v>
      </c>
      <c r="O97" s="1" t="e">
        <f>#REF!-#REF!</f>
        <v>#REF!</v>
      </c>
      <c r="P97" s="1" t="e">
        <f>#REF!-#REF!</f>
        <v>#REF!</v>
      </c>
      <c r="Q97" s="1" t="e">
        <f>#REF!-#REF!</f>
        <v>#REF!</v>
      </c>
      <c r="R97" s="1" t="e">
        <f>#REF!-#REF!</f>
        <v>#REF!</v>
      </c>
      <c r="S97" s="1" t="e">
        <f>#REF!-#REF!</f>
        <v>#REF!</v>
      </c>
      <c r="T97" s="1" t="e">
        <f>#REF!-#REF!</f>
        <v>#REF!</v>
      </c>
      <c r="U97" s="1" t="e">
        <f>#REF!-#REF!</f>
        <v>#REF!</v>
      </c>
      <c r="V97" s="1" t="e">
        <f>#REF!-#REF!</f>
        <v>#REF!</v>
      </c>
      <c r="W97" s="1" t="e">
        <f>#REF!-#REF!</f>
        <v>#REF!</v>
      </c>
      <c r="X97" s="1" t="e">
        <f>#REF!-#REF!</f>
        <v>#REF!</v>
      </c>
      <c r="Y97" s="1" t="e">
        <f>#REF!-#REF!</f>
        <v>#REF!</v>
      </c>
      <c r="Z97" s="1" t="e">
        <f>#REF!-#REF!</f>
        <v>#REF!</v>
      </c>
      <c r="AA97" s="1" t="e">
        <f>#REF!-#REF!</f>
        <v>#REF!</v>
      </c>
      <c r="AB97" s="1" t="e">
        <f>#REF!-#REF!</f>
        <v>#REF!</v>
      </c>
      <c r="AC97" s="1" t="e">
        <f>#REF!-#REF!</f>
        <v>#REF!</v>
      </c>
      <c r="AD97" s="1" t="e">
        <f>#REF!-#REF!</f>
        <v>#REF!</v>
      </c>
      <c r="AE97" s="1" t="e">
        <f>#REF!-#REF!</f>
        <v>#REF!</v>
      </c>
      <c r="AF97" s="1" t="e">
        <f>#REF!-#REF!</f>
        <v>#REF!</v>
      </c>
      <c r="AG97" s="1" t="e">
        <f>#REF!-#REF!</f>
        <v>#REF!</v>
      </c>
      <c r="AH97" s="1" t="e">
        <f>#REF!-#REF!</f>
        <v>#REF!</v>
      </c>
      <c r="AI97" s="1" t="e">
        <f>#REF!-#REF!</f>
        <v>#REF!</v>
      </c>
      <c r="AJ97" s="1" t="e">
        <f>#REF!-#REF!</f>
        <v>#REF!</v>
      </c>
      <c r="AK97" s="1" t="e">
        <f>#REF!-#REF!</f>
        <v>#REF!</v>
      </c>
      <c r="AL97" s="1" t="e">
        <f>#REF!-#REF!</f>
        <v>#REF!</v>
      </c>
      <c r="AM97" s="1" t="e">
        <f>#REF!-#REF!</f>
        <v>#REF!</v>
      </c>
      <c r="AN97" s="1" t="e">
        <f>#REF!-#REF!</f>
        <v>#REF!</v>
      </c>
      <c r="AO97" s="1" t="e">
        <f>#REF!-#REF!</f>
        <v>#REF!</v>
      </c>
      <c r="AP97" s="1" t="e">
        <f>#REF!-#REF!</f>
        <v>#REF!</v>
      </c>
      <c r="AQ97" s="1" t="e">
        <f>#REF!-#REF!</f>
        <v>#REF!</v>
      </c>
      <c r="AR97" s="1" t="e">
        <f>#REF!-#REF!</f>
        <v>#REF!</v>
      </c>
      <c r="AS97" s="1" t="e">
        <f>#REF!-#REF!</f>
        <v>#REF!</v>
      </c>
      <c r="AT97" s="1" t="e">
        <f>#REF!-#REF!</f>
        <v>#REF!</v>
      </c>
      <c r="AU97" s="1" t="e">
        <f>#REF!-#REF!</f>
        <v>#REF!</v>
      </c>
      <c r="AV97" s="1" t="e">
        <f>#REF!-#REF!</f>
        <v>#REF!</v>
      </c>
      <c r="AW97" s="1" t="e">
        <f>#REF!-#REF!</f>
        <v>#REF!</v>
      </c>
      <c r="AX97" s="1" t="e">
        <f>#REF!-#REF!</f>
        <v>#REF!</v>
      </c>
      <c r="AY97" s="1" t="e">
        <f>#REF!-#REF!</f>
        <v>#REF!</v>
      </c>
      <c r="AZ97" s="1" t="e">
        <f>#REF!-#REF!</f>
        <v>#REF!</v>
      </c>
      <c r="BA97" s="1" t="e">
        <f>#REF!-#REF!</f>
        <v>#REF!</v>
      </c>
      <c r="BB97" s="1" t="e">
        <f>#REF!-#REF!</f>
        <v>#REF!</v>
      </c>
      <c r="BC97" s="1" t="e">
        <f>#REF!-#REF!</f>
        <v>#REF!</v>
      </c>
      <c r="BD97" s="1" t="e">
        <f>#REF!-#REF!</f>
        <v>#REF!</v>
      </c>
      <c r="BE97" s="1" t="e">
        <f>#REF!-#REF!</f>
        <v>#REF!</v>
      </c>
      <c r="BF97" s="1" t="e">
        <f>#REF!-#REF!</f>
        <v>#REF!</v>
      </c>
      <c r="BG97" s="1" t="e">
        <f>#REF!-#REF!</f>
        <v>#REF!</v>
      </c>
      <c r="BH97" s="1" t="e">
        <f>#REF!-#REF!</f>
        <v>#REF!</v>
      </c>
      <c r="BI97" s="1" t="e">
        <f>#REF!-#REF!</f>
        <v>#REF!</v>
      </c>
      <c r="BJ97" s="1" t="e">
        <f>#REF!-#REF!</f>
        <v>#REF!</v>
      </c>
      <c r="BK97" s="1" t="e">
        <f>#REF!-#REF!</f>
        <v>#REF!</v>
      </c>
      <c r="BL97" s="1" t="e">
        <f>#REF!-#REF!</f>
        <v>#REF!</v>
      </c>
      <c r="BM97" s="1" t="e">
        <f>#REF!-#REF!</f>
        <v>#REF!</v>
      </c>
      <c r="BN97" s="1" t="e">
        <f>#REF!-#REF!</f>
        <v>#REF!</v>
      </c>
      <c r="BO97" s="1" t="e">
        <f>#REF!-#REF!</f>
        <v>#REF!</v>
      </c>
      <c r="BP97" s="1" t="e">
        <f>#REF!-#REF!</f>
        <v>#REF!</v>
      </c>
      <c r="BQ97" s="1" t="e">
        <f>#REF!-#REF!</f>
        <v>#REF!</v>
      </c>
      <c r="BR97" s="1" t="e">
        <f>#REF!-#REF!</f>
        <v>#REF!</v>
      </c>
      <c r="BS97" s="1" t="e">
        <f>#REF!-#REF!</f>
        <v>#REF!</v>
      </c>
      <c r="BT97" s="1" t="e">
        <f>#REF!-#REF!</f>
        <v>#REF!</v>
      </c>
      <c r="BU97" s="1" t="e">
        <f>#REF!-#REF!</f>
        <v>#REF!</v>
      </c>
      <c r="BW97" s="1">
        <f>-[31]domredemp!BV101+[31]domredemp!BV211</f>
        <v>0</v>
      </c>
    </row>
    <row r="98" spans="13:75" hidden="1" x14ac:dyDescent="0.2">
      <c r="M98" s="1">
        <f t="shared" ref="M98:BU102" si="5">M27-CE27</f>
        <v>-865625</v>
      </c>
      <c r="N98" s="1">
        <f t="shared" si="5"/>
        <v>0</v>
      </c>
      <c r="O98" s="1">
        <f t="shared" si="5"/>
        <v>0</v>
      </c>
      <c r="P98" s="1">
        <f t="shared" si="5"/>
        <v>0</v>
      </c>
      <c r="Q98" s="1">
        <f t="shared" si="5"/>
        <v>0</v>
      </c>
      <c r="R98" s="1">
        <f t="shared" si="5"/>
        <v>-80653</v>
      </c>
      <c r="S98" s="1">
        <f t="shared" si="5"/>
        <v>0</v>
      </c>
      <c r="T98" s="1">
        <f t="shared" si="5"/>
        <v>0</v>
      </c>
      <c r="U98" s="1">
        <f t="shared" si="5"/>
        <v>0</v>
      </c>
      <c r="V98" s="1">
        <f t="shared" si="5"/>
        <v>0</v>
      </c>
      <c r="W98" s="1">
        <f t="shared" si="5"/>
        <v>138531</v>
      </c>
      <c r="X98" s="1">
        <f t="shared" si="5"/>
        <v>0</v>
      </c>
      <c r="Y98" s="1">
        <f t="shared" si="5"/>
        <v>0</v>
      </c>
      <c r="Z98" s="1">
        <f t="shared" si="5"/>
        <v>0</v>
      </c>
      <c r="AA98" s="1">
        <f t="shared" si="5"/>
        <v>0</v>
      </c>
      <c r="AB98" s="1">
        <f t="shared" si="5"/>
        <v>-99946</v>
      </c>
      <c r="AC98" s="1">
        <f t="shared" si="5"/>
        <v>0</v>
      </c>
      <c r="AD98" s="1">
        <f t="shared" si="5"/>
        <v>0</v>
      </c>
      <c r="AE98" s="1">
        <f t="shared" si="5"/>
        <v>0</v>
      </c>
      <c r="AF98" s="1">
        <f t="shared" si="5"/>
        <v>0</v>
      </c>
      <c r="AG98" s="1">
        <f t="shared" si="5"/>
        <v>104748</v>
      </c>
      <c r="AH98" s="1">
        <f t="shared" si="5"/>
        <v>0</v>
      </c>
      <c r="AI98" s="1">
        <f t="shared" si="5"/>
        <v>0</v>
      </c>
      <c r="AJ98" s="1">
        <f t="shared" si="5"/>
        <v>0</v>
      </c>
      <c r="AK98" s="1">
        <f t="shared" si="5"/>
        <v>0</v>
      </c>
      <c r="AL98" s="1">
        <f t="shared" si="5"/>
        <v>241378</v>
      </c>
      <c r="AM98" s="1">
        <f t="shared" si="5"/>
        <v>0</v>
      </c>
      <c r="AN98" s="1">
        <f t="shared" si="5"/>
        <v>0</v>
      </c>
      <c r="AO98" s="1">
        <f t="shared" si="5"/>
        <v>0</v>
      </c>
      <c r="AP98" s="1">
        <f t="shared" si="5"/>
        <v>0</v>
      </c>
      <c r="AQ98" s="1">
        <f t="shared" si="5"/>
        <v>-142358</v>
      </c>
      <c r="AR98" s="1">
        <f t="shared" si="5"/>
        <v>0</v>
      </c>
      <c r="AS98" s="1">
        <f t="shared" si="5"/>
        <v>0</v>
      </c>
      <c r="AT98" s="1">
        <f t="shared" si="5"/>
        <v>0</v>
      </c>
      <c r="AU98" s="1">
        <f t="shared" si="5"/>
        <v>0</v>
      </c>
      <c r="AV98" s="1">
        <f t="shared" si="5"/>
        <v>58546</v>
      </c>
      <c r="AW98" s="1">
        <f t="shared" si="5"/>
        <v>0</v>
      </c>
      <c r="AX98" s="1">
        <f t="shared" si="5"/>
        <v>0</v>
      </c>
      <c r="AY98" s="1">
        <f t="shared" si="5"/>
        <v>0</v>
      </c>
      <c r="AZ98" s="1">
        <f t="shared" si="5"/>
        <v>0</v>
      </c>
      <c r="BA98" s="1">
        <f t="shared" si="5"/>
        <v>275994</v>
      </c>
      <c r="BB98" s="1">
        <f t="shared" si="5"/>
        <v>0</v>
      </c>
      <c r="BC98" s="1">
        <f t="shared" si="5"/>
        <v>0</v>
      </c>
      <c r="BD98" s="1">
        <f t="shared" si="5"/>
        <v>0</v>
      </c>
      <c r="BE98" s="1">
        <f t="shared" si="5"/>
        <v>0</v>
      </c>
      <c r="BF98" s="1">
        <f t="shared" si="5"/>
        <v>15731765</v>
      </c>
      <c r="BG98" s="1">
        <f t="shared" si="5"/>
        <v>0</v>
      </c>
      <c r="BH98" s="1">
        <f t="shared" si="5"/>
        <v>0</v>
      </c>
      <c r="BI98" s="1">
        <f t="shared" si="5"/>
        <v>0</v>
      </c>
      <c r="BJ98" s="1">
        <f t="shared" si="5"/>
        <v>0</v>
      </c>
      <c r="BK98" s="1">
        <f t="shared" si="5"/>
        <v>239823</v>
      </c>
      <c r="BL98" s="1">
        <f t="shared" si="5"/>
        <v>0</v>
      </c>
      <c r="BM98" s="1">
        <f t="shared" si="5"/>
        <v>0</v>
      </c>
      <c r="BN98" s="1">
        <f t="shared" si="5"/>
        <v>0</v>
      </c>
      <c r="BO98" s="1">
        <f t="shared" si="5"/>
        <v>0</v>
      </c>
      <c r="BP98" s="1">
        <f t="shared" si="5"/>
        <v>297490</v>
      </c>
      <c r="BQ98" s="1">
        <f t="shared" si="5"/>
        <v>0</v>
      </c>
      <c r="BR98" s="1">
        <f t="shared" si="5"/>
        <v>0</v>
      </c>
      <c r="BS98" s="1">
        <f t="shared" si="5"/>
        <v>0</v>
      </c>
      <c r="BT98" s="1">
        <f t="shared" si="5"/>
        <v>0</v>
      </c>
      <c r="BU98" s="1">
        <f t="shared" si="5"/>
        <v>15362380</v>
      </c>
    </row>
    <row r="99" spans="13:75" hidden="1" x14ac:dyDescent="0.2">
      <c r="M99" s="1">
        <f t="shared" si="5"/>
        <v>0</v>
      </c>
      <c r="N99" s="1">
        <f t="shared" si="5"/>
        <v>0</v>
      </c>
      <c r="O99" s="1">
        <f t="shared" si="5"/>
        <v>0</v>
      </c>
      <c r="P99" s="1">
        <f t="shared" si="5"/>
        <v>0</v>
      </c>
      <c r="Q99" s="1">
        <f t="shared" si="5"/>
        <v>0</v>
      </c>
      <c r="R99" s="1">
        <f t="shared" si="5"/>
        <v>0</v>
      </c>
      <c r="S99" s="1">
        <f t="shared" si="5"/>
        <v>0</v>
      </c>
      <c r="T99" s="1">
        <f t="shared" si="5"/>
        <v>0</v>
      </c>
      <c r="U99" s="1">
        <f t="shared" si="5"/>
        <v>0</v>
      </c>
      <c r="V99" s="1">
        <f t="shared" si="5"/>
        <v>0</v>
      </c>
      <c r="W99" s="1">
        <f t="shared" si="5"/>
        <v>0</v>
      </c>
      <c r="X99" s="1">
        <f t="shared" si="5"/>
        <v>0</v>
      </c>
      <c r="Y99" s="1">
        <f t="shared" si="5"/>
        <v>0</v>
      </c>
      <c r="Z99" s="1">
        <f t="shared" si="5"/>
        <v>0</v>
      </c>
      <c r="AA99" s="1">
        <f t="shared" si="5"/>
        <v>0</v>
      </c>
      <c r="AB99" s="1">
        <f t="shared" si="5"/>
        <v>0</v>
      </c>
      <c r="AC99" s="1">
        <f t="shared" si="5"/>
        <v>0</v>
      </c>
      <c r="AD99" s="1">
        <f t="shared" si="5"/>
        <v>0</v>
      </c>
      <c r="AE99" s="1">
        <f t="shared" si="5"/>
        <v>0</v>
      </c>
      <c r="AF99" s="1">
        <f t="shared" si="5"/>
        <v>0</v>
      </c>
      <c r="AG99" s="1">
        <f t="shared" si="5"/>
        <v>0</v>
      </c>
      <c r="AH99" s="1">
        <f t="shared" si="5"/>
        <v>0</v>
      </c>
      <c r="AI99" s="1">
        <f t="shared" si="5"/>
        <v>0</v>
      </c>
      <c r="AJ99" s="1">
        <f t="shared" si="5"/>
        <v>0</v>
      </c>
      <c r="AK99" s="1">
        <f t="shared" si="5"/>
        <v>0</v>
      </c>
      <c r="AL99" s="1">
        <f t="shared" si="5"/>
        <v>0</v>
      </c>
      <c r="AM99" s="1">
        <f t="shared" si="5"/>
        <v>0</v>
      </c>
      <c r="AN99" s="1">
        <f t="shared" si="5"/>
        <v>0</v>
      </c>
      <c r="AO99" s="1">
        <f t="shared" si="5"/>
        <v>0</v>
      </c>
      <c r="AP99" s="1">
        <f t="shared" si="5"/>
        <v>0</v>
      </c>
      <c r="AQ99" s="1">
        <f t="shared" si="5"/>
        <v>0</v>
      </c>
      <c r="AR99" s="1">
        <f t="shared" si="5"/>
        <v>0</v>
      </c>
      <c r="AS99" s="1">
        <f t="shared" si="5"/>
        <v>0</v>
      </c>
      <c r="AT99" s="1">
        <f t="shared" si="5"/>
        <v>0</v>
      </c>
      <c r="AU99" s="1">
        <f t="shared" si="5"/>
        <v>0</v>
      </c>
      <c r="AV99" s="1">
        <f t="shared" si="5"/>
        <v>0</v>
      </c>
      <c r="AW99" s="1">
        <f t="shared" si="5"/>
        <v>0</v>
      </c>
      <c r="AX99" s="1">
        <f t="shared" si="5"/>
        <v>0</v>
      </c>
      <c r="AY99" s="1">
        <f t="shared" si="5"/>
        <v>0</v>
      </c>
      <c r="AZ99" s="1">
        <f t="shared" si="5"/>
        <v>0</v>
      </c>
      <c r="BA99" s="1">
        <f t="shared" si="5"/>
        <v>0</v>
      </c>
      <c r="BB99" s="1">
        <f t="shared" si="5"/>
        <v>0</v>
      </c>
      <c r="BC99" s="1">
        <f t="shared" si="5"/>
        <v>0</v>
      </c>
      <c r="BD99" s="1">
        <f t="shared" si="5"/>
        <v>0</v>
      </c>
      <c r="BE99" s="1">
        <f t="shared" si="5"/>
        <v>0</v>
      </c>
      <c r="BF99" s="1">
        <f t="shared" si="5"/>
        <v>0</v>
      </c>
      <c r="BG99" s="1">
        <f t="shared" si="5"/>
        <v>0</v>
      </c>
      <c r="BH99" s="1">
        <f t="shared" si="5"/>
        <v>0</v>
      </c>
      <c r="BI99" s="1">
        <f t="shared" si="5"/>
        <v>0</v>
      </c>
      <c r="BJ99" s="1">
        <f t="shared" si="5"/>
        <v>0</v>
      </c>
      <c r="BK99" s="1">
        <f t="shared" si="5"/>
        <v>0</v>
      </c>
      <c r="BL99" s="1">
        <f t="shared" si="5"/>
        <v>0</v>
      </c>
      <c r="BM99" s="1">
        <f t="shared" si="5"/>
        <v>0</v>
      </c>
      <c r="BN99" s="1">
        <f t="shared" si="5"/>
        <v>0</v>
      </c>
      <c r="BO99" s="1">
        <f t="shared" si="5"/>
        <v>0</v>
      </c>
      <c r="BP99" s="1">
        <f t="shared" si="5"/>
        <v>0</v>
      </c>
      <c r="BQ99" s="1">
        <f t="shared" si="5"/>
        <v>0</v>
      </c>
      <c r="BR99" s="1">
        <f t="shared" si="5"/>
        <v>0</v>
      </c>
      <c r="BS99" s="1">
        <f t="shared" si="5"/>
        <v>0</v>
      </c>
      <c r="BT99" s="1">
        <f t="shared" si="5"/>
        <v>0</v>
      </c>
      <c r="BU99" s="1">
        <f t="shared" si="5"/>
        <v>0</v>
      </c>
      <c r="BW99" s="1">
        <f>SUM(BW100:BW102)</f>
        <v>0</v>
      </c>
    </row>
    <row r="100" spans="13:75" hidden="1" x14ac:dyDescent="0.2">
      <c r="M100" s="1">
        <f t="shared" si="5"/>
        <v>0</v>
      </c>
      <c r="N100" s="1">
        <f t="shared" si="5"/>
        <v>0</v>
      </c>
      <c r="O100" s="1">
        <f t="shared" si="5"/>
        <v>0</v>
      </c>
      <c r="P100" s="1">
        <f t="shared" si="5"/>
        <v>0</v>
      </c>
      <c r="Q100" s="1">
        <f t="shared" si="5"/>
        <v>0</v>
      </c>
      <c r="R100" s="1">
        <f t="shared" si="5"/>
        <v>0</v>
      </c>
      <c r="S100" s="1">
        <f t="shared" si="5"/>
        <v>0</v>
      </c>
      <c r="T100" s="1">
        <f t="shared" si="5"/>
        <v>0</v>
      </c>
      <c r="U100" s="1">
        <f t="shared" si="5"/>
        <v>0</v>
      </c>
      <c r="V100" s="1">
        <f t="shared" si="5"/>
        <v>0</v>
      </c>
      <c r="W100" s="1">
        <f t="shared" si="5"/>
        <v>0</v>
      </c>
      <c r="X100" s="1">
        <f t="shared" si="5"/>
        <v>0</v>
      </c>
      <c r="Y100" s="1">
        <f t="shared" si="5"/>
        <v>0</v>
      </c>
      <c r="Z100" s="1">
        <f t="shared" si="5"/>
        <v>0</v>
      </c>
      <c r="AA100" s="1">
        <f t="shared" si="5"/>
        <v>0</v>
      </c>
      <c r="AB100" s="1">
        <f t="shared" si="5"/>
        <v>0</v>
      </c>
      <c r="AC100" s="1">
        <f t="shared" si="5"/>
        <v>0</v>
      </c>
      <c r="AD100" s="1">
        <f t="shared" si="5"/>
        <v>0</v>
      </c>
      <c r="AE100" s="1">
        <f t="shared" si="5"/>
        <v>0</v>
      </c>
      <c r="AF100" s="1">
        <f t="shared" si="5"/>
        <v>0</v>
      </c>
      <c r="AG100" s="1">
        <f t="shared" si="5"/>
        <v>0</v>
      </c>
      <c r="AH100" s="1">
        <f t="shared" si="5"/>
        <v>0</v>
      </c>
      <c r="AI100" s="1">
        <f t="shared" si="5"/>
        <v>0</v>
      </c>
      <c r="AJ100" s="1">
        <f t="shared" si="5"/>
        <v>0</v>
      </c>
      <c r="AK100" s="1">
        <f t="shared" si="5"/>
        <v>0</v>
      </c>
      <c r="AL100" s="1">
        <f t="shared" si="5"/>
        <v>0</v>
      </c>
      <c r="AM100" s="1">
        <f t="shared" si="5"/>
        <v>0</v>
      </c>
      <c r="AN100" s="1">
        <f t="shared" si="5"/>
        <v>0</v>
      </c>
      <c r="AO100" s="1">
        <f t="shared" si="5"/>
        <v>0</v>
      </c>
      <c r="AP100" s="1">
        <f t="shared" si="5"/>
        <v>0</v>
      </c>
      <c r="AQ100" s="1">
        <f t="shared" si="5"/>
        <v>0</v>
      </c>
      <c r="AR100" s="1">
        <f t="shared" si="5"/>
        <v>0</v>
      </c>
      <c r="AS100" s="1">
        <f t="shared" si="5"/>
        <v>0</v>
      </c>
      <c r="AT100" s="1">
        <f t="shared" si="5"/>
        <v>0</v>
      </c>
      <c r="AU100" s="1">
        <f t="shared" si="5"/>
        <v>0</v>
      </c>
      <c r="AV100" s="1">
        <f t="shared" si="5"/>
        <v>0</v>
      </c>
      <c r="AW100" s="1">
        <f t="shared" si="5"/>
        <v>0</v>
      </c>
      <c r="AX100" s="1">
        <f t="shared" si="5"/>
        <v>0</v>
      </c>
      <c r="AY100" s="1">
        <f t="shared" si="5"/>
        <v>0</v>
      </c>
      <c r="AZ100" s="1">
        <f t="shared" si="5"/>
        <v>0</v>
      </c>
      <c r="BA100" s="1">
        <f t="shared" si="5"/>
        <v>0</v>
      </c>
      <c r="BB100" s="1">
        <f t="shared" si="5"/>
        <v>0</v>
      </c>
      <c r="BC100" s="1">
        <f t="shared" si="5"/>
        <v>0</v>
      </c>
      <c r="BD100" s="1">
        <f t="shared" si="5"/>
        <v>0</v>
      </c>
      <c r="BE100" s="1">
        <f t="shared" si="5"/>
        <v>0</v>
      </c>
      <c r="BF100" s="1">
        <f t="shared" si="5"/>
        <v>0</v>
      </c>
      <c r="BG100" s="1">
        <f t="shared" si="5"/>
        <v>0</v>
      </c>
      <c r="BH100" s="1">
        <f t="shared" si="5"/>
        <v>0</v>
      </c>
      <c r="BI100" s="1">
        <f t="shared" si="5"/>
        <v>0</v>
      </c>
      <c r="BJ100" s="1">
        <f t="shared" si="5"/>
        <v>0</v>
      </c>
      <c r="BK100" s="1">
        <f t="shared" si="5"/>
        <v>0</v>
      </c>
      <c r="BL100" s="1">
        <f t="shared" si="5"/>
        <v>0</v>
      </c>
      <c r="BM100" s="1">
        <f t="shared" si="5"/>
        <v>0</v>
      </c>
      <c r="BN100" s="1">
        <f t="shared" si="5"/>
        <v>0</v>
      </c>
      <c r="BO100" s="1">
        <f t="shared" si="5"/>
        <v>0</v>
      </c>
      <c r="BP100" s="1">
        <f t="shared" si="5"/>
        <v>0</v>
      </c>
      <c r="BQ100" s="1">
        <f t="shared" si="5"/>
        <v>0</v>
      </c>
      <c r="BR100" s="1">
        <f t="shared" si="5"/>
        <v>0</v>
      </c>
      <c r="BS100" s="1">
        <f t="shared" si="5"/>
        <v>0</v>
      </c>
      <c r="BT100" s="1">
        <f t="shared" si="5"/>
        <v>0</v>
      </c>
      <c r="BU100" s="1">
        <f t="shared" si="5"/>
        <v>0</v>
      </c>
      <c r="BW100" s="1">
        <f>[31]domlongtermissues!BV97</f>
        <v>0</v>
      </c>
    </row>
    <row r="101" spans="13:75" hidden="1" x14ac:dyDescent="0.2">
      <c r="M101" s="1">
        <f t="shared" si="5"/>
        <v>0</v>
      </c>
      <c r="N101" s="1">
        <f t="shared" si="5"/>
        <v>0</v>
      </c>
      <c r="O101" s="1">
        <f t="shared" si="5"/>
        <v>0</v>
      </c>
      <c r="P101" s="1">
        <f t="shared" si="5"/>
        <v>0</v>
      </c>
      <c r="Q101" s="1">
        <f t="shared" si="5"/>
        <v>0</v>
      </c>
      <c r="R101" s="1">
        <f t="shared" si="5"/>
        <v>289290</v>
      </c>
      <c r="S101" s="1">
        <f t="shared" si="5"/>
        <v>0</v>
      </c>
      <c r="T101" s="1">
        <f t="shared" si="5"/>
        <v>0</v>
      </c>
      <c r="U101" s="1">
        <f t="shared" si="5"/>
        <v>0</v>
      </c>
      <c r="V101" s="1">
        <f t="shared" si="5"/>
        <v>0</v>
      </c>
      <c r="W101" s="1">
        <f t="shared" si="5"/>
        <v>0</v>
      </c>
      <c r="X101" s="1">
        <f t="shared" si="5"/>
        <v>0</v>
      </c>
      <c r="Y101" s="1">
        <f t="shared" si="5"/>
        <v>0</v>
      </c>
      <c r="Z101" s="1">
        <f t="shared" si="5"/>
        <v>0</v>
      </c>
      <c r="AA101" s="1">
        <f t="shared" si="5"/>
        <v>0</v>
      </c>
      <c r="AB101" s="1">
        <f t="shared" si="5"/>
        <v>0</v>
      </c>
      <c r="AC101" s="1">
        <f t="shared" si="5"/>
        <v>0</v>
      </c>
      <c r="AD101" s="1">
        <f t="shared" si="5"/>
        <v>0</v>
      </c>
      <c r="AE101" s="1">
        <f t="shared" si="5"/>
        <v>0</v>
      </c>
      <c r="AF101" s="1">
        <f t="shared" si="5"/>
        <v>0</v>
      </c>
      <c r="AG101" s="1">
        <f t="shared" si="5"/>
        <v>0</v>
      </c>
      <c r="AH101" s="1">
        <f t="shared" si="5"/>
        <v>0</v>
      </c>
      <c r="AI101" s="1">
        <f t="shared" si="5"/>
        <v>0</v>
      </c>
      <c r="AJ101" s="1">
        <f t="shared" si="5"/>
        <v>0</v>
      </c>
      <c r="AK101" s="1">
        <f t="shared" si="5"/>
        <v>0</v>
      </c>
      <c r="AL101" s="1">
        <f t="shared" si="5"/>
        <v>0</v>
      </c>
      <c r="AM101" s="1">
        <f t="shared" si="5"/>
        <v>0</v>
      </c>
      <c r="AN101" s="1">
        <f t="shared" si="5"/>
        <v>0</v>
      </c>
      <c r="AO101" s="1">
        <f t="shared" si="5"/>
        <v>0</v>
      </c>
      <c r="AP101" s="1">
        <f t="shared" si="5"/>
        <v>0</v>
      </c>
      <c r="AQ101" s="1">
        <f t="shared" si="5"/>
        <v>0</v>
      </c>
      <c r="AR101" s="1">
        <f t="shared" si="5"/>
        <v>0</v>
      </c>
      <c r="AS101" s="1">
        <f t="shared" si="5"/>
        <v>0</v>
      </c>
      <c r="AT101" s="1">
        <f t="shared" si="5"/>
        <v>0</v>
      </c>
      <c r="AU101" s="1">
        <f t="shared" si="5"/>
        <v>0</v>
      </c>
      <c r="AV101" s="1">
        <f t="shared" si="5"/>
        <v>0</v>
      </c>
      <c r="AW101" s="1">
        <f t="shared" si="5"/>
        <v>0</v>
      </c>
      <c r="AX101" s="1">
        <f t="shared" si="5"/>
        <v>0</v>
      </c>
      <c r="AY101" s="1">
        <f t="shared" si="5"/>
        <v>0</v>
      </c>
      <c r="AZ101" s="1">
        <f t="shared" si="5"/>
        <v>0</v>
      </c>
      <c r="BA101" s="1">
        <f t="shared" si="5"/>
        <v>0</v>
      </c>
      <c r="BB101" s="1">
        <f t="shared" si="5"/>
        <v>0</v>
      </c>
      <c r="BC101" s="1">
        <f t="shared" si="5"/>
        <v>0</v>
      </c>
      <c r="BD101" s="1">
        <f t="shared" si="5"/>
        <v>0</v>
      </c>
      <c r="BE101" s="1">
        <f t="shared" si="5"/>
        <v>0</v>
      </c>
      <c r="BF101" s="1">
        <f t="shared" si="5"/>
        <v>0</v>
      </c>
      <c r="BG101" s="1">
        <f t="shared" si="5"/>
        <v>0</v>
      </c>
      <c r="BH101" s="1">
        <f t="shared" si="5"/>
        <v>0</v>
      </c>
      <c r="BI101" s="1">
        <f t="shared" si="5"/>
        <v>0</v>
      </c>
      <c r="BJ101" s="1">
        <f t="shared" si="5"/>
        <v>0</v>
      </c>
      <c r="BK101" s="1">
        <f t="shared" si="5"/>
        <v>0</v>
      </c>
      <c r="BL101" s="1">
        <f t="shared" si="5"/>
        <v>0</v>
      </c>
      <c r="BM101" s="1">
        <f t="shared" si="5"/>
        <v>0</v>
      </c>
      <c r="BN101" s="1">
        <f t="shared" si="5"/>
        <v>0</v>
      </c>
      <c r="BO101" s="1">
        <f t="shared" si="5"/>
        <v>0</v>
      </c>
      <c r="BP101" s="1">
        <f t="shared" si="5"/>
        <v>0</v>
      </c>
      <c r="BQ101" s="1">
        <f t="shared" si="5"/>
        <v>0</v>
      </c>
      <c r="BR101" s="1">
        <f t="shared" si="5"/>
        <v>0</v>
      </c>
      <c r="BS101" s="1">
        <f t="shared" si="5"/>
        <v>0</v>
      </c>
      <c r="BT101" s="1">
        <f t="shared" si="5"/>
        <v>0</v>
      </c>
      <c r="BU101" s="1">
        <f t="shared" si="5"/>
        <v>289290</v>
      </c>
      <c r="BW101" s="1">
        <f>-[31]domlongtermissues!BV288</f>
        <v>0</v>
      </c>
    </row>
    <row r="102" spans="13:75" hidden="1" x14ac:dyDescent="0.2">
      <c r="M102" s="1">
        <f t="shared" si="5"/>
        <v>0</v>
      </c>
      <c r="N102" s="1">
        <f t="shared" si="5"/>
        <v>0</v>
      </c>
      <c r="O102" s="1">
        <f t="shared" si="5"/>
        <v>0</v>
      </c>
      <c r="P102" s="1">
        <f t="shared" si="5"/>
        <v>0</v>
      </c>
      <c r="Q102" s="1">
        <f t="shared" si="5"/>
        <v>0</v>
      </c>
      <c r="R102" s="1">
        <f t="shared" si="5"/>
        <v>-14152656</v>
      </c>
      <c r="S102" s="1">
        <f t="shared" si="5"/>
        <v>0</v>
      </c>
      <c r="T102" s="1">
        <f t="shared" si="5"/>
        <v>0</v>
      </c>
      <c r="U102" s="1">
        <f t="shared" si="5"/>
        <v>0</v>
      </c>
      <c r="V102" s="1">
        <f t="shared" si="5"/>
        <v>0</v>
      </c>
      <c r="W102" s="1">
        <f t="shared" si="5"/>
        <v>0</v>
      </c>
      <c r="X102" s="1">
        <f t="shared" ref="X102:BU107" si="6">X31-CP31</f>
        <v>0</v>
      </c>
      <c r="Y102" s="1">
        <f t="shared" si="6"/>
        <v>0</v>
      </c>
      <c r="Z102" s="1">
        <f t="shared" si="6"/>
        <v>0</v>
      </c>
      <c r="AA102" s="1">
        <f t="shared" si="6"/>
        <v>0</v>
      </c>
      <c r="AB102" s="1">
        <f t="shared" si="6"/>
        <v>0</v>
      </c>
      <c r="AC102" s="1">
        <f t="shared" si="6"/>
        <v>0</v>
      </c>
      <c r="AD102" s="1">
        <f t="shared" si="6"/>
        <v>0</v>
      </c>
      <c r="AE102" s="1">
        <f t="shared" si="6"/>
        <v>0</v>
      </c>
      <c r="AF102" s="1">
        <f t="shared" si="6"/>
        <v>0</v>
      </c>
      <c r="AG102" s="1">
        <f t="shared" si="6"/>
        <v>0</v>
      </c>
      <c r="AH102" s="1">
        <f t="shared" si="6"/>
        <v>0</v>
      </c>
      <c r="AI102" s="1">
        <f t="shared" si="6"/>
        <v>0</v>
      </c>
      <c r="AJ102" s="1">
        <f t="shared" si="6"/>
        <v>0</v>
      </c>
      <c r="AK102" s="1">
        <f t="shared" si="6"/>
        <v>0</v>
      </c>
      <c r="AL102" s="1">
        <f t="shared" si="6"/>
        <v>0</v>
      </c>
      <c r="AM102" s="1">
        <f t="shared" si="6"/>
        <v>0</v>
      </c>
      <c r="AN102" s="1">
        <f t="shared" si="6"/>
        <v>0</v>
      </c>
      <c r="AO102" s="1">
        <f t="shared" si="6"/>
        <v>0</v>
      </c>
      <c r="AP102" s="1">
        <f t="shared" si="6"/>
        <v>0</v>
      </c>
      <c r="AQ102" s="1">
        <f t="shared" si="6"/>
        <v>0</v>
      </c>
      <c r="AR102" s="1">
        <f t="shared" si="6"/>
        <v>0</v>
      </c>
      <c r="AS102" s="1">
        <f t="shared" si="6"/>
        <v>0</v>
      </c>
      <c r="AT102" s="1">
        <f t="shared" si="6"/>
        <v>0</v>
      </c>
      <c r="AU102" s="1">
        <f t="shared" si="6"/>
        <v>0</v>
      </c>
      <c r="AV102" s="1">
        <f t="shared" si="6"/>
        <v>0</v>
      </c>
      <c r="AW102" s="1">
        <f t="shared" si="6"/>
        <v>0</v>
      </c>
      <c r="AX102" s="1">
        <f t="shared" si="6"/>
        <v>0</v>
      </c>
      <c r="AY102" s="1">
        <f t="shared" si="6"/>
        <v>0</v>
      </c>
      <c r="AZ102" s="1">
        <f t="shared" si="6"/>
        <v>0</v>
      </c>
      <c r="BA102" s="1">
        <f t="shared" si="6"/>
        <v>0</v>
      </c>
      <c r="BB102" s="1">
        <f t="shared" si="6"/>
        <v>0</v>
      </c>
      <c r="BC102" s="1">
        <f t="shared" si="6"/>
        <v>0</v>
      </c>
      <c r="BD102" s="1">
        <f t="shared" si="6"/>
        <v>0</v>
      </c>
      <c r="BE102" s="1">
        <f t="shared" si="6"/>
        <v>0</v>
      </c>
      <c r="BF102" s="1">
        <f t="shared" si="6"/>
        <v>0</v>
      </c>
      <c r="BG102" s="1">
        <f t="shared" si="6"/>
        <v>0</v>
      </c>
      <c r="BH102" s="1">
        <f t="shared" si="6"/>
        <v>0</v>
      </c>
      <c r="BI102" s="1">
        <f t="shared" si="6"/>
        <v>0</v>
      </c>
      <c r="BJ102" s="1">
        <f t="shared" si="6"/>
        <v>0</v>
      </c>
      <c r="BK102" s="1">
        <f t="shared" si="6"/>
        <v>0</v>
      </c>
      <c r="BL102" s="1">
        <f t="shared" si="6"/>
        <v>0</v>
      </c>
      <c r="BM102" s="1">
        <f t="shared" si="6"/>
        <v>0</v>
      </c>
      <c r="BN102" s="1">
        <f t="shared" si="6"/>
        <v>0</v>
      </c>
      <c r="BO102" s="1">
        <f t="shared" si="6"/>
        <v>0</v>
      </c>
      <c r="BP102" s="1">
        <f t="shared" si="6"/>
        <v>0</v>
      </c>
      <c r="BQ102" s="1">
        <f t="shared" si="6"/>
        <v>0</v>
      </c>
      <c r="BR102" s="1">
        <f t="shared" si="6"/>
        <v>0</v>
      </c>
      <c r="BS102" s="1">
        <f t="shared" si="6"/>
        <v>0</v>
      </c>
      <c r="BT102" s="1">
        <f t="shared" si="6"/>
        <v>0</v>
      </c>
      <c r="BU102" s="1">
        <f t="shared" si="6"/>
        <v>-14152656</v>
      </c>
      <c r="BW102" s="1">
        <f>-[31]domredemp!BV99+[31]domredemp!BV119</f>
        <v>0</v>
      </c>
    </row>
    <row r="103" spans="13:75" hidden="1" x14ac:dyDescent="0.2">
      <c r="M103" s="1">
        <f t="shared" ref="M103:AB112" si="7">M32-CE32</f>
        <v>0</v>
      </c>
      <c r="N103" s="1">
        <f t="shared" si="7"/>
        <v>0</v>
      </c>
      <c r="O103" s="1">
        <f t="shared" si="7"/>
        <v>0</v>
      </c>
      <c r="P103" s="1">
        <f t="shared" si="7"/>
        <v>0</v>
      </c>
      <c r="Q103" s="1">
        <f t="shared" si="7"/>
        <v>0</v>
      </c>
      <c r="R103" s="1">
        <f t="shared" si="7"/>
        <v>1646946</v>
      </c>
      <c r="S103" s="1">
        <f t="shared" si="7"/>
        <v>0</v>
      </c>
      <c r="T103" s="1">
        <f t="shared" si="7"/>
        <v>0</v>
      </c>
      <c r="U103" s="1">
        <f t="shared" si="7"/>
        <v>0</v>
      </c>
      <c r="V103" s="1">
        <f t="shared" si="7"/>
        <v>0</v>
      </c>
      <c r="W103" s="1">
        <f t="shared" si="7"/>
        <v>0</v>
      </c>
      <c r="X103" s="1">
        <f t="shared" si="6"/>
        <v>0</v>
      </c>
      <c r="Y103" s="1">
        <f t="shared" si="6"/>
        <v>0</v>
      </c>
      <c r="Z103" s="1">
        <f t="shared" si="6"/>
        <v>0</v>
      </c>
      <c r="AA103" s="1">
        <f t="shared" si="6"/>
        <v>0</v>
      </c>
      <c r="AB103" s="1">
        <f t="shared" si="6"/>
        <v>0</v>
      </c>
      <c r="AC103" s="1">
        <f t="shared" si="6"/>
        <v>0</v>
      </c>
      <c r="AD103" s="1">
        <f t="shared" si="6"/>
        <v>0</v>
      </c>
      <c r="AE103" s="1">
        <f t="shared" si="6"/>
        <v>0</v>
      </c>
      <c r="AF103" s="1">
        <f t="shared" si="6"/>
        <v>0</v>
      </c>
      <c r="AG103" s="1">
        <f t="shared" si="6"/>
        <v>0</v>
      </c>
      <c r="AH103" s="1">
        <f t="shared" si="6"/>
        <v>0</v>
      </c>
      <c r="AI103" s="1">
        <f t="shared" si="6"/>
        <v>0</v>
      </c>
      <c r="AJ103" s="1">
        <f t="shared" si="6"/>
        <v>0</v>
      </c>
      <c r="AK103" s="1">
        <f t="shared" si="6"/>
        <v>0</v>
      </c>
      <c r="AL103" s="1">
        <f t="shared" si="6"/>
        <v>0</v>
      </c>
      <c r="AM103" s="1">
        <f t="shared" si="6"/>
        <v>0</v>
      </c>
      <c r="AN103" s="1">
        <f t="shared" si="6"/>
        <v>0</v>
      </c>
      <c r="AO103" s="1">
        <f t="shared" si="6"/>
        <v>0</v>
      </c>
      <c r="AP103" s="1">
        <f t="shared" si="6"/>
        <v>0</v>
      </c>
      <c r="AQ103" s="1">
        <f t="shared" si="6"/>
        <v>0</v>
      </c>
      <c r="AR103" s="1">
        <f t="shared" si="6"/>
        <v>0</v>
      </c>
      <c r="AS103" s="1">
        <f t="shared" si="6"/>
        <v>0</v>
      </c>
      <c r="AT103" s="1">
        <f t="shared" si="6"/>
        <v>0</v>
      </c>
      <c r="AU103" s="1">
        <f t="shared" si="6"/>
        <v>0</v>
      </c>
      <c r="AV103" s="1">
        <f t="shared" si="6"/>
        <v>0</v>
      </c>
      <c r="AW103" s="1">
        <f t="shared" si="6"/>
        <v>0</v>
      </c>
      <c r="AX103" s="1">
        <f t="shared" si="6"/>
        <v>0</v>
      </c>
      <c r="AY103" s="1">
        <f t="shared" si="6"/>
        <v>0</v>
      </c>
      <c r="AZ103" s="1">
        <f t="shared" si="6"/>
        <v>0</v>
      </c>
      <c r="BA103" s="1">
        <f t="shared" si="6"/>
        <v>0</v>
      </c>
      <c r="BB103" s="1">
        <f t="shared" si="6"/>
        <v>0</v>
      </c>
      <c r="BC103" s="1">
        <f t="shared" si="6"/>
        <v>0</v>
      </c>
      <c r="BD103" s="1">
        <f t="shared" si="6"/>
        <v>0</v>
      </c>
      <c r="BE103" s="1">
        <f t="shared" si="6"/>
        <v>0</v>
      </c>
      <c r="BF103" s="1">
        <f t="shared" si="6"/>
        <v>0</v>
      </c>
      <c r="BG103" s="1">
        <f t="shared" si="6"/>
        <v>0</v>
      </c>
      <c r="BH103" s="1">
        <f t="shared" si="6"/>
        <v>0</v>
      </c>
      <c r="BI103" s="1">
        <f t="shared" si="6"/>
        <v>0</v>
      </c>
      <c r="BJ103" s="1">
        <f t="shared" si="6"/>
        <v>0</v>
      </c>
      <c r="BK103" s="1">
        <f t="shared" si="6"/>
        <v>0</v>
      </c>
      <c r="BL103" s="1">
        <f t="shared" si="6"/>
        <v>0</v>
      </c>
      <c r="BM103" s="1">
        <f t="shared" si="6"/>
        <v>0</v>
      </c>
      <c r="BN103" s="1">
        <f t="shared" si="6"/>
        <v>0</v>
      </c>
      <c r="BO103" s="1">
        <f t="shared" si="6"/>
        <v>0</v>
      </c>
      <c r="BP103" s="1">
        <f t="shared" si="6"/>
        <v>0</v>
      </c>
      <c r="BQ103" s="1">
        <f t="shared" si="6"/>
        <v>0</v>
      </c>
      <c r="BR103" s="1">
        <f t="shared" si="6"/>
        <v>0</v>
      </c>
      <c r="BS103" s="1">
        <f t="shared" si="6"/>
        <v>0</v>
      </c>
      <c r="BT103" s="1">
        <f t="shared" si="6"/>
        <v>0</v>
      </c>
      <c r="BU103" s="1">
        <f t="shared" si="6"/>
        <v>1646946</v>
      </c>
    </row>
    <row r="104" spans="13:75" hidden="1" x14ac:dyDescent="0.2">
      <c r="M104" s="1">
        <f t="shared" si="7"/>
        <v>0</v>
      </c>
      <c r="N104" s="1">
        <f t="shared" si="7"/>
        <v>0</v>
      </c>
      <c r="O104" s="1">
        <f t="shared" si="7"/>
        <v>0</v>
      </c>
      <c r="P104" s="1">
        <f t="shared" si="7"/>
        <v>0</v>
      </c>
      <c r="Q104" s="1">
        <f t="shared" si="7"/>
        <v>0</v>
      </c>
      <c r="R104" s="1">
        <f t="shared" si="7"/>
        <v>12795000</v>
      </c>
      <c r="S104" s="1">
        <f t="shared" si="7"/>
        <v>0</v>
      </c>
      <c r="T104" s="1">
        <f t="shared" si="7"/>
        <v>0</v>
      </c>
      <c r="U104" s="1">
        <f t="shared" si="7"/>
        <v>0</v>
      </c>
      <c r="V104" s="1">
        <f t="shared" si="7"/>
        <v>0</v>
      </c>
      <c r="W104" s="1">
        <f t="shared" si="7"/>
        <v>0</v>
      </c>
      <c r="X104" s="1">
        <f t="shared" si="6"/>
        <v>0</v>
      </c>
      <c r="Y104" s="1">
        <f t="shared" si="6"/>
        <v>0</v>
      </c>
      <c r="Z104" s="1">
        <f t="shared" si="6"/>
        <v>0</v>
      </c>
      <c r="AA104" s="1">
        <f t="shared" si="6"/>
        <v>0</v>
      </c>
      <c r="AB104" s="1">
        <f t="shared" si="6"/>
        <v>0</v>
      </c>
      <c r="AC104" s="1">
        <f t="shared" si="6"/>
        <v>0</v>
      </c>
      <c r="AD104" s="1">
        <f t="shared" si="6"/>
        <v>0</v>
      </c>
      <c r="AE104" s="1">
        <f t="shared" si="6"/>
        <v>0</v>
      </c>
      <c r="AF104" s="1">
        <f t="shared" si="6"/>
        <v>0</v>
      </c>
      <c r="AG104" s="1">
        <f t="shared" si="6"/>
        <v>0</v>
      </c>
      <c r="AH104" s="1">
        <f t="shared" si="6"/>
        <v>0</v>
      </c>
      <c r="AI104" s="1">
        <f t="shared" si="6"/>
        <v>0</v>
      </c>
      <c r="AJ104" s="1">
        <f t="shared" si="6"/>
        <v>0</v>
      </c>
      <c r="AK104" s="1">
        <f t="shared" si="6"/>
        <v>0</v>
      </c>
      <c r="AL104" s="1">
        <f t="shared" si="6"/>
        <v>0</v>
      </c>
      <c r="AM104" s="1">
        <f t="shared" si="6"/>
        <v>0</v>
      </c>
      <c r="AN104" s="1">
        <f t="shared" si="6"/>
        <v>0</v>
      </c>
      <c r="AO104" s="1">
        <f t="shared" si="6"/>
        <v>0</v>
      </c>
      <c r="AP104" s="1">
        <f t="shared" si="6"/>
        <v>0</v>
      </c>
      <c r="AQ104" s="1">
        <f t="shared" si="6"/>
        <v>0</v>
      </c>
      <c r="AR104" s="1">
        <f t="shared" si="6"/>
        <v>0</v>
      </c>
      <c r="AS104" s="1">
        <f t="shared" si="6"/>
        <v>0</v>
      </c>
      <c r="AT104" s="1">
        <f t="shared" si="6"/>
        <v>0</v>
      </c>
      <c r="AU104" s="1">
        <f t="shared" si="6"/>
        <v>0</v>
      </c>
      <c r="AV104" s="1">
        <f t="shared" si="6"/>
        <v>0</v>
      </c>
      <c r="AW104" s="1">
        <f t="shared" si="6"/>
        <v>0</v>
      </c>
      <c r="AX104" s="1">
        <f t="shared" si="6"/>
        <v>0</v>
      </c>
      <c r="AY104" s="1">
        <f t="shared" si="6"/>
        <v>0</v>
      </c>
      <c r="AZ104" s="1">
        <f t="shared" si="6"/>
        <v>0</v>
      </c>
      <c r="BA104" s="1">
        <f t="shared" si="6"/>
        <v>0</v>
      </c>
      <c r="BB104" s="1">
        <f t="shared" si="6"/>
        <v>0</v>
      </c>
      <c r="BC104" s="1">
        <f t="shared" si="6"/>
        <v>0</v>
      </c>
      <c r="BD104" s="1">
        <f t="shared" si="6"/>
        <v>0</v>
      </c>
      <c r="BE104" s="1">
        <f t="shared" si="6"/>
        <v>0</v>
      </c>
      <c r="BF104" s="1">
        <f t="shared" si="6"/>
        <v>0</v>
      </c>
      <c r="BG104" s="1">
        <f t="shared" si="6"/>
        <v>0</v>
      </c>
      <c r="BH104" s="1">
        <f t="shared" si="6"/>
        <v>0</v>
      </c>
      <c r="BI104" s="1">
        <f t="shared" si="6"/>
        <v>0</v>
      </c>
      <c r="BJ104" s="1">
        <f t="shared" si="6"/>
        <v>0</v>
      </c>
      <c r="BK104" s="1">
        <f t="shared" si="6"/>
        <v>0</v>
      </c>
      <c r="BL104" s="1">
        <f t="shared" si="6"/>
        <v>0</v>
      </c>
      <c r="BM104" s="1">
        <f t="shared" si="6"/>
        <v>0</v>
      </c>
      <c r="BN104" s="1">
        <f t="shared" si="6"/>
        <v>0</v>
      </c>
      <c r="BO104" s="1">
        <f t="shared" si="6"/>
        <v>0</v>
      </c>
      <c r="BP104" s="1">
        <f t="shared" si="6"/>
        <v>0</v>
      </c>
      <c r="BQ104" s="1">
        <f t="shared" si="6"/>
        <v>0</v>
      </c>
      <c r="BR104" s="1">
        <f t="shared" si="6"/>
        <v>0</v>
      </c>
      <c r="BS104" s="1">
        <f t="shared" si="6"/>
        <v>0</v>
      </c>
      <c r="BT104" s="1">
        <f t="shared" si="6"/>
        <v>0</v>
      </c>
      <c r="BU104" s="1">
        <f t="shared" si="6"/>
        <v>12795000</v>
      </c>
      <c r="BW104" s="1">
        <f>SUM(BW105:BW106)</f>
        <v>0</v>
      </c>
    </row>
    <row r="105" spans="13:75" hidden="1" x14ac:dyDescent="0.2">
      <c r="M105" s="1">
        <f t="shared" si="7"/>
        <v>0</v>
      </c>
      <c r="N105" s="1">
        <f t="shared" si="7"/>
        <v>0</v>
      </c>
      <c r="O105" s="1">
        <f t="shared" si="7"/>
        <v>0</v>
      </c>
      <c r="P105" s="1">
        <f t="shared" si="7"/>
        <v>0</v>
      </c>
      <c r="Q105" s="1">
        <f t="shared" si="7"/>
        <v>0</v>
      </c>
      <c r="R105" s="1">
        <f t="shared" si="7"/>
        <v>0</v>
      </c>
      <c r="S105" s="1">
        <f t="shared" si="7"/>
        <v>0</v>
      </c>
      <c r="T105" s="1">
        <f t="shared" si="7"/>
        <v>0</v>
      </c>
      <c r="U105" s="1">
        <f t="shared" si="7"/>
        <v>0</v>
      </c>
      <c r="V105" s="1">
        <f t="shared" si="7"/>
        <v>0</v>
      </c>
      <c r="W105" s="1">
        <f t="shared" si="7"/>
        <v>0</v>
      </c>
      <c r="X105" s="1">
        <f t="shared" si="6"/>
        <v>0</v>
      </c>
      <c r="Y105" s="1">
        <f t="shared" si="6"/>
        <v>0</v>
      </c>
      <c r="Z105" s="1">
        <f t="shared" si="6"/>
        <v>0</v>
      </c>
      <c r="AA105" s="1">
        <f t="shared" si="6"/>
        <v>0</v>
      </c>
      <c r="AB105" s="1">
        <f t="shared" si="6"/>
        <v>0</v>
      </c>
      <c r="AC105" s="1">
        <f t="shared" si="6"/>
        <v>0</v>
      </c>
      <c r="AD105" s="1">
        <f t="shared" si="6"/>
        <v>0</v>
      </c>
      <c r="AE105" s="1">
        <f t="shared" si="6"/>
        <v>0</v>
      </c>
      <c r="AF105" s="1">
        <f t="shared" si="6"/>
        <v>0</v>
      </c>
      <c r="AG105" s="1">
        <f t="shared" si="6"/>
        <v>0</v>
      </c>
      <c r="AH105" s="1">
        <f t="shared" si="6"/>
        <v>0</v>
      </c>
      <c r="AI105" s="1">
        <f t="shared" si="6"/>
        <v>0</v>
      </c>
      <c r="AJ105" s="1">
        <f t="shared" si="6"/>
        <v>0</v>
      </c>
      <c r="AK105" s="1">
        <f t="shared" si="6"/>
        <v>0</v>
      </c>
      <c r="AL105" s="1">
        <f t="shared" si="6"/>
        <v>0</v>
      </c>
      <c r="AM105" s="1">
        <f t="shared" si="6"/>
        <v>0</v>
      </c>
      <c r="AN105" s="1">
        <f t="shared" si="6"/>
        <v>0</v>
      </c>
      <c r="AO105" s="1">
        <f t="shared" si="6"/>
        <v>0</v>
      </c>
      <c r="AP105" s="1">
        <f t="shared" si="6"/>
        <v>0</v>
      </c>
      <c r="AQ105" s="1">
        <f t="shared" si="6"/>
        <v>0</v>
      </c>
      <c r="AR105" s="1">
        <f t="shared" si="6"/>
        <v>0</v>
      </c>
      <c r="AS105" s="1">
        <f t="shared" si="6"/>
        <v>0</v>
      </c>
      <c r="AT105" s="1">
        <f t="shared" si="6"/>
        <v>0</v>
      </c>
      <c r="AU105" s="1">
        <f t="shared" si="6"/>
        <v>0</v>
      </c>
      <c r="AV105" s="1">
        <f t="shared" si="6"/>
        <v>0</v>
      </c>
      <c r="AW105" s="1">
        <f t="shared" si="6"/>
        <v>0</v>
      </c>
      <c r="AX105" s="1">
        <f t="shared" si="6"/>
        <v>0</v>
      </c>
      <c r="AY105" s="1">
        <f t="shared" si="6"/>
        <v>0</v>
      </c>
      <c r="AZ105" s="1">
        <f t="shared" si="6"/>
        <v>0</v>
      </c>
      <c r="BA105" s="1">
        <f t="shared" si="6"/>
        <v>0</v>
      </c>
      <c r="BB105" s="1">
        <f t="shared" si="6"/>
        <v>0</v>
      </c>
      <c r="BC105" s="1">
        <f t="shared" si="6"/>
        <v>0</v>
      </c>
      <c r="BD105" s="1">
        <f t="shared" si="6"/>
        <v>0</v>
      </c>
      <c r="BE105" s="1">
        <f t="shared" si="6"/>
        <v>0</v>
      </c>
      <c r="BF105" s="1">
        <f t="shared" si="6"/>
        <v>0</v>
      </c>
      <c r="BG105" s="1">
        <f t="shared" si="6"/>
        <v>0</v>
      </c>
      <c r="BH105" s="1">
        <f t="shared" si="6"/>
        <v>0</v>
      </c>
      <c r="BI105" s="1">
        <f t="shared" si="6"/>
        <v>0</v>
      </c>
      <c r="BJ105" s="1">
        <f t="shared" si="6"/>
        <v>0</v>
      </c>
      <c r="BK105" s="1">
        <f t="shared" si="6"/>
        <v>0</v>
      </c>
      <c r="BL105" s="1">
        <f t="shared" si="6"/>
        <v>0</v>
      </c>
      <c r="BM105" s="1">
        <f t="shared" si="6"/>
        <v>0</v>
      </c>
      <c r="BN105" s="1">
        <f t="shared" si="6"/>
        <v>0</v>
      </c>
      <c r="BO105" s="1">
        <f t="shared" si="6"/>
        <v>0</v>
      </c>
      <c r="BP105" s="1">
        <f t="shared" si="6"/>
        <v>0</v>
      </c>
      <c r="BQ105" s="1">
        <f t="shared" si="6"/>
        <v>0</v>
      </c>
      <c r="BR105" s="1">
        <f t="shared" si="6"/>
        <v>0</v>
      </c>
      <c r="BS105" s="1">
        <f t="shared" si="6"/>
        <v>0</v>
      </c>
      <c r="BT105" s="1">
        <f t="shared" si="6"/>
        <v>0</v>
      </c>
      <c r="BU105" s="1">
        <f t="shared" si="6"/>
        <v>0</v>
      </c>
      <c r="BW105" s="1">
        <f>[31]domlongtermissues!BV98</f>
        <v>0</v>
      </c>
    </row>
    <row r="106" spans="13:75" hidden="1" x14ac:dyDescent="0.2">
      <c r="M106" s="1">
        <f t="shared" si="7"/>
        <v>0</v>
      </c>
      <c r="N106" s="1">
        <f t="shared" si="7"/>
        <v>0</v>
      </c>
      <c r="O106" s="1">
        <f t="shared" si="7"/>
        <v>0</v>
      </c>
      <c r="P106" s="1">
        <f t="shared" si="7"/>
        <v>0</v>
      </c>
      <c r="Q106" s="1">
        <f t="shared" si="7"/>
        <v>0</v>
      </c>
      <c r="R106" s="1">
        <f t="shared" si="7"/>
        <v>0</v>
      </c>
      <c r="S106" s="1">
        <f t="shared" si="7"/>
        <v>0</v>
      </c>
      <c r="T106" s="1">
        <f t="shared" si="7"/>
        <v>0</v>
      </c>
      <c r="U106" s="1">
        <f t="shared" si="7"/>
        <v>0</v>
      </c>
      <c r="V106" s="1">
        <f t="shared" si="7"/>
        <v>0</v>
      </c>
      <c r="W106" s="1">
        <f t="shared" si="7"/>
        <v>0</v>
      </c>
      <c r="X106" s="1">
        <f t="shared" si="6"/>
        <v>0</v>
      </c>
      <c r="Y106" s="1">
        <f t="shared" si="6"/>
        <v>0</v>
      </c>
      <c r="Z106" s="1">
        <f t="shared" si="6"/>
        <v>0</v>
      </c>
      <c r="AA106" s="1">
        <f t="shared" si="6"/>
        <v>0</v>
      </c>
      <c r="AB106" s="1">
        <f t="shared" si="6"/>
        <v>0</v>
      </c>
      <c r="AC106" s="1">
        <f t="shared" si="6"/>
        <v>0</v>
      </c>
      <c r="AD106" s="1">
        <f t="shared" si="6"/>
        <v>0</v>
      </c>
      <c r="AE106" s="1">
        <f t="shared" si="6"/>
        <v>0</v>
      </c>
      <c r="AF106" s="1">
        <f t="shared" si="6"/>
        <v>0</v>
      </c>
      <c r="AG106" s="1">
        <f t="shared" si="6"/>
        <v>0</v>
      </c>
      <c r="AH106" s="1">
        <f t="shared" si="6"/>
        <v>0</v>
      </c>
      <c r="AI106" s="1">
        <f t="shared" si="6"/>
        <v>0</v>
      </c>
      <c r="AJ106" s="1">
        <f t="shared" si="6"/>
        <v>0</v>
      </c>
      <c r="AK106" s="1">
        <f t="shared" si="6"/>
        <v>0</v>
      </c>
      <c r="AL106" s="1">
        <f t="shared" si="6"/>
        <v>0</v>
      </c>
      <c r="AM106" s="1">
        <f t="shared" si="6"/>
        <v>0</v>
      </c>
      <c r="AN106" s="1">
        <f t="shared" si="6"/>
        <v>0</v>
      </c>
      <c r="AO106" s="1">
        <f t="shared" si="6"/>
        <v>0</v>
      </c>
      <c r="AP106" s="1">
        <f t="shared" si="6"/>
        <v>0</v>
      </c>
      <c r="AQ106" s="1">
        <f t="shared" si="6"/>
        <v>0</v>
      </c>
      <c r="AR106" s="1">
        <f t="shared" si="6"/>
        <v>0</v>
      </c>
      <c r="AS106" s="1">
        <f t="shared" si="6"/>
        <v>0</v>
      </c>
      <c r="AT106" s="1">
        <f t="shared" si="6"/>
        <v>0</v>
      </c>
      <c r="AU106" s="1">
        <f t="shared" si="6"/>
        <v>0</v>
      </c>
      <c r="AV106" s="1">
        <f t="shared" si="6"/>
        <v>85877</v>
      </c>
      <c r="AW106" s="1">
        <f t="shared" si="6"/>
        <v>0</v>
      </c>
      <c r="AX106" s="1">
        <f t="shared" si="6"/>
        <v>0</v>
      </c>
      <c r="AY106" s="1">
        <f t="shared" si="6"/>
        <v>0</v>
      </c>
      <c r="AZ106" s="1">
        <f t="shared" si="6"/>
        <v>0</v>
      </c>
      <c r="BA106" s="1">
        <f t="shared" si="6"/>
        <v>-85877</v>
      </c>
      <c r="BB106" s="1">
        <f t="shared" si="6"/>
        <v>0</v>
      </c>
      <c r="BC106" s="1">
        <f t="shared" si="6"/>
        <v>0</v>
      </c>
      <c r="BD106" s="1">
        <f t="shared" si="6"/>
        <v>0</v>
      </c>
      <c r="BE106" s="1">
        <f t="shared" si="6"/>
        <v>0</v>
      </c>
      <c r="BF106" s="1">
        <f t="shared" si="6"/>
        <v>0</v>
      </c>
      <c r="BG106" s="1">
        <f t="shared" si="6"/>
        <v>0</v>
      </c>
      <c r="BH106" s="1">
        <f t="shared" si="6"/>
        <v>0</v>
      </c>
      <c r="BI106" s="1">
        <f t="shared" si="6"/>
        <v>0</v>
      </c>
      <c r="BJ106" s="1">
        <f t="shared" si="6"/>
        <v>0</v>
      </c>
      <c r="BK106" s="1">
        <f t="shared" si="6"/>
        <v>0</v>
      </c>
      <c r="BL106" s="1">
        <f t="shared" si="6"/>
        <v>0</v>
      </c>
      <c r="BM106" s="1">
        <f t="shared" si="6"/>
        <v>0</v>
      </c>
      <c r="BN106" s="1">
        <f t="shared" si="6"/>
        <v>0</v>
      </c>
      <c r="BO106" s="1">
        <f t="shared" si="6"/>
        <v>0</v>
      </c>
      <c r="BP106" s="1">
        <f t="shared" si="6"/>
        <v>0</v>
      </c>
      <c r="BQ106" s="1">
        <f t="shared" si="6"/>
        <v>0</v>
      </c>
      <c r="BR106" s="1">
        <f t="shared" si="6"/>
        <v>0</v>
      </c>
      <c r="BS106" s="1">
        <f t="shared" si="6"/>
        <v>0</v>
      </c>
      <c r="BT106" s="1">
        <f t="shared" si="6"/>
        <v>0</v>
      </c>
      <c r="BU106" s="1">
        <f t="shared" si="6"/>
        <v>0</v>
      </c>
      <c r="BW106" s="1">
        <f>-[31]domredemp!BV100</f>
        <v>0</v>
      </c>
    </row>
    <row r="107" spans="13:75" hidden="1" x14ac:dyDescent="0.2">
      <c r="M107" s="1">
        <f t="shared" si="7"/>
        <v>-2622353</v>
      </c>
      <c r="N107" s="1">
        <f t="shared" si="7"/>
        <v>0</v>
      </c>
      <c r="O107" s="1">
        <f t="shared" si="7"/>
        <v>0</v>
      </c>
      <c r="P107" s="1">
        <f t="shared" si="7"/>
        <v>0</v>
      </c>
      <c r="Q107" s="1">
        <f t="shared" si="7"/>
        <v>0</v>
      </c>
      <c r="R107" s="1">
        <f t="shared" si="7"/>
        <v>29682</v>
      </c>
      <c r="S107" s="1">
        <f t="shared" si="7"/>
        <v>0</v>
      </c>
      <c r="T107" s="1">
        <f t="shared" si="7"/>
        <v>0</v>
      </c>
      <c r="U107" s="1">
        <f t="shared" si="7"/>
        <v>0</v>
      </c>
      <c r="V107" s="1">
        <f t="shared" si="7"/>
        <v>0</v>
      </c>
      <c r="W107" s="1">
        <f t="shared" si="7"/>
        <v>28489</v>
      </c>
      <c r="X107" s="1">
        <f t="shared" si="6"/>
        <v>0</v>
      </c>
      <c r="Y107" s="1">
        <f t="shared" si="6"/>
        <v>0</v>
      </c>
      <c r="Z107" s="1">
        <f t="shared" si="6"/>
        <v>0</v>
      </c>
      <c r="AA107" s="1">
        <f t="shared" si="6"/>
        <v>0</v>
      </c>
      <c r="AB107" s="1">
        <f t="shared" si="6"/>
        <v>0</v>
      </c>
      <c r="AC107" s="1">
        <f t="shared" ref="AC107:BU112" si="8">AC36-CU36</f>
        <v>0</v>
      </c>
      <c r="AD107" s="1">
        <f t="shared" si="8"/>
        <v>0</v>
      </c>
      <c r="AE107" s="1">
        <f t="shared" si="8"/>
        <v>0</v>
      </c>
      <c r="AF107" s="1">
        <f t="shared" si="8"/>
        <v>0</v>
      </c>
      <c r="AG107" s="1">
        <f t="shared" si="8"/>
        <v>-248026</v>
      </c>
      <c r="AH107" s="1">
        <f t="shared" si="8"/>
        <v>0</v>
      </c>
      <c r="AI107" s="1">
        <f t="shared" si="8"/>
        <v>0</v>
      </c>
      <c r="AJ107" s="1">
        <f t="shared" si="8"/>
        <v>0</v>
      </c>
      <c r="AK107" s="1">
        <f t="shared" si="8"/>
        <v>0</v>
      </c>
      <c r="AL107" s="1">
        <f t="shared" si="8"/>
        <v>-216458</v>
      </c>
      <c r="AM107" s="1">
        <f t="shared" si="8"/>
        <v>0</v>
      </c>
      <c r="AN107" s="1">
        <f t="shared" si="8"/>
        <v>0</v>
      </c>
      <c r="AO107" s="1">
        <f t="shared" si="8"/>
        <v>0</v>
      </c>
      <c r="AP107" s="1">
        <f t="shared" si="8"/>
        <v>0</v>
      </c>
      <c r="AQ107" s="1">
        <f t="shared" si="8"/>
        <v>0</v>
      </c>
      <c r="AR107" s="1">
        <f t="shared" si="8"/>
        <v>0</v>
      </c>
      <c r="AS107" s="1">
        <f t="shared" si="8"/>
        <v>0</v>
      </c>
      <c r="AT107" s="1">
        <f t="shared" si="8"/>
        <v>0</v>
      </c>
      <c r="AU107" s="1">
        <f t="shared" si="8"/>
        <v>0</v>
      </c>
      <c r="AV107" s="1">
        <f t="shared" si="8"/>
        <v>21750</v>
      </c>
      <c r="AW107" s="1">
        <f t="shared" si="8"/>
        <v>0</v>
      </c>
      <c r="AX107" s="1">
        <f t="shared" si="8"/>
        <v>0</v>
      </c>
      <c r="AY107" s="1">
        <f t="shared" si="8"/>
        <v>0</v>
      </c>
      <c r="AZ107" s="1">
        <f t="shared" si="8"/>
        <v>0</v>
      </c>
      <c r="BA107" s="1">
        <f t="shared" si="8"/>
        <v>204461</v>
      </c>
      <c r="BB107" s="1">
        <f t="shared" si="8"/>
        <v>0</v>
      </c>
      <c r="BC107" s="1">
        <f t="shared" si="8"/>
        <v>0</v>
      </c>
      <c r="BD107" s="1">
        <f t="shared" si="8"/>
        <v>0</v>
      </c>
      <c r="BE107" s="1">
        <f t="shared" si="8"/>
        <v>0</v>
      </c>
      <c r="BF107" s="1">
        <f t="shared" si="8"/>
        <v>132680</v>
      </c>
      <c r="BG107" s="1">
        <f t="shared" si="8"/>
        <v>0</v>
      </c>
      <c r="BH107" s="1">
        <f t="shared" si="8"/>
        <v>0</v>
      </c>
      <c r="BI107" s="1">
        <f t="shared" si="8"/>
        <v>0</v>
      </c>
      <c r="BJ107" s="1">
        <f t="shared" si="8"/>
        <v>0</v>
      </c>
      <c r="BK107" s="1">
        <f t="shared" si="8"/>
        <v>0</v>
      </c>
      <c r="BL107" s="1">
        <f t="shared" si="8"/>
        <v>0</v>
      </c>
      <c r="BM107" s="1">
        <f t="shared" si="8"/>
        <v>0</v>
      </c>
      <c r="BN107" s="1">
        <f t="shared" si="8"/>
        <v>0</v>
      </c>
      <c r="BO107" s="1">
        <f t="shared" si="8"/>
        <v>0</v>
      </c>
      <c r="BP107" s="1">
        <f t="shared" si="8"/>
        <v>-663239</v>
      </c>
      <c r="BQ107" s="1">
        <f t="shared" si="8"/>
        <v>0</v>
      </c>
      <c r="BR107" s="1">
        <f t="shared" si="8"/>
        <v>0</v>
      </c>
      <c r="BS107" s="1">
        <f t="shared" si="8"/>
        <v>0</v>
      </c>
      <c r="BT107" s="1">
        <f t="shared" si="8"/>
        <v>0</v>
      </c>
      <c r="BU107" s="1">
        <f t="shared" si="8"/>
        <v>-2669775</v>
      </c>
    </row>
    <row r="108" spans="13:75" hidden="1" x14ac:dyDescent="0.2">
      <c r="M108" s="1">
        <f t="shared" si="7"/>
        <v>2622353</v>
      </c>
      <c r="N108" s="1">
        <f t="shared" si="7"/>
        <v>0</v>
      </c>
      <c r="O108" s="1">
        <f t="shared" si="7"/>
        <v>0</v>
      </c>
      <c r="P108" s="1">
        <f t="shared" si="7"/>
        <v>0</v>
      </c>
      <c r="Q108" s="1">
        <f t="shared" si="7"/>
        <v>0</v>
      </c>
      <c r="R108" s="1">
        <f t="shared" si="7"/>
        <v>-29682</v>
      </c>
      <c r="S108" s="1">
        <f t="shared" si="7"/>
        <v>0</v>
      </c>
      <c r="T108" s="1">
        <f t="shared" si="7"/>
        <v>0</v>
      </c>
      <c r="U108" s="1">
        <f t="shared" si="7"/>
        <v>0</v>
      </c>
      <c r="V108" s="1">
        <f t="shared" si="7"/>
        <v>0</v>
      </c>
      <c r="W108" s="1">
        <f t="shared" si="7"/>
        <v>-28489</v>
      </c>
      <c r="X108" s="1">
        <f t="shared" si="7"/>
        <v>0</v>
      </c>
      <c r="Y108" s="1">
        <f t="shared" si="7"/>
        <v>0</v>
      </c>
      <c r="Z108" s="1">
        <f t="shared" si="7"/>
        <v>0</v>
      </c>
      <c r="AA108" s="1">
        <f t="shared" si="7"/>
        <v>0</v>
      </c>
      <c r="AB108" s="1">
        <f t="shared" si="7"/>
        <v>0</v>
      </c>
      <c r="AC108" s="1">
        <f t="shared" si="8"/>
        <v>0</v>
      </c>
      <c r="AD108" s="1">
        <f t="shared" si="8"/>
        <v>0</v>
      </c>
      <c r="AE108" s="1">
        <f t="shared" si="8"/>
        <v>0</v>
      </c>
      <c r="AF108" s="1">
        <f t="shared" si="8"/>
        <v>0</v>
      </c>
      <c r="AG108" s="1">
        <f t="shared" si="8"/>
        <v>248026</v>
      </c>
      <c r="AH108" s="1">
        <f t="shared" si="8"/>
        <v>0</v>
      </c>
      <c r="AI108" s="1">
        <f t="shared" si="8"/>
        <v>0</v>
      </c>
      <c r="AJ108" s="1">
        <f t="shared" si="8"/>
        <v>0</v>
      </c>
      <c r="AK108" s="1">
        <f t="shared" si="8"/>
        <v>0</v>
      </c>
      <c r="AL108" s="1">
        <f t="shared" si="8"/>
        <v>216458</v>
      </c>
      <c r="AM108" s="1">
        <f t="shared" si="8"/>
        <v>0</v>
      </c>
      <c r="AN108" s="1">
        <f t="shared" si="8"/>
        <v>0</v>
      </c>
      <c r="AO108" s="1">
        <f t="shared" si="8"/>
        <v>0</v>
      </c>
      <c r="AP108" s="1">
        <f t="shared" si="8"/>
        <v>0</v>
      </c>
      <c r="AQ108" s="1">
        <f t="shared" si="8"/>
        <v>0</v>
      </c>
      <c r="AR108" s="1">
        <f t="shared" si="8"/>
        <v>0</v>
      </c>
      <c r="AS108" s="1">
        <f t="shared" si="8"/>
        <v>0</v>
      </c>
      <c r="AT108" s="1">
        <f t="shared" si="8"/>
        <v>0</v>
      </c>
      <c r="AU108" s="1">
        <f t="shared" si="8"/>
        <v>0</v>
      </c>
      <c r="AV108" s="1">
        <f t="shared" si="8"/>
        <v>64127</v>
      </c>
      <c r="AW108" s="1">
        <f t="shared" si="8"/>
        <v>0</v>
      </c>
      <c r="AX108" s="1">
        <f t="shared" si="8"/>
        <v>0</v>
      </c>
      <c r="AY108" s="1">
        <f t="shared" si="8"/>
        <v>0</v>
      </c>
      <c r="AZ108" s="1">
        <f t="shared" si="8"/>
        <v>0</v>
      </c>
      <c r="BA108" s="1">
        <f t="shared" si="8"/>
        <v>-290338</v>
      </c>
      <c r="BB108" s="1">
        <f t="shared" si="8"/>
        <v>0</v>
      </c>
      <c r="BC108" s="1">
        <f t="shared" si="8"/>
        <v>0</v>
      </c>
      <c r="BD108" s="1">
        <f t="shared" si="8"/>
        <v>0</v>
      </c>
      <c r="BE108" s="1">
        <f t="shared" si="8"/>
        <v>0</v>
      </c>
      <c r="BF108" s="1">
        <f t="shared" si="8"/>
        <v>-132680</v>
      </c>
      <c r="BG108" s="1">
        <f t="shared" si="8"/>
        <v>0</v>
      </c>
      <c r="BH108" s="1">
        <f t="shared" si="8"/>
        <v>0</v>
      </c>
      <c r="BI108" s="1">
        <f t="shared" si="8"/>
        <v>0</v>
      </c>
      <c r="BJ108" s="1">
        <f t="shared" si="8"/>
        <v>0</v>
      </c>
      <c r="BK108" s="1">
        <f t="shared" si="8"/>
        <v>0</v>
      </c>
      <c r="BL108" s="1">
        <f t="shared" si="8"/>
        <v>0</v>
      </c>
      <c r="BM108" s="1">
        <f t="shared" si="8"/>
        <v>0</v>
      </c>
      <c r="BN108" s="1">
        <f t="shared" si="8"/>
        <v>0</v>
      </c>
      <c r="BO108" s="1">
        <f t="shared" si="8"/>
        <v>0</v>
      </c>
      <c r="BP108" s="1">
        <f t="shared" si="8"/>
        <v>663239</v>
      </c>
      <c r="BQ108" s="1">
        <f t="shared" si="8"/>
        <v>0</v>
      </c>
      <c r="BR108" s="1">
        <f t="shared" si="8"/>
        <v>0</v>
      </c>
      <c r="BS108" s="1">
        <f t="shared" si="8"/>
        <v>0</v>
      </c>
      <c r="BT108" s="1">
        <f t="shared" si="8"/>
        <v>0</v>
      </c>
      <c r="BU108" s="1">
        <f t="shared" si="8"/>
        <v>2669775</v>
      </c>
      <c r="BW108" s="1">
        <f>SUM(BW109:BW109)</f>
        <v>0</v>
      </c>
    </row>
    <row r="109" spans="13:75" hidden="1" x14ac:dyDescent="0.2">
      <c r="M109" s="1">
        <f t="shared" si="7"/>
        <v>0</v>
      </c>
      <c r="N109" s="1">
        <f t="shared" si="7"/>
        <v>0</v>
      </c>
      <c r="O109" s="1">
        <f t="shared" si="7"/>
        <v>0</v>
      </c>
      <c r="P109" s="1">
        <f t="shared" si="7"/>
        <v>0</v>
      </c>
      <c r="Q109" s="1">
        <f t="shared" si="7"/>
        <v>0</v>
      </c>
      <c r="R109" s="1">
        <f t="shared" si="7"/>
        <v>0</v>
      </c>
      <c r="S109" s="1">
        <f t="shared" si="7"/>
        <v>0</v>
      </c>
      <c r="T109" s="1">
        <f t="shared" si="7"/>
        <v>0</v>
      </c>
      <c r="U109" s="1">
        <f t="shared" si="7"/>
        <v>0</v>
      </c>
      <c r="V109" s="1">
        <f t="shared" si="7"/>
        <v>0</v>
      </c>
      <c r="W109" s="1">
        <f t="shared" si="7"/>
        <v>0</v>
      </c>
      <c r="X109" s="1">
        <f t="shared" si="7"/>
        <v>0</v>
      </c>
      <c r="Y109" s="1">
        <f t="shared" si="7"/>
        <v>0</v>
      </c>
      <c r="Z109" s="1">
        <f t="shared" si="7"/>
        <v>0</v>
      </c>
      <c r="AA109" s="1">
        <f t="shared" si="7"/>
        <v>0</v>
      </c>
      <c r="AB109" s="1">
        <f t="shared" si="7"/>
        <v>0</v>
      </c>
      <c r="AC109" s="1">
        <f t="shared" si="8"/>
        <v>0</v>
      </c>
      <c r="AD109" s="1">
        <f t="shared" si="8"/>
        <v>0</v>
      </c>
      <c r="AE109" s="1">
        <f t="shared" si="8"/>
        <v>0</v>
      </c>
      <c r="AF109" s="1">
        <f t="shared" si="8"/>
        <v>0</v>
      </c>
      <c r="AG109" s="1">
        <f t="shared" si="8"/>
        <v>0</v>
      </c>
      <c r="AH109" s="1">
        <f t="shared" si="8"/>
        <v>0</v>
      </c>
      <c r="AI109" s="1">
        <f t="shared" si="8"/>
        <v>0</v>
      </c>
      <c r="AJ109" s="1">
        <f t="shared" si="8"/>
        <v>0</v>
      </c>
      <c r="AK109" s="1">
        <f t="shared" si="8"/>
        <v>0</v>
      </c>
      <c r="AL109" s="1">
        <f t="shared" si="8"/>
        <v>0</v>
      </c>
      <c r="AM109" s="1">
        <f t="shared" si="8"/>
        <v>0</v>
      </c>
      <c r="AN109" s="1">
        <f t="shared" si="8"/>
        <v>0</v>
      </c>
      <c r="AO109" s="1">
        <f t="shared" si="8"/>
        <v>0</v>
      </c>
      <c r="AP109" s="1">
        <f t="shared" si="8"/>
        <v>0</v>
      </c>
      <c r="AQ109" s="1">
        <f t="shared" si="8"/>
        <v>0</v>
      </c>
      <c r="AR109" s="1">
        <f t="shared" si="8"/>
        <v>0</v>
      </c>
      <c r="AS109" s="1">
        <f t="shared" si="8"/>
        <v>0</v>
      </c>
      <c r="AT109" s="1">
        <f t="shared" si="8"/>
        <v>0</v>
      </c>
      <c r="AU109" s="1">
        <f t="shared" si="8"/>
        <v>0</v>
      </c>
      <c r="AV109" s="1">
        <f t="shared" si="8"/>
        <v>0</v>
      </c>
      <c r="AW109" s="1">
        <f t="shared" si="8"/>
        <v>0</v>
      </c>
      <c r="AX109" s="1">
        <f t="shared" si="8"/>
        <v>0</v>
      </c>
      <c r="AY109" s="1">
        <f t="shared" si="8"/>
        <v>0</v>
      </c>
      <c r="AZ109" s="1">
        <f t="shared" si="8"/>
        <v>0</v>
      </c>
      <c r="BA109" s="1">
        <f t="shared" si="8"/>
        <v>0</v>
      </c>
      <c r="BB109" s="1">
        <f t="shared" si="8"/>
        <v>0</v>
      </c>
      <c r="BC109" s="1">
        <f t="shared" si="8"/>
        <v>0</v>
      </c>
      <c r="BD109" s="1">
        <f t="shared" si="8"/>
        <v>0</v>
      </c>
      <c r="BE109" s="1">
        <f t="shared" si="8"/>
        <v>0</v>
      </c>
      <c r="BF109" s="1">
        <f t="shared" si="8"/>
        <v>0</v>
      </c>
      <c r="BG109" s="1">
        <f t="shared" si="8"/>
        <v>0</v>
      </c>
      <c r="BH109" s="1">
        <f t="shared" si="8"/>
        <v>0</v>
      </c>
      <c r="BI109" s="1">
        <f t="shared" si="8"/>
        <v>0</v>
      </c>
      <c r="BJ109" s="1">
        <f t="shared" si="8"/>
        <v>0</v>
      </c>
      <c r="BK109" s="1">
        <f t="shared" si="8"/>
        <v>0</v>
      </c>
      <c r="BL109" s="1">
        <f t="shared" si="8"/>
        <v>0</v>
      </c>
      <c r="BM109" s="1">
        <f t="shared" si="8"/>
        <v>0</v>
      </c>
      <c r="BN109" s="1">
        <f t="shared" si="8"/>
        <v>0</v>
      </c>
      <c r="BO109" s="1">
        <f t="shared" si="8"/>
        <v>0</v>
      </c>
      <c r="BP109" s="1">
        <f>BP38-EH38</f>
        <v>0</v>
      </c>
      <c r="BQ109" s="1">
        <f t="shared" si="8"/>
        <v>0</v>
      </c>
      <c r="BR109" s="1">
        <f t="shared" si="8"/>
        <v>0</v>
      </c>
      <c r="BS109" s="1">
        <f t="shared" si="8"/>
        <v>0</v>
      </c>
      <c r="BT109" s="1">
        <f t="shared" si="8"/>
        <v>0</v>
      </c>
      <c r="BU109" s="1">
        <f t="shared" si="8"/>
        <v>0</v>
      </c>
      <c r="BW109" s="1">
        <f>[31]domlongtermissues!BV99</f>
        <v>0</v>
      </c>
    </row>
    <row r="110" spans="13:75" hidden="1" x14ac:dyDescent="0.2">
      <c r="M110" s="1">
        <f t="shared" si="7"/>
        <v>0</v>
      </c>
      <c r="N110" s="1">
        <f t="shared" si="7"/>
        <v>0</v>
      </c>
      <c r="O110" s="1">
        <f t="shared" si="7"/>
        <v>0</v>
      </c>
      <c r="P110" s="1">
        <f t="shared" si="7"/>
        <v>0</v>
      </c>
      <c r="Q110" s="1">
        <f t="shared" si="7"/>
        <v>0</v>
      </c>
      <c r="R110" s="1">
        <f t="shared" si="7"/>
        <v>0</v>
      </c>
      <c r="S110" s="1">
        <f t="shared" si="7"/>
        <v>0</v>
      </c>
      <c r="T110" s="1">
        <f t="shared" si="7"/>
        <v>0</v>
      </c>
      <c r="U110" s="1">
        <f t="shared" si="7"/>
        <v>0</v>
      </c>
      <c r="V110" s="1">
        <f t="shared" si="7"/>
        <v>0</v>
      </c>
      <c r="W110" s="1">
        <f t="shared" si="7"/>
        <v>0</v>
      </c>
      <c r="X110" s="1">
        <f t="shared" si="7"/>
        <v>0</v>
      </c>
      <c r="Y110" s="1">
        <f t="shared" si="7"/>
        <v>0</v>
      </c>
      <c r="Z110" s="1">
        <f t="shared" si="7"/>
        <v>0</v>
      </c>
      <c r="AA110" s="1">
        <f t="shared" si="7"/>
        <v>0</v>
      </c>
      <c r="AB110" s="1">
        <f t="shared" si="7"/>
        <v>0</v>
      </c>
      <c r="AC110" s="1">
        <f t="shared" si="8"/>
        <v>0</v>
      </c>
      <c r="AD110" s="1">
        <f t="shared" si="8"/>
        <v>0</v>
      </c>
      <c r="AE110" s="1">
        <f t="shared" si="8"/>
        <v>0</v>
      </c>
      <c r="AF110" s="1">
        <f t="shared" si="8"/>
        <v>0</v>
      </c>
      <c r="AG110" s="1">
        <f t="shared" si="8"/>
        <v>0</v>
      </c>
      <c r="AH110" s="1">
        <f t="shared" si="8"/>
        <v>0</v>
      </c>
      <c r="AI110" s="1">
        <f t="shared" si="8"/>
        <v>0</v>
      </c>
      <c r="AJ110" s="1">
        <f t="shared" si="8"/>
        <v>0</v>
      </c>
      <c r="AK110" s="1">
        <f t="shared" si="8"/>
        <v>0</v>
      </c>
      <c r="AL110" s="1">
        <f t="shared" si="8"/>
        <v>0</v>
      </c>
      <c r="AM110" s="1">
        <f t="shared" si="8"/>
        <v>0</v>
      </c>
      <c r="AN110" s="1">
        <f t="shared" si="8"/>
        <v>0</v>
      </c>
      <c r="AO110" s="1">
        <f t="shared" si="8"/>
        <v>0</v>
      </c>
      <c r="AP110" s="1">
        <f t="shared" si="8"/>
        <v>0</v>
      </c>
      <c r="AQ110" s="1">
        <f t="shared" si="8"/>
        <v>0</v>
      </c>
      <c r="AR110" s="1">
        <f t="shared" si="8"/>
        <v>0</v>
      </c>
      <c r="AS110" s="1">
        <f t="shared" si="8"/>
        <v>0</v>
      </c>
      <c r="AT110" s="1">
        <f t="shared" si="8"/>
        <v>0</v>
      </c>
      <c r="AU110" s="1">
        <f t="shared" si="8"/>
        <v>0</v>
      </c>
      <c r="AV110" s="1">
        <f t="shared" si="8"/>
        <v>0</v>
      </c>
      <c r="AW110" s="1">
        <f t="shared" si="8"/>
        <v>0</v>
      </c>
      <c r="AX110" s="1">
        <f t="shared" si="8"/>
        <v>0</v>
      </c>
      <c r="AY110" s="1">
        <f t="shared" si="8"/>
        <v>0</v>
      </c>
      <c r="AZ110" s="1">
        <f t="shared" si="8"/>
        <v>0</v>
      </c>
      <c r="BA110" s="1">
        <f t="shared" si="8"/>
        <v>0</v>
      </c>
      <c r="BB110" s="1">
        <f t="shared" si="8"/>
        <v>0</v>
      </c>
      <c r="BC110" s="1">
        <f t="shared" si="8"/>
        <v>0</v>
      </c>
      <c r="BD110" s="1">
        <f t="shared" si="8"/>
        <v>0</v>
      </c>
      <c r="BE110" s="1">
        <f t="shared" si="8"/>
        <v>0</v>
      </c>
      <c r="BF110" s="1">
        <f t="shared" si="8"/>
        <v>0</v>
      </c>
      <c r="BG110" s="1">
        <f t="shared" si="8"/>
        <v>0</v>
      </c>
      <c r="BH110" s="1">
        <f t="shared" si="8"/>
        <v>0</v>
      </c>
      <c r="BI110" s="1">
        <f t="shared" si="8"/>
        <v>0</v>
      </c>
      <c r="BJ110" s="1">
        <f t="shared" si="8"/>
        <v>0</v>
      </c>
      <c r="BK110" s="1">
        <f t="shared" si="8"/>
        <v>0</v>
      </c>
      <c r="BL110" s="1">
        <f t="shared" si="8"/>
        <v>0</v>
      </c>
      <c r="BM110" s="1">
        <f t="shared" si="8"/>
        <v>0</v>
      </c>
      <c r="BN110" s="1">
        <f t="shared" si="8"/>
        <v>0</v>
      </c>
      <c r="BO110" s="1">
        <f t="shared" si="8"/>
        <v>0</v>
      </c>
      <c r="BP110" s="1">
        <f t="shared" si="8"/>
        <v>0</v>
      </c>
      <c r="BQ110" s="1">
        <f t="shared" si="8"/>
        <v>0</v>
      </c>
      <c r="BR110" s="1">
        <f t="shared" si="8"/>
        <v>0</v>
      </c>
      <c r="BS110" s="1">
        <f t="shared" si="8"/>
        <v>0</v>
      </c>
      <c r="BT110" s="1">
        <f t="shared" si="8"/>
        <v>0</v>
      </c>
      <c r="BU110" s="1">
        <f t="shared" si="8"/>
        <v>0</v>
      </c>
    </row>
    <row r="111" spans="13:75" hidden="1" x14ac:dyDescent="0.2">
      <c r="M111" s="1">
        <f t="shared" si="7"/>
        <v>0</v>
      </c>
      <c r="N111" s="1">
        <f t="shared" si="7"/>
        <v>0</v>
      </c>
      <c r="O111" s="1">
        <f t="shared" si="7"/>
        <v>0</v>
      </c>
      <c r="P111" s="1">
        <f t="shared" si="7"/>
        <v>0</v>
      </c>
      <c r="Q111" s="1">
        <f t="shared" si="7"/>
        <v>0</v>
      </c>
      <c r="R111" s="1">
        <f t="shared" si="7"/>
        <v>0</v>
      </c>
      <c r="S111" s="1">
        <f t="shared" si="7"/>
        <v>0</v>
      </c>
      <c r="T111" s="1">
        <f t="shared" si="7"/>
        <v>0</v>
      </c>
      <c r="U111" s="1">
        <f t="shared" si="7"/>
        <v>0</v>
      </c>
      <c r="V111" s="1">
        <f t="shared" si="7"/>
        <v>0</v>
      </c>
      <c r="W111" s="1">
        <f t="shared" si="7"/>
        <v>0</v>
      </c>
      <c r="X111" s="1">
        <f t="shared" si="7"/>
        <v>0</v>
      </c>
      <c r="Y111" s="1">
        <f t="shared" si="7"/>
        <v>0</v>
      </c>
      <c r="Z111" s="1">
        <f t="shared" si="7"/>
        <v>0</v>
      </c>
      <c r="AA111" s="1">
        <f t="shared" si="7"/>
        <v>0</v>
      </c>
      <c r="AB111" s="1">
        <f t="shared" si="7"/>
        <v>0</v>
      </c>
      <c r="AC111" s="1">
        <f t="shared" si="8"/>
        <v>0</v>
      </c>
      <c r="AD111" s="1">
        <f t="shared" si="8"/>
        <v>0</v>
      </c>
      <c r="AE111" s="1">
        <f t="shared" si="8"/>
        <v>0</v>
      </c>
      <c r="AF111" s="1">
        <f t="shared" si="8"/>
        <v>0</v>
      </c>
      <c r="AG111" s="1">
        <f t="shared" si="8"/>
        <v>0</v>
      </c>
      <c r="AH111" s="1">
        <f t="shared" si="8"/>
        <v>0</v>
      </c>
      <c r="AI111" s="1">
        <f t="shared" si="8"/>
        <v>0</v>
      </c>
      <c r="AJ111" s="1">
        <f t="shared" si="8"/>
        <v>0</v>
      </c>
      <c r="AK111" s="1">
        <f t="shared" si="8"/>
        <v>0</v>
      </c>
      <c r="AL111" s="1">
        <f t="shared" si="8"/>
        <v>0</v>
      </c>
      <c r="AM111" s="1">
        <f t="shared" si="8"/>
        <v>0</v>
      </c>
      <c r="AN111" s="1">
        <f t="shared" si="8"/>
        <v>0</v>
      </c>
      <c r="AO111" s="1">
        <f t="shared" si="8"/>
        <v>0</v>
      </c>
      <c r="AP111" s="1">
        <f t="shared" si="8"/>
        <v>0</v>
      </c>
      <c r="AQ111" s="1">
        <f t="shared" si="8"/>
        <v>0</v>
      </c>
      <c r="AR111" s="1">
        <f t="shared" si="8"/>
        <v>0</v>
      </c>
      <c r="AS111" s="1">
        <f t="shared" si="8"/>
        <v>0</v>
      </c>
      <c r="AT111" s="1">
        <f t="shared" si="8"/>
        <v>0</v>
      </c>
      <c r="AU111" s="1">
        <f t="shared" si="8"/>
        <v>0</v>
      </c>
      <c r="AV111" s="1">
        <f t="shared" si="8"/>
        <v>0</v>
      </c>
      <c r="AW111" s="1">
        <f t="shared" si="8"/>
        <v>0</v>
      </c>
      <c r="AX111" s="1">
        <f t="shared" si="8"/>
        <v>0</v>
      </c>
      <c r="AY111" s="1">
        <f t="shared" si="8"/>
        <v>0</v>
      </c>
      <c r="AZ111" s="1">
        <f t="shared" si="8"/>
        <v>0</v>
      </c>
      <c r="BA111" s="1">
        <f t="shared" si="8"/>
        <v>0</v>
      </c>
      <c r="BB111" s="1">
        <f t="shared" si="8"/>
        <v>0</v>
      </c>
      <c r="BC111" s="1">
        <f t="shared" si="8"/>
        <v>0</v>
      </c>
      <c r="BD111" s="1">
        <f t="shared" si="8"/>
        <v>0</v>
      </c>
      <c r="BE111" s="1">
        <f t="shared" si="8"/>
        <v>0</v>
      </c>
      <c r="BF111" s="1">
        <f t="shared" si="8"/>
        <v>0</v>
      </c>
      <c r="BG111" s="1">
        <f t="shared" si="8"/>
        <v>0</v>
      </c>
      <c r="BH111" s="1">
        <f t="shared" si="8"/>
        <v>0</v>
      </c>
      <c r="BI111" s="1">
        <f t="shared" si="8"/>
        <v>0</v>
      </c>
      <c r="BJ111" s="1">
        <f t="shared" si="8"/>
        <v>0</v>
      </c>
      <c r="BK111" s="1">
        <f t="shared" si="8"/>
        <v>0</v>
      </c>
      <c r="BL111" s="1">
        <f t="shared" si="8"/>
        <v>0</v>
      </c>
      <c r="BM111" s="1">
        <f t="shared" si="8"/>
        <v>0</v>
      </c>
      <c r="BN111" s="1">
        <f t="shared" si="8"/>
        <v>0</v>
      </c>
      <c r="BO111" s="1">
        <f t="shared" si="8"/>
        <v>0</v>
      </c>
      <c r="BP111" s="1">
        <f t="shared" si="8"/>
        <v>0</v>
      </c>
      <c r="BQ111" s="1">
        <f t="shared" si="8"/>
        <v>0</v>
      </c>
      <c r="BR111" s="1">
        <f t="shared" si="8"/>
        <v>0</v>
      </c>
      <c r="BS111" s="1">
        <f t="shared" si="8"/>
        <v>0</v>
      </c>
      <c r="BT111" s="1">
        <f t="shared" si="8"/>
        <v>0</v>
      </c>
      <c r="BU111" s="1">
        <f t="shared" si="8"/>
        <v>0</v>
      </c>
    </row>
    <row r="112" spans="13:75" hidden="1" x14ac:dyDescent="0.2">
      <c r="M112" s="1">
        <f t="shared" si="7"/>
        <v>0</v>
      </c>
      <c r="N112" s="1">
        <f t="shared" si="7"/>
        <v>0</v>
      </c>
      <c r="O112" s="1">
        <f t="shared" si="7"/>
        <v>0</v>
      </c>
      <c r="P112" s="1">
        <f t="shared" si="7"/>
        <v>0</v>
      </c>
      <c r="Q112" s="1">
        <f t="shared" si="7"/>
        <v>0</v>
      </c>
      <c r="R112" s="1">
        <f t="shared" si="7"/>
        <v>0</v>
      </c>
      <c r="S112" s="1">
        <f t="shared" si="7"/>
        <v>0</v>
      </c>
      <c r="T112" s="1">
        <f t="shared" si="7"/>
        <v>0</v>
      </c>
      <c r="U112" s="1">
        <f t="shared" si="7"/>
        <v>0</v>
      </c>
      <c r="V112" s="1">
        <f t="shared" si="7"/>
        <v>0</v>
      </c>
      <c r="W112" s="1">
        <f t="shared" si="7"/>
        <v>0</v>
      </c>
      <c r="X112" s="1">
        <f t="shared" si="7"/>
        <v>0</v>
      </c>
      <c r="Y112" s="1">
        <f t="shared" si="7"/>
        <v>0</v>
      </c>
      <c r="Z112" s="1">
        <f t="shared" si="7"/>
        <v>0</v>
      </c>
      <c r="AA112" s="1">
        <f t="shared" si="7"/>
        <v>0</v>
      </c>
      <c r="AB112" s="1">
        <f t="shared" si="7"/>
        <v>0</v>
      </c>
      <c r="AC112" s="1">
        <f t="shared" si="8"/>
        <v>0</v>
      </c>
      <c r="AD112" s="1">
        <f t="shared" si="8"/>
        <v>0</v>
      </c>
      <c r="AE112" s="1">
        <f t="shared" si="8"/>
        <v>0</v>
      </c>
      <c r="AF112" s="1">
        <f t="shared" si="8"/>
        <v>0</v>
      </c>
      <c r="AG112" s="1">
        <f t="shared" si="8"/>
        <v>0</v>
      </c>
      <c r="AH112" s="1">
        <f t="shared" si="8"/>
        <v>0</v>
      </c>
      <c r="AI112" s="1">
        <f t="shared" si="8"/>
        <v>0</v>
      </c>
      <c r="AJ112" s="1">
        <f t="shared" si="8"/>
        <v>0</v>
      </c>
      <c r="AK112" s="1">
        <f t="shared" si="8"/>
        <v>0</v>
      </c>
      <c r="AL112" s="1">
        <f t="shared" si="8"/>
        <v>0</v>
      </c>
      <c r="AM112" s="1">
        <f t="shared" si="8"/>
        <v>0</v>
      </c>
      <c r="AN112" s="1">
        <f t="shared" si="8"/>
        <v>0</v>
      </c>
      <c r="AO112" s="1">
        <f t="shared" si="8"/>
        <v>0</v>
      </c>
      <c r="AP112" s="1">
        <f t="shared" si="8"/>
        <v>0</v>
      </c>
      <c r="AQ112" s="1">
        <f t="shared" si="8"/>
        <v>0</v>
      </c>
      <c r="AR112" s="1">
        <f t="shared" si="8"/>
        <v>0</v>
      </c>
      <c r="AS112" s="1">
        <f t="shared" si="8"/>
        <v>0</v>
      </c>
      <c r="AT112" s="1">
        <f t="shared" si="8"/>
        <v>0</v>
      </c>
      <c r="AU112" s="1">
        <f t="shared" si="8"/>
        <v>0</v>
      </c>
      <c r="AV112" s="1">
        <f t="shared" si="8"/>
        <v>0</v>
      </c>
      <c r="AW112" s="1">
        <f t="shared" si="8"/>
        <v>0</v>
      </c>
      <c r="AX112" s="1">
        <f t="shared" si="8"/>
        <v>0</v>
      </c>
      <c r="AY112" s="1">
        <f t="shared" si="8"/>
        <v>0</v>
      </c>
      <c r="AZ112" s="1">
        <f t="shared" si="8"/>
        <v>0</v>
      </c>
      <c r="BA112" s="1">
        <f t="shared" si="8"/>
        <v>0</v>
      </c>
      <c r="BB112" s="1">
        <f t="shared" si="8"/>
        <v>0</v>
      </c>
      <c r="BC112" s="1">
        <f t="shared" si="8"/>
        <v>0</v>
      </c>
      <c r="BD112" s="1">
        <f t="shared" si="8"/>
        <v>0</v>
      </c>
      <c r="BE112" s="1">
        <f t="shared" si="8"/>
        <v>0</v>
      </c>
      <c r="BF112" s="1">
        <f t="shared" si="8"/>
        <v>0</v>
      </c>
      <c r="BG112" s="1">
        <f t="shared" si="8"/>
        <v>0</v>
      </c>
      <c r="BH112" s="1">
        <f t="shared" ref="BH112:BU112" si="9">BH41-DZ41</f>
        <v>0</v>
      </c>
      <c r="BI112" s="1">
        <f t="shared" si="9"/>
        <v>0</v>
      </c>
      <c r="BJ112" s="1">
        <f t="shared" si="9"/>
        <v>0</v>
      </c>
      <c r="BK112" s="1">
        <f t="shared" si="9"/>
        <v>0</v>
      </c>
      <c r="BL112" s="1">
        <f t="shared" si="9"/>
        <v>0</v>
      </c>
      <c r="BM112" s="1">
        <f t="shared" si="9"/>
        <v>0</v>
      </c>
      <c r="BN112" s="1">
        <f t="shared" si="9"/>
        <v>0</v>
      </c>
      <c r="BO112" s="1">
        <f t="shared" si="9"/>
        <v>0</v>
      </c>
      <c r="BP112" s="1">
        <f t="shared" si="9"/>
        <v>0</v>
      </c>
      <c r="BQ112" s="1">
        <f t="shared" si="9"/>
        <v>0</v>
      </c>
      <c r="BR112" s="1">
        <f t="shared" si="9"/>
        <v>0</v>
      </c>
      <c r="BS112" s="1">
        <f t="shared" si="9"/>
        <v>0</v>
      </c>
      <c r="BT112" s="1">
        <f t="shared" si="9"/>
        <v>0</v>
      </c>
      <c r="BU112" s="1">
        <f t="shared" si="9"/>
        <v>0</v>
      </c>
    </row>
    <row r="113" spans="75:75" hidden="1" x14ac:dyDescent="0.2">
      <c r="BW113" s="14">
        <f>+BW114+BW122+BW129</f>
        <v>0</v>
      </c>
    </row>
    <row r="114" spans="75:75" hidden="1" x14ac:dyDescent="0.2">
      <c r="BW114" s="1">
        <f>SUM(BW115:BW120)</f>
        <v>0</v>
      </c>
    </row>
    <row r="115" spans="75:75" hidden="1" x14ac:dyDescent="0.2">
      <c r="BW115" s="1">
        <f>+[31]foreigndebt!BV113</f>
        <v>0</v>
      </c>
    </row>
    <row r="116" spans="75:75" hidden="1" x14ac:dyDescent="0.2">
      <c r="BW116" s="1">
        <f>-[31]foreigndebt!BV115</f>
        <v>0</v>
      </c>
    </row>
    <row r="117" spans="75:75" hidden="1" x14ac:dyDescent="0.2"/>
    <row r="118" spans="75:75" hidden="1" x14ac:dyDescent="0.2"/>
    <row r="119" spans="75:75" hidden="1" x14ac:dyDescent="0.2">
      <c r="BW119" s="1">
        <f>-[31]foreigndebt!BV184</f>
        <v>0</v>
      </c>
    </row>
    <row r="120" spans="75:75" hidden="1" x14ac:dyDescent="0.2">
      <c r="BW120" s="1">
        <f>-[31]foreigndebt!BV185</f>
        <v>0</v>
      </c>
    </row>
    <row r="121" spans="75:75" hidden="1" x14ac:dyDescent="0.2"/>
    <row r="122" spans="75:75" hidden="1" x14ac:dyDescent="0.2">
      <c r="BW122" s="1">
        <f>SUM(BW123:BW127)</f>
        <v>0</v>
      </c>
    </row>
    <row r="123" spans="75:75" hidden="1" x14ac:dyDescent="0.2">
      <c r="BW123" s="1">
        <f>[31]foreigndebt!BV134</f>
        <v>0</v>
      </c>
    </row>
    <row r="124" spans="75:75" hidden="1" x14ac:dyDescent="0.2">
      <c r="BW124" s="1">
        <f>-[31]foreigndebt!BV136</f>
        <v>0</v>
      </c>
    </row>
    <row r="125" spans="75:75" hidden="1" x14ac:dyDescent="0.2"/>
    <row r="126" spans="75:75" hidden="1" x14ac:dyDescent="0.2">
      <c r="BW126" s="1">
        <f>-[31]foreigndebt!BV227</f>
        <v>0</v>
      </c>
    </row>
    <row r="127" spans="75:75" hidden="1" x14ac:dyDescent="0.2">
      <c r="BW127" s="1">
        <f>-[31]foreigndebt!BV228</f>
        <v>0</v>
      </c>
    </row>
    <row r="128" spans="75:75" hidden="1" x14ac:dyDescent="0.2"/>
    <row r="129" spans="75:75" hidden="1" x14ac:dyDescent="0.2">
      <c r="BW129" s="1">
        <f>SUM(BW130:BW134)</f>
        <v>0</v>
      </c>
    </row>
    <row r="130" spans="75:75" hidden="1" x14ac:dyDescent="0.2">
      <c r="BW130" s="1">
        <f>[31]foreigndebt!BV148</f>
        <v>0</v>
      </c>
    </row>
    <row r="131" spans="75:75" hidden="1" x14ac:dyDescent="0.2">
      <c r="BW131" s="1">
        <f>-[31]foreigndebt!BV150</f>
        <v>0</v>
      </c>
    </row>
    <row r="132" spans="75:75" hidden="1" x14ac:dyDescent="0.2"/>
    <row r="133" spans="75:75" hidden="1" x14ac:dyDescent="0.2">
      <c r="BW133" s="1">
        <f>-[31]foreigndebt!BV239</f>
        <v>0</v>
      </c>
    </row>
    <row r="134" spans="75:75" hidden="1" x14ac:dyDescent="0.2">
      <c r="BW134" s="1">
        <f>-[31]foreigndebt!BV240</f>
        <v>0</v>
      </c>
    </row>
    <row r="135" spans="75:75" hidden="1" x14ac:dyDescent="0.2"/>
    <row r="136" spans="75:75" hidden="1" x14ac:dyDescent="0.2"/>
    <row r="137" spans="75:75" hidden="1" x14ac:dyDescent="0.2">
      <c r="BW137" s="14">
        <f>SUM(BW138:BW145)</f>
        <v>1</v>
      </c>
    </row>
    <row r="138" spans="75:75" hidden="1" x14ac:dyDescent="0.2">
      <c r="BW138" s="1">
        <f>+[31]cashbalances!BW86</f>
        <v>0</v>
      </c>
    </row>
    <row r="139" spans="75:75" hidden="1" x14ac:dyDescent="0.2"/>
    <row r="140" spans="75:75" hidden="1" x14ac:dyDescent="0.2">
      <c r="BW140" s="1">
        <f>+[31]cashbalances!BW97</f>
        <v>0</v>
      </c>
    </row>
    <row r="141" spans="75:75" hidden="1" x14ac:dyDescent="0.2">
      <c r="BW141" s="1">
        <f>[31]cashbalances!BW99</f>
        <v>0</v>
      </c>
    </row>
    <row r="142" spans="75:75" hidden="1" x14ac:dyDescent="0.2">
      <c r="BW142" s="1">
        <f>+[31]cashbalances!BW101</f>
        <v>0</v>
      </c>
    </row>
    <row r="143" spans="75:75" hidden="1" x14ac:dyDescent="0.2">
      <c r="BW143" s="1">
        <f>+[31]cashbalances!BW106</f>
        <v>0</v>
      </c>
    </row>
    <row r="144" spans="75:75" hidden="1" x14ac:dyDescent="0.2"/>
    <row r="145" spans="75:75" x14ac:dyDescent="0.2">
      <c r="BW145" s="1">
        <f>+[31]cashbalances!BW112+1</f>
        <v>1</v>
      </c>
    </row>
    <row r="147" spans="75:75" x14ac:dyDescent="0.2">
      <c r="BW147" s="14">
        <f>+BW81+BW91+BW113+BW137</f>
        <v>138317257</v>
      </c>
    </row>
  </sheetData>
  <mergeCells count="2">
    <mergeCell ref="H8:BU8"/>
    <mergeCell ref="BZ8:EM8"/>
  </mergeCells>
  <pageMargins left="0.7" right="0.7" top="0.75" bottom="0.75" header="0.3" footer="0.3"/>
  <pageSetup paperSize="9" scale="43"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22772-41A9-40EF-BBDE-964B198A1EC4}">
  <dimension ref="A1:ET350"/>
  <sheetViews>
    <sheetView view="pageBreakPreview" topLeftCell="C298" zoomScale="98" zoomScaleNormal="100" zoomScaleSheetLayoutView="98" workbookViewId="0">
      <selection activeCell="J22" sqref="J22"/>
    </sheetView>
  </sheetViews>
  <sheetFormatPr defaultColWidth="10" defaultRowHeight="12.75" x14ac:dyDescent="0.2"/>
  <cols>
    <col min="1" max="1" width="1.85546875" style="1" hidden="1" customWidth="1"/>
    <col min="2" max="2" width="1.140625" style="1" hidden="1" customWidth="1"/>
    <col min="3" max="3" width="1" style="1" customWidth="1"/>
    <col min="4" max="4" width="56" style="1" customWidth="1"/>
    <col min="5" max="5" width="1" style="198" customWidth="1"/>
    <col min="6" max="6" width="1" style="1" customWidth="1"/>
    <col min="7" max="7" width="14.42578125" style="1" customWidth="1"/>
    <col min="8" max="9" width="1" style="1" customWidth="1"/>
    <col min="10" max="11" width="1" style="1" hidden="1" customWidth="1"/>
    <col min="12" max="12" width="17.85546875" style="1" hidden="1" customWidth="1"/>
    <col min="13" max="16" width="1" style="1" hidden="1" customWidth="1"/>
    <col min="17" max="17" width="14.42578125" style="1" hidden="1" customWidth="1"/>
    <col min="18" max="21" width="1" style="1" hidden="1" customWidth="1"/>
    <col min="22" max="22" width="17.85546875" style="1" hidden="1" customWidth="1"/>
    <col min="23" max="26" width="1" style="1" hidden="1" customWidth="1"/>
    <col min="27" max="27" width="17.85546875" style="1" hidden="1" customWidth="1"/>
    <col min="28" max="31" width="1" style="1" hidden="1" customWidth="1"/>
    <col min="32" max="32" width="17.85546875" style="1" hidden="1" customWidth="1"/>
    <col min="33" max="35" width="1" style="1" hidden="1" customWidth="1"/>
    <col min="36" max="36" width="1.140625" style="1" hidden="1" customWidth="1"/>
    <col min="37" max="37" width="17.85546875" style="1" hidden="1" customWidth="1"/>
    <col min="38" max="41" width="1" style="1" hidden="1" customWidth="1"/>
    <col min="42" max="42" width="17.85546875" style="1" hidden="1" customWidth="1"/>
    <col min="43" max="46" width="1" style="1" hidden="1" customWidth="1"/>
    <col min="47" max="47" width="17.85546875" style="1" hidden="1" customWidth="1"/>
    <col min="48" max="51" width="1" style="1" hidden="1" customWidth="1"/>
    <col min="52" max="52" width="17.85546875" style="1" hidden="1" customWidth="1"/>
    <col min="53" max="54" width="1" style="1" hidden="1" customWidth="1"/>
    <col min="55" max="56" width="1" style="1" customWidth="1"/>
    <col min="57" max="57" width="17.85546875" style="1" customWidth="1"/>
    <col min="58" max="59" width="1" style="1" customWidth="1"/>
    <col min="60" max="61" width="1" style="1" hidden="1" customWidth="1"/>
    <col min="62" max="62" width="17.85546875" style="1" hidden="1" customWidth="1"/>
    <col min="63" max="66" width="1" style="1" hidden="1" customWidth="1"/>
    <col min="67" max="67" width="17.85546875" style="1" hidden="1" customWidth="1"/>
    <col min="68" max="69" width="1" style="1" hidden="1" customWidth="1"/>
    <col min="70" max="71" width="1" style="1" customWidth="1"/>
    <col min="72" max="72" width="17.85546875" style="1" customWidth="1"/>
    <col min="73" max="76" width="1" style="1" customWidth="1"/>
    <col min="77" max="77" width="17.85546875" style="1" customWidth="1"/>
    <col min="78" max="79" width="1" style="1" customWidth="1"/>
    <col min="80" max="81" width="1" style="1" hidden="1" customWidth="1"/>
    <col min="82" max="82" width="17.85546875" style="1" hidden="1" customWidth="1"/>
    <col min="83" max="86" width="1" style="1" hidden="1" customWidth="1"/>
    <col min="87" max="87" width="14.42578125" style="1" hidden="1" customWidth="1"/>
    <col min="88" max="91" width="1" style="1" hidden="1" customWidth="1"/>
    <col min="92" max="92" width="17.85546875" style="1" hidden="1" customWidth="1"/>
    <col min="93" max="96" width="1" style="1" hidden="1" customWidth="1"/>
    <col min="97" max="97" width="17.85546875" style="1" hidden="1" customWidth="1"/>
    <col min="98" max="98" width="0.7109375" style="1" hidden="1" customWidth="1"/>
    <col min="99" max="101" width="1" style="1" hidden="1" customWidth="1"/>
    <col min="102" max="102" width="17.85546875" style="1" hidden="1" customWidth="1"/>
    <col min="103" max="106" width="1" style="1" hidden="1" customWidth="1"/>
    <col min="107" max="107" width="17.85546875" style="1" hidden="1" customWidth="1"/>
    <col min="108" max="111" width="1" style="1" hidden="1" customWidth="1"/>
    <col min="112" max="112" width="17.85546875" style="1" hidden="1" customWidth="1"/>
    <col min="113" max="116" width="1" style="1" hidden="1" customWidth="1"/>
    <col min="117" max="117" width="17.85546875" style="1" hidden="1" customWidth="1"/>
    <col min="118" max="121" width="1" style="1" hidden="1" customWidth="1"/>
    <col min="122" max="122" width="17.85546875" style="1" hidden="1" customWidth="1"/>
    <col min="123" max="124" width="1" style="1" hidden="1" customWidth="1"/>
    <col min="125" max="126" width="1" style="1" customWidth="1"/>
    <col min="127" max="127" width="17.85546875" style="1" customWidth="1"/>
    <col min="128" max="129" width="1" style="1" customWidth="1"/>
    <col min="130" max="131" width="1" style="1" hidden="1" customWidth="1"/>
    <col min="132" max="132" width="17.85546875" style="1" hidden="1" customWidth="1"/>
    <col min="133" max="136" width="1" style="1" hidden="1" customWidth="1"/>
    <col min="137" max="137" width="17.85546875" style="1" hidden="1" customWidth="1"/>
    <col min="138" max="139" width="1" style="1" hidden="1" customWidth="1"/>
    <col min="140" max="141" width="1" style="1" customWidth="1"/>
    <col min="142" max="142" width="14.42578125" style="1" customWidth="1"/>
    <col min="143" max="144" width="1" style="1" customWidth="1"/>
    <col min="145" max="145" width="2" style="1" customWidth="1"/>
    <col min="146" max="146" width="3.85546875" style="1" customWidth="1"/>
    <col min="147" max="147" width="15.7109375" style="1" customWidth="1"/>
    <col min="148" max="148" width="13.42578125" style="1" bestFit="1" customWidth="1"/>
    <col min="149" max="149" width="13.85546875" style="1" customWidth="1"/>
    <col min="150" max="150" width="13.42578125" style="1" bestFit="1" customWidth="1"/>
    <col min="151" max="256" width="10" style="1"/>
    <col min="257" max="258" width="0" style="1" hidden="1" customWidth="1"/>
    <col min="259" max="259" width="1" style="1" customWidth="1"/>
    <col min="260" max="260" width="56" style="1" customWidth="1"/>
    <col min="261" max="262" width="1" style="1" customWidth="1"/>
    <col min="263" max="263" width="14.42578125" style="1" customWidth="1"/>
    <col min="264" max="265" width="1" style="1" customWidth="1"/>
    <col min="266" max="310" width="0" style="1" hidden="1" customWidth="1"/>
    <col min="311" max="312" width="1" style="1" customWidth="1"/>
    <col min="313" max="313" width="17.85546875" style="1" customWidth="1"/>
    <col min="314" max="315" width="1" style="1" customWidth="1"/>
    <col min="316" max="325" width="0" style="1" hidden="1" customWidth="1"/>
    <col min="326" max="327" width="1" style="1" customWidth="1"/>
    <col min="328" max="328" width="17.85546875" style="1" customWidth="1"/>
    <col min="329" max="332" width="1" style="1" customWidth="1"/>
    <col min="333" max="333" width="17.85546875" style="1" customWidth="1"/>
    <col min="334" max="335" width="1" style="1" customWidth="1"/>
    <col min="336" max="380" width="0" style="1" hidden="1" customWidth="1"/>
    <col min="381" max="382" width="1" style="1" customWidth="1"/>
    <col min="383" max="383" width="17.85546875" style="1" customWidth="1"/>
    <col min="384" max="385" width="1" style="1" customWidth="1"/>
    <col min="386" max="395" width="0" style="1" hidden="1" customWidth="1"/>
    <col min="396" max="397" width="1" style="1" customWidth="1"/>
    <col min="398" max="398" width="14.42578125" style="1" customWidth="1"/>
    <col min="399" max="400" width="1" style="1" customWidth="1"/>
    <col min="401" max="401" width="2" style="1" customWidth="1"/>
    <col min="402" max="402" width="3.85546875" style="1" customWidth="1"/>
    <col min="403" max="403" width="15.7109375" style="1" customWidth="1"/>
    <col min="404" max="404" width="13.42578125" style="1" bestFit="1" customWidth="1"/>
    <col min="405" max="405" width="13.85546875" style="1" customWidth="1"/>
    <col min="406" max="406" width="13.42578125" style="1" bestFit="1" customWidth="1"/>
    <col min="407" max="512" width="10" style="1"/>
    <col min="513" max="514" width="0" style="1" hidden="1" customWidth="1"/>
    <col min="515" max="515" width="1" style="1" customWidth="1"/>
    <col min="516" max="516" width="56" style="1" customWidth="1"/>
    <col min="517" max="518" width="1" style="1" customWidth="1"/>
    <col min="519" max="519" width="14.42578125" style="1" customWidth="1"/>
    <col min="520" max="521" width="1" style="1" customWidth="1"/>
    <col min="522" max="566" width="0" style="1" hidden="1" customWidth="1"/>
    <col min="567" max="568" width="1" style="1" customWidth="1"/>
    <col min="569" max="569" width="17.85546875" style="1" customWidth="1"/>
    <col min="570" max="571" width="1" style="1" customWidth="1"/>
    <col min="572" max="581" width="0" style="1" hidden="1" customWidth="1"/>
    <col min="582" max="583" width="1" style="1" customWidth="1"/>
    <col min="584" max="584" width="17.85546875" style="1" customWidth="1"/>
    <col min="585" max="588" width="1" style="1" customWidth="1"/>
    <col min="589" max="589" width="17.85546875" style="1" customWidth="1"/>
    <col min="590" max="591" width="1" style="1" customWidth="1"/>
    <col min="592" max="636" width="0" style="1" hidden="1" customWidth="1"/>
    <col min="637" max="638" width="1" style="1" customWidth="1"/>
    <col min="639" max="639" width="17.85546875" style="1" customWidth="1"/>
    <col min="640" max="641" width="1" style="1" customWidth="1"/>
    <col min="642" max="651" width="0" style="1" hidden="1" customWidth="1"/>
    <col min="652" max="653" width="1" style="1" customWidth="1"/>
    <col min="654" max="654" width="14.42578125" style="1" customWidth="1"/>
    <col min="655" max="656" width="1" style="1" customWidth="1"/>
    <col min="657" max="657" width="2" style="1" customWidth="1"/>
    <col min="658" max="658" width="3.85546875" style="1" customWidth="1"/>
    <col min="659" max="659" width="15.7109375" style="1" customWidth="1"/>
    <col min="660" max="660" width="13.42578125" style="1" bestFit="1" customWidth="1"/>
    <col min="661" max="661" width="13.85546875" style="1" customWidth="1"/>
    <col min="662" max="662" width="13.42578125" style="1" bestFit="1" customWidth="1"/>
    <col min="663" max="768" width="10" style="1"/>
    <col min="769" max="770" width="0" style="1" hidden="1" customWidth="1"/>
    <col min="771" max="771" width="1" style="1" customWidth="1"/>
    <col min="772" max="772" width="56" style="1" customWidth="1"/>
    <col min="773" max="774" width="1" style="1" customWidth="1"/>
    <col min="775" max="775" width="14.42578125" style="1" customWidth="1"/>
    <col min="776" max="777" width="1" style="1" customWidth="1"/>
    <col min="778" max="822" width="0" style="1" hidden="1" customWidth="1"/>
    <col min="823" max="824" width="1" style="1" customWidth="1"/>
    <col min="825" max="825" width="17.85546875" style="1" customWidth="1"/>
    <col min="826" max="827" width="1" style="1" customWidth="1"/>
    <col min="828" max="837" width="0" style="1" hidden="1" customWidth="1"/>
    <col min="838" max="839" width="1" style="1" customWidth="1"/>
    <col min="840" max="840" width="17.85546875" style="1" customWidth="1"/>
    <col min="841" max="844" width="1" style="1" customWidth="1"/>
    <col min="845" max="845" width="17.85546875" style="1" customWidth="1"/>
    <col min="846" max="847" width="1" style="1" customWidth="1"/>
    <col min="848" max="892" width="0" style="1" hidden="1" customWidth="1"/>
    <col min="893" max="894" width="1" style="1" customWidth="1"/>
    <col min="895" max="895" width="17.85546875" style="1" customWidth="1"/>
    <col min="896" max="897" width="1" style="1" customWidth="1"/>
    <col min="898" max="907" width="0" style="1" hidden="1" customWidth="1"/>
    <col min="908" max="909" width="1" style="1" customWidth="1"/>
    <col min="910" max="910" width="14.42578125" style="1" customWidth="1"/>
    <col min="911" max="912" width="1" style="1" customWidth="1"/>
    <col min="913" max="913" width="2" style="1" customWidth="1"/>
    <col min="914" max="914" width="3.85546875" style="1" customWidth="1"/>
    <col min="915" max="915" width="15.7109375" style="1" customWidth="1"/>
    <col min="916" max="916" width="13.42578125" style="1" bestFit="1" customWidth="1"/>
    <col min="917" max="917" width="13.85546875" style="1" customWidth="1"/>
    <col min="918" max="918" width="13.42578125" style="1" bestFit="1" customWidth="1"/>
    <col min="919" max="1024" width="10" style="1"/>
    <col min="1025" max="1026" width="0" style="1" hidden="1" customWidth="1"/>
    <col min="1027" max="1027" width="1" style="1" customWidth="1"/>
    <col min="1028" max="1028" width="56" style="1" customWidth="1"/>
    <col min="1029" max="1030" width="1" style="1" customWidth="1"/>
    <col min="1031" max="1031" width="14.42578125" style="1" customWidth="1"/>
    <col min="1032" max="1033" width="1" style="1" customWidth="1"/>
    <col min="1034" max="1078" width="0" style="1" hidden="1" customWidth="1"/>
    <col min="1079" max="1080" width="1" style="1" customWidth="1"/>
    <col min="1081" max="1081" width="17.85546875" style="1" customWidth="1"/>
    <col min="1082" max="1083" width="1" style="1" customWidth="1"/>
    <col min="1084" max="1093" width="0" style="1" hidden="1" customWidth="1"/>
    <col min="1094" max="1095" width="1" style="1" customWidth="1"/>
    <col min="1096" max="1096" width="17.85546875" style="1" customWidth="1"/>
    <col min="1097" max="1100" width="1" style="1" customWidth="1"/>
    <col min="1101" max="1101" width="17.85546875" style="1" customWidth="1"/>
    <col min="1102" max="1103" width="1" style="1" customWidth="1"/>
    <col min="1104" max="1148" width="0" style="1" hidden="1" customWidth="1"/>
    <col min="1149" max="1150" width="1" style="1" customWidth="1"/>
    <col min="1151" max="1151" width="17.85546875" style="1" customWidth="1"/>
    <col min="1152" max="1153" width="1" style="1" customWidth="1"/>
    <col min="1154" max="1163" width="0" style="1" hidden="1" customWidth="1"/>
    <col min="1164" max="1165" width="1" style="1" customWidth="1"/>
    <col min="1166" max="1166" width="14.42578125" style="1" customWidth="1"/>
    <col min="1167" max="1168" width="1" style="1" customWidth="1"/>
    <col min="1169" max="1169" width="2" style="1" customWidth="1"/>
    <col min="1170" max="1170" width="3.85546875" style="1" customWidth="1"/>
    <col min="1171" max="1171" width="15.7109375" style="1" customWidth="1"/>
    <col min="1172" max="1172" width="13.42578125" style="1" bestFit="1" customWidth="1"/>
    <col min="1173" max="1173" width="13.85546875" style="1" customWidth="1"/>
    <col min="1174" max="1174" width="13.42578125" style="1" bestFit="1" customWidth="1"/>
    <col min="1175" max="1280" width="10" style="1"/>
    <col min="1281" max="1282" width="0" style="1" hidden="1" customWidth="1"/>
    <col min="1283" max="1283" width="1" style="1" customWidth="1"/>
    <col min="1284" max="1284" width="56" style="1" customWidth="1"/>
    <col min="1285" max="1286" width="1" style="1" customWidth="1"/>
    <col min="1287" max="1287" width="14.42578125" style="1" customWidth="1"/>
    <col min="1288" max="1289" width="1" style="1" customWidth="1"/>
    <col min="1290" max="1334" width="0" style="1" hidden="1" customWidth="1"/>
    <col min="1335" max="1336" width="1" style="1" customWidth="1"/>
    <col min="1337" max="1337" width="17.85546875" style="1" customWidth="1"/>
    <col min="1338" max="1339" width="1" style="1" customWidth="1"/>
    <col min="1340" max="1349" width="0" style="1" hidden="1" customWidth="1"/>
    <col min="1350" max="1351" width="1" style="1" customWidth="1"/>
    <col min="1352" max="1352" width="17.85546875" style="1" customWidth="1"/>
    <col min="1353" max="1356" width="1" style="1" customWidth="1"/>
    <col min="1357" max="1357" width="17.85546875" style="1" customWidth="1"/>
    <col min="1358" max="1359" width="1" style="1" customWidth="1"/>
    <col min="1360" max="1404" width="0" style="1" hidden="1" customWidth="1"/>
    <col min="1405" max="1406" width="1" style="1" customWidth="1"/>
    <col min="1407" max="1407" width="17.85546875" style="1" customWidth="1"/>
    <col min="1408" max="1409" width="1" style="1" customWidth="1"/>
    <col min="1410" max="1419" width="0" style="1" hidden="1" customWidth="1"/>
    <col min="1420" max="1421" width="1" style="1" customWidth="1"/>
    <col min="1422" max="1422" width="14.42578125" style="1" customWidth="1"/>
    <col min="1423" max="1424" width="1" style="1" customWidth="1"/>
    <col min="1425" max="1425" width="2" style="1" customWidth="1"/>
    <col min="1426" max="1426" width="3.85546875" style="1" customWidth="1"/>
    <col min="1427" max="1427" width="15.7109375" style="1" customWidth="1"/>
    <col min="1428" max="1428" width="13.42578125" style="1" bestFit="1" customWidth="1"/>
    <col min="1429" max="1429" width="13.85546875" style="1" customWidth="1"/>
    <col min="1430" max="1430" width="13.42578125" style="1" bestFit="1" customWidth="1"/>
    <col min="1431" max="1536" width="10" style="1"/>
    <col min="1537" max="1538" width="0" style="1" hidden="1" customWidth="1"/>
    <col min="1539" max="1539" width="1" style="1" customWidth="1"/>
    <col min="1540" max="1540" width="56" style="1" customWidth="1"/>
    <col min="1541" max="1542" width="1" style="1" customWidth="1"/>
    <col min="1543" max="1543" width="14.42578125" style="1" customWidth="1"/>
    <col min="1544" max="1545" width="1" style="1" customWidth="1"/>
    <col min="1546" max="1590" width="0" style="1" hidden="1" customWidth="1"/>
    <col min="1591" max="1592" width="1" style="1" customWidth="1"/>
    <col min="1593" max="1593" width="17.85546875" style="1" customWidth="1"/>
    <col min="1594" max="1595" width="1" style="1" customWidth="1"/>
    <col min="1596" max="1605" width="0" style="1" hidden="1" customWidth="1"/>
    <col min="1606" max="1607" width="1" style="1" customWidth="1"/>
    <col min="1608" max="1608" width="17.85546875" style="1" customWidth="1"/>
    <col min="1609" max="1612" width="1" style="1" customWidth="1"/>
    <col min="1613" max="1613" width="17.85546875" style="1" customWidth="1"/>
    <col min="1614" max="1615" width="1" style="1" customWidth="1"/>
    <col min="1616" max="1660" width="0" style="1" hidden="1" customWidth="1"/>
    <col min="1661" max="1662" width="1" style="1" customWidth="1"/>
    <col min="1663" max="1663" width="17.85546875" style="1" customWidth="1"/>
    <col min="1664" max="1665" width="1" style="1" customWidth="1"/>
    <col min="1666" max="1675" width="0" style="1" hidden="1" customWidth="1"/>
    <col min="1676" max="1677" width="1" style="1" customWidth="1"/>
    <col min="1678" max="1678" width="14.42578125" style="1" customWidth="1"/>
    <col min="1679" max="1680" width="1" style="1" customWidth="1"/>
    <col min="1681" max="1681" width="2" style="1" customWidth="1"/>
    <col min="1682" max="1682" width="3.85546875" style="1" customWidth="1"/>
    <col min="1683" max="1683" width="15.7109375" style="1" customWidth="1"/>
    <col min="1684" max="1684" width="13.42578125" style="1" bestFit="1" customWidth="1"/>
    <col min="1685" max="1685" width="13.85546875" style="1" customWidth="1"/>
    <col min="1686" max="1686" width="13.42578125" style="1" bestFit="1" customWidth="1"/>
    <col min="1687" max="1792" width="10" style="1"/>
    <col min="1793" max="1794" width="0" style="1" hidden="1" customWidth="1"/>
    <col min="1795" max="1795" width="1" style="1" customWidth="1"/>
    <col min="1796" max="1796" width="56" style="1" customWidth="1"/>
    <col min="1797" max="1798" width="1" style="1" customWidth="1"/>
    <col min="1799" max="1799" width="14.42578125" style="1" customWidth="1"/>
    <col min="1800" max="1801" width="1" style="1" customWidth="1"/>
    <col min="1802" max="1846" width="0" style="1" hidden="1" customWidth="1"/>
    <col min="1847" max="1848" width="1" style="1" customWidth="1"/>
    <col min="1849" max="1849" width="17.85546875" style="1" customWidth="1"/>
    <col min="1850" max="1851" width="1" style="1" customWidth="1"/>
    <col min="1852" max="1861" width="0" style="1" hidden="1" customWidth="1"/>
    <col min="1862" max="1863" width="1" style="1" customWidth="1"/>
    <col min="1864" max="1864" width="17.85546875" style="1" customWidth="1"/>
    <col min="1865" max="1868" width="1" style="1" customWidth="1"/>
    <col min="1869" max="1869" width="17.85546875" style="1" customWidth="1"/>
    <col min="1870" max="1871" width="1" style="1" customWidth="1"/>
    <col min="1872" max="1916" width="0" style="1" hidden="1" customWidth="1"/>
    <col min="1917" max="1918" width="1" style="1" customWidth="1"/>
    <col min="1919" max="1919" width="17.85546875" style="1" customWidth="1"/>
    <col min="1920" max="1921" width="1" style="1" customWidth="1"/>
    <col min="1922" max="1931" width="0" style="1" hidden="1" customWidth="1"/>
    <col min="1932" max="1933" width="1" style="1" customWidth="1"/>
    <col min="1934" max="1934" width="14.42578125" style="1" customWidth="1"/>
    <col min="1935" max="1936" width="1" style="1" customWidth="1"/>
    <col min="1937" max="1937" width="2" style="1" customWidth="1"/>
    <col min="1938" max="1938" width="3.85546875" style="1" customWidth="1"/>
    <col min="1939" max="1939" width="15.7109375" style="1" customWidth="1"/>
    <col min="1940" max="1940" width="13.42578125" style="1" bestFit="1" customWidth="1"/>
    <col min="1941" max="1941" width="13.85546875" style="1" customWidth="1"/>
    <col min="1942" max="1942" width="13.42578125" style="1" bestFit="1" customWidth="1"/>
    <col min="1943" max="2048" width="10" style="1"/>
    <col min="2049" max="2050" width="0" style="1" hidden="1" customWidth="1"/>
    <col min="2051" max="2051" width="1" style="1" customWidth="1"/>
    <col min="2052" max="2052" width="56" style="1" customWidth="1"/>
    <col min="2053" max="2054" width="1" style="1" customWidth="1"/>
    <col min="2055" max="2055" width="14.42578125" style="1" customWidth="1"/>
    <col min="2056" max="2057" width="1" style="1" customWidth="1"/>
    <col min="2058" max="2102" width="0" style="1" hidden="1" customWidth="1"/>
    <col min="2103" max="2104" width="1" style="1" customWidth="1"/>
    <col min="2105" max="2105" width="17.85546875" style="1" customWidth="1"/>
    <col min="2106" max="2107" width="1" style="1" customWidth="1"/>
    <col min="2108" max="2117" width="0" style="1" hidden="1" customWidth="1"/>
    <col min="2118" max="2119" width="1" style="1" customWidth="1"/>
    <col min="2120" max="2120" width="17.85546875" style="1" customWidth="1"/>
    <col min="2121" max="2124" width="1" style="1" customWidth="1"/>
    <col min="2125" max="2125" width="17.85546875" style="1" customWidth="1"/>
    <col min="2126" max="2127" width="1" style="1" customWidth="1"/>
    <col min="2128" max="2172" width="0" style="1" hidden="1" customWidth="1"/>
    <col min="2173" max="2174" width="1" style="1" customWidth="1"/>
    <col min="2175" max="2175" width="17.85546875" style="1" customWidth="1"/>
    <col min="2176" max="2177" width="1" style="1" customWidth="1"/>
    <col min="2178" max="2187" width="0" style="1" hidden="1" customWidth="1"/>
    <col min="2188" max="2189" width="1" style="1" customWidth="1"/>
    <col min="2190" max="2190" width="14.42578125" style="1" customWidth="1"/>
    <col min="2191" max="2192" width="1" style="1" customWidth="1"/>
    <col min="2193" max="2193" width="2" style="1" customWidth="1"/>
    <col min="2194" max="2194" width="3.85546875" style="1" customWidth="1"/>
    <col min="2195" max="2195" width="15.7109375" style="1" customWidth="1"/>
    <col min="2196" max="2196" width="13.42578125" style="1" bestFit="1" customWidth="1"/>
    <col min="2197" max="2197" width="13.85546875" style="1" customWidth="1"/>
    <col min="2198" max="2198" width="13.42578125" style="1" bestFit="1" customWidth="1"/>
    <col min="2199" max="2304" width="10" style="1"/>
    <col min="2305" max="2306" width="0" style="1" hidden="1" customWidth="1"/>
    <col min="2307" max="2307" width="1" style="1" customWidth="1"/>
    <col min="2308" max="2308" width="56" style="1" customWidth="1"/>
    <col min="2309" max="2310" width="1" style="1" customWidth="1"/>
    <col min="2311" max="2311" width="14.42578125" style="1" customWidth="1"/>
    <col min="2312" max="2313" width="1" style="1" customWidth="1"/>
    <col min="2314" max="2358" width="0" style="1" hidden="1" customWidth="1"/>
    <col min="2359" max="2360" width="1" style="1" customWidth="1"/>
    <col min="2361" max="2361" width="17.85546875" style="1" customWidth="1"/>
    <col min="2362" max="2363" width="1" style="1" customWidth="1"/>
    <col min="2364" max="2373" width="0" style="1" hidden="1" customWidth="1"/>
    <col min="2374" max="2375" width="1" style="1" customWidth="1"/>
    <col min="2376" max="2376" width="17.85546875" style="1" customWidth="1"/>
    <col min="2377" max="2380" width="1" style="1" customWidth="1"/>
    <col min="2381" max="2381" width="17.85546875" style="1" customWidth="1"/>
    <col min="2382" max="2383" width="1" style="1" customWidth="1"/>
    <col min="2384" max="2428" width="0" style="1" hidden="1" customWidth="1"/>
    <col min="2429" max="2430" width="1" style="1" customWidth="1"/>
    <col min="2431" max="2431" width="17.85546875" style="1" customWidth="1"/>
    <col min="2432" max="2433" width="1" style="1" customWidth="1"/>
    <col min="2434" max="2443" width="0" style="1" hidden="1" customWidth="1"/>
    <col min="2444" max="2445" width="1" style="1" customWidth="1"/>
    <col min="2446" max="2446" width="14.42578125" style="1" customWidth="1"/>
    <col min="2447" max="2448" width="1" style="1" customWidth="1"/>
    <col min="2449" max="2449" width="2" style="1" customWidth="1"/>
    <col min="2450" max="2450" width="3.85546875" style="1" customWidth="1"/>
    <col min="2451" max="2451" width="15.7109375" style="1" customWidth="1"/>
    <col min="2452" max="2452" width="13.42578125" style="1" bestFit="1" customWidth="1"/>
    <col min="2453" max="2453" width="13.85546875" style="1" customWidth="1"/>
    <col min="2454" max="2454" width="13.42578125" style="1" bestFit="1" customWidth="1"/>
    <col min="2455" max="2560" width="10" style="1"/>
    <col min="2561" max="2562" width="0" style="1" hidden="1" customWidth="1"/>
    <col min="2563" max="2563" width="1" style="1" customWidth="1"/>
    <col min="2564" max="2564" width="56" style="1" customWidth="1"/>
    <col min="2565" max="2566" width="1" style="1" customWidth="1"/>
    <col min="2567" max="2567" width="14.42578125" style="1" customWidth="1"/>
    <col min="2568" max="2569" width="1" style="1" customWidth="1"/>
    <col min="2570" max="2614" width="0" style="1" hidden="1" customWidth="1"/>
    <col min="2615" max="2616" width="1" style="1" customWidth="1"/>
    <col min="2617" max="2617" width="17.85546875" style="1" customWidth="1"/>
    <col min="2618" max="2619" width="1" style="1" customWidth="1"/>
    <col min="2620" max="2629" width="0" style="1" hidden="1" customWidth="1"/>
    <col min="2630" max="2631" width="1" style="1" customWidth="1"/>
    <col min="2632" max="2632" width="17.85546875" style="1" customWidth="1"/>
    <col min="2633" max="2636" width="1" style="1" customWidth="1"/>
    <col min="2637" max="2637" width="17.85546875" style="1" customWidth="1"/>
    <col min="2638" max="2639" width="1" style="1" customWidth="1"/>
    <col min="2640" max="2684" width="0" style="1" hidden="1" customWidth="1"/>
    <col min="2685" max="2686" width="1" style="1" customWidth="1"/>
    <col min="2687" max="2687" width="17.85546875" style="1" customWidth="1"/>
    <col min="2688" max="2689" width="1" style="1" customWidth="1"/>
    <col min="2690" max="2699" width="0" style="1" hidden="1" customWidth="1"/>
    <col min="2700" max="2701" width="1" style="1" customWidth="1"/>
    <col min="2702" max="2702" width="14.42578125" style="1" customWidth="1"/>
    <col min="2703" max="2704" width="1" style="1" customWidth="1"/>
    <col min="2705" max="2705" width="2" style="1" customWidth="1"/>
    <col min="2706" max="2706" width="3.85546875" style="1" customWidth="1"/>
    <col min="2707" max="2707" width="15.7109375" style="1" customWidth="1"/>
    <col min="2708" max="2708" width="13.42578125" style="1" bestFit="1" customWidth="1"/>
    <col min="2709" max="2709" width="13.85546875" style="1" customWidth="1"/>
    <col min="2710" max="2710" width="13.42578125" style="1" bestFit="1" customWidth="1"/>
    <col min="2711" max="2816" width="10" style="1"/>
    <col min="2817" max="2818" width="0" style="1" hidden="1" customWidth="1"/>
    <col min="2819" max="2819" width="1" style="1" customWidth="1"/>
    <col min="2820" max="2820" width="56" style="1" customWidth="1"/>
    <col min="2821" max="2822" width="1" style="1" customWidth="1"/>
    <col min="2823" max="2823" width="14.42578125" style="1" customWidth="1"/>
    <col min="2824" max="2825" width="1" style="1" customWidth="1"/>
    <col min="2826" max="2870" width="0" style="1" hidden="1" customWidth="1"/>
    <col min="2871" max="2872" width="1" style="1" customWidth="1"/>
    <col min="2873" max="2873" width="17.85546875" style="1" customWidth="1"/>
    <col min="2874" max="2875" width="1" style="1" customWidth="1"/>
    <col min="2876" max="2885" width="0" style="1" hidden="1" customWidth="1"/>
    <col min="2886" max="2887" width="1" style="1" customWidth="1"/>
    <col min="2888" max="2888" width="17.85546875" style="1" customWidth="1"/>
    <col min="2889" max="2892" width="1" style="1" customWidth="1"/>
    <col min="2893" max="2893" width="17.85546875" style="1" customWidth="1"/>
    <col min="2894" max="2895" width="1" style="1" customWidth="1"/>
    <col min="2896" max="2940" width="0" style="1" hidden="1" customWidth="1"/>
    <col min="2941" max="2942" width="1" style="1" customWidth="1"/>
    <col min="2943" max="2943" width="17.85546875" style="1" customWidth="1"/>
    <col min="2944" max="2945" width="1" style="1" customWidth="1"/>
    <col min="2946" max="2955" width="0" style="1" hidden="1" customWidth="1"/>
    <col min="2956" max="2957" width="1" style="1" customWidth="1"/>
    <col min="2958" max="2958" width="14.42578125" style="1" customWidth="1"/>
    <col min="2959" max="2960" width="1" style="1" customWidth="1"/>
    <col min="2961" max="2961" width="2" style="1" customWidth="1"/>
    <col min="2962" max="2962" width="3.85546875" style="1" customWidth="1"/>
    <col min="2963" max="2963" width="15.7109375" style="1" customWidth="1"/>
    <col min="2964" max="2964" width="13.42578125" style="1" bestFit="1" customWidth="1"/>
    <col min="2965" max="2965" width="13.85546875" style="1" customWidth="1"/>
    <col min="2966" max="2966" width="13.42578125" style="1" bestFit="1" customWidth="1"/>
    <col min="2967" max="3072" width="10" style="1"/>
    <col min="3073" max="3074" width="0" style="1" hidden="1" customWidth="1"/>
    <col min="3075" max="3075" width="1" style="1" customWidth="1"/>
    <col min="3076" max="3076" width="56" style="1" customWidth="1"/>
    <col min="3077" max="3078" width="1" style="1" customWidth="1"/>
    <col min="3079" max="3079" width="14.42578125" style="1" customWidth="1"/>
    <col min="3080" max="3081" width="1" style="1" customWidth="1"/>
    <col min="3082" max="3126" width="0" style="1" hidden="1" customWidth="1"/>
    <col min="3127" max="3128" width="1" style="1" customWidth="1"/>
    <col min="3129" max="3129" width="17.85546875" style="1" customWidth="1"/>
    <col min="3130" max="3131" width="1" style="1" customWidth="1"/>
    <col min="3132" max="3141" width="0" style="1" hidden="1" customWidth="1"/>
    <col min="3142" max="3143" width="1" style="1" customWidth="1"/>
    <col min="3144" max="3144" width="17.85546875" style="1" customWidth="1"/>
    <col min="3145" max="3148" width="1" style="1" customWidth="1"/>
    <col min="3149" max="3149" width="17.85546875" style="1" customWidth="1"/>
    <col min="3150" max="3151" width="1" style="1" customWidth="1"/>
    <col min="3152" max="3196" width="0" style="1" hidden="1" customWidth="1"/>
    <col min="3197" max="3198" width="1" style="1" customWidth="1"/>
    <col min="3199" max="3199" width="17.85546875" style="1" customWidth="1"/>
    <col min="3200" max="3201" width="1" style="1" customWidth="1"/>
    <col min="3202" max="3211" width="0" style="1" hidden="1" customWidth="1"/>
    <col min="3212" max="3213" width="1" style="1" customWidth="1"/>
    <col min="3214" max="3214" width="14.42578125" style="1" customWidth="1"/>
    <col min="3215" max="3216" width="1" style="1" customWidth="1"/>
    <col min="3217" max="3217" width="2" style="1" customWidth="1"/>
    <col min="3218" max="3218" width="3.85546875" style="1" customWidth="1"/>
    <col min="3219" max="3219" width="15.7109375" style="1" customWidth="1"/>
    <col min="3220" max="3220" width="13.42578125" style="1" bestFit="1" customWidth="1"/>
    <col min="3221" max="3221" width="13.85546875" style="1" customWidth="1"/>
    <col min="3222" max="3222" width="13.42578125" style="1" bestFit="1" customWidth="1"/>
    <col min="3223" max="3328" width="10" style="1"/>
    <col min="3329" max="3330" width="0" style="1" hidden="1" customWidth="1"/>
    <col min="3331" max="3331" width="1" style="1" customWidth="1"/>
    <col min="3332" max="3332" width="56" style="1" customWidth="1"/>
    <col min="3333" max="3334" width="1" style="1" customWidth="1"/>
    <col min="3335" max="3335" width="14.42578125" style="1" customWidth="1"/>
    <col min="3336" max="3337" width="1" style="1" customWidth="1"/>
    <col min="3338" max="3382" width="0" style="1" hidden="1" customWidth="1"/>
    <col min="3383" max="3384" width="1" style="1" customWidth="1"/>
    <col min="3385" max="3385" width="17.85546875" style="1" customWidth="1"/>
    <col min="3386" max="3387" width="1" style="1" customWidth="1"/>
    <col min="3388" max="3397" width="0" style="1" hidden="1" customWidth="1"/>
    <col min="3398" max="3399" width="1" style="1" customWidth="1"/>
    <col min="3400" max="3400" width="17.85546875" style="1" customWidth="1"/>
    <col min="3401" max="3404" width="1" style="1" customWidth="1"/>
    <col min="3405" max="3405" width="17.85546875" style="1" customWidth="1"/>
    <col min="3406" max="3407" width="1" style="1" customWidth="1"/>
    <col min="3408" max="3452" width="0" style="1" hidden="1" customWidth="1"/>
    <col min="3453" max="3454" width="1" style="1" customWidth="1"/>
    <col min="3455" max="3455" width="17.85546875" style="1" customWidth="1"/>
    <col min="3456" max="3457" width="1" style="1" customWidth="1"/>
    <col min="3458" max="3467" width="0" style="1" hidden="1" customWidth="1"/>
    <col min="3468" max="3469" width="1" style="1" customWidth="1"/>
    <col min="3470" max="3470" width="14.42578125" style="1" customWidth="1"/>
    <col min="3471" max="3472" width="1" style="1" customWidth="1"/>
    <col min="3473" max="3473" width="2" style="1" customWidth="1"/>
    <col min="3474" max="3474" width="3.85546875" style="1" customWidth="1"/>
    <col min="3475" max="3475" width="15.7109375" style="1" customWidth="1"/>
    <col min="3476" max="3476" width="13.42578125" style="1" bestFit="1" customWidth="1"/>
    <col min="3477" max="3477" width="13.85546875" style="1" customWidth="1"/>
    <col min="3478" max="3478" width="13.42578125" style="1" bestFit="1" customWidth="1"/>
    <col min="3479" max="3584" width="10" style="1"/>
    <col min="3585" max="3586" width="0" style="1" hidden="1" customWidth="1"/>
    <col min="3587" max="3587" width="1" style="1" customWidth="1"/>
    <col min="3588" max="3588" width="56" style="1" customWidth="1"/>
    <col min="3589" max="3590" width="1" style="1" customWidth="1"/>
    <col min="3591" max="3591" width="14.42578125" style="1" customWidth="1"/>
    <col min="3592" max="3593" width="1" style="1" customWidth="1"/>
    <col min="3594" max="3638" width="0" style="1" hidden="1" customWidth="1"/>
    <col min="3639" max="3640" width="1" style="1" customWidth="1"/>
    <col min="3641" max="3641" width="17.85546875" style="1" customWidth="1"/>
    <col min="3642" max="3643" width="1" style="1" customWidth="1"/>
    <col min="3644" max="3653" width="0" style="1" hidden="1" customWidth="1"/>
    <col min="3654" max="3655" width="1" style="1" customWidth="1"/>
    <col min="3656" max="3656" width="17.85546875" style="1" customWidth="1"/>
    <col min="3657" max="3660" width="1" style="1" customWidth="1"/>
    <col min="3661" max="3661" width="17.85546875" style="1" customWidth="1"/>
    <col min="3662" max="3663" width="1" style="1" customWidth="1"/>
    <col min="3664" max="3708" width="0" style="1" hidden="1" customWidth="1"/>
    <col min="3709" max="3710" width="1" style="1" customWidth="1"/>
    <col min="3711" max="3711" width="17.85546875" style="1" customWidth="1"/>
    <col min="3712" max="3713" width="1" style="1" customWidth="1"/>
    <col min="3714" max="3723" width="0" style="1" hidden="1" customWidth="1"/>
    <col min="3724" max="3725" width="1" style="1" customWidth="1"/>
    <col min="3726" max="3726" width="14.42578125" style="1" customWidth="1"/>
    <col min="3727" max="3728" width="1" style="1" customWidth="1"/>
    <col min="3729" max="3729" width="2" style="1" customWidth="1"/>
    <col min="3730" max="3730" width="3.85546875" style="1" customWidth="1"/>
    <col min="3731" max="3731" width="15.7109375" style="1" customWidth="1"/>
    <col min="3732" max="3732" width="13.42578125" style="1" bestFit="1" customWidth="1"/>
    <col min="3733" max="3733" width="13.85546875" style="1" customWidth="1"/>
    <col min="3734" max="3734" width="13.42578125" style="1" bestFit="1" customWidth="1"/>
    <col min="3735" max="3840" width="10" style="1"/>
    <col min="3841" max="3842" width="0" style="1" hidden="1" customWidth="1"/>
    <col min="3843" max="3843" width="1" style="1" customWidth="1"/>
    <col min="3844" max="3844" width="56" style="1" customWidth="1"/>
    <col min="3845" max="3846" width="1" style="1" customWidth="1"/>
    <col min="3847" max="3847" width="14.42578125" style="1" customWidth="1"/>
    <col min="3848" max="3849" width="1" style="1" customWidth="1"/>
    <col min="3850" max="3894" width="0" style="1" hidden="1" customWidth="1"/>
    <col min="3895" max="3896" width="1" style="1" customWidth="1"/>
    <col min="3897" max="3897" width="17.85546875" style="1" customWidth="1"/>
    <col min="3898" max="3899" width="1" style="1" customWidth="1"/>
    <col min="3900" max="3909" width="0" style="1" hidden="1" customWidth="1"/>
    <col min="3910" max="3911" width="1" style="1" customWidth="1"/>
    <col min="3912" max="3912" width="17.85546875" style="1" customWidth="1"/>
    <col min="3913" max="3916" width="1" style="1" customWidth="1"/>
    <col min="3917" max="3917" width="17.85546875" style="1" customWidth="1"/>
    <col min="3918" max="3919" width="1" style="1" customWidth="1"/>
    <col min="3920" max="3964" width="0" style="1" hidden="1" customWidth="1"/>
    <col min="3965" max="3966" width="1" style="1" customWidth="1"/>
    <col min="3967" max="3967" width="17.85546875" style="1" customWidth="1"/>
    <col min="3968" max="3969" width="1" style="1" customWidth="1"/>
    <col min="3970" max="3979" width="0" style="1" hidden="1" customWidth="1"/>
    <col min="3980" max="3981" width="1" style="1" customWidth="1"/>
    <col min="3982" max="3982" width="14.42578125" style="1" customWidth="1"/>
    <col min="3983" max="3984" width="1" style="1" customWidth="1"/>
    <col min="3985" max="3985" width="2" style="1" customWidth="1"/>
    <col min="3986" max="3986" width="3.85546875" style="1" customWidth="1"/>
    <col min="3987" max="3987" width="15.7109375" style="1" customWidth="1"/>
    <col min="3988" max="3988" width="13.42578125" style="1" bestFit="1" customWidth="1"/>
    <col min="3989" max="3989" width="13.85546875" style="1" customWidth="1"/>
    <col min="3990" max="3990" width="13.42578125" style="1" bestFit="1" customWidth="1"/>
    <col min="3991" max="4096" width="10" style="1"/>
    <col min="4097" max="4098" width="0" style="1" hidden="1" customWidth="1"/>
    <col min="4099" max="4099" width="1" style="1" customWidth="1"/>
    <col min="4100" max="4100" width="56" style="1" customWidth="1"/>
    <col min="4101" max="4102" width="1" style="1" customWidth="1"/>
    <col min="4103" max="4103" width="14.42578125" style="1" customWidth="1"/>
    <col min="4104" max="4105" width="1" style="1" customWidth="1"/>
    <col min="4106" max="4150" width="0" style="1" hidden="1" customWidth="1"/>
    <col min="4151" max="4152" width="1" style="1" customWidth="1"/>
    <col min="4153" max="4153" width="17.85546875" style="1" customWidth="1"/>
    <col min="4154" max="4155" width="1" style="1" customWidth="1"/>
    <col min="4156" max="4165" width="0" style="1" hidden="1" customWidth="1"/>
    <col min="4166" max="4167" width="1" style="1" customWidth="1"/>
    <col min="4168" max="4168" width="17.85546875" style="1" customWidth="1"/>
    <col min="4169" max="4172" width="1" style="1" customWidth="1"/>
    <col min="4173" max="4173" width="17.85546875" style="1" customWidth="1"/>
    <col min="4174" max="4175" width="1" style="1" customWidth="1"/>
    <col min="4176" max="4220" width="0" style="1" hidden="1" customWidth="1"/>
    <col min="4221" max="4222" width="1" style="1" customWidth="1"/>
    <col min="4223" max="4223" width="17.85546875" style="1" customWidth="1"/>
    <col min="4224" max="4225" width="1" style="1" customWidth="1"/>
    <col min="4226" max="4235" width="0" style="1" hidden="1" customWidth="1"/>
    <col min="4236" max="4237" width="1" style="1" customWidth="1"/>
    <col min="4238" max="4238" width="14.42578125" style="1" customWidth="1"/>
    <col min="4239" max="4240" width="1" style="1" customWidth="1"/>
    <col min="4241" max="4241" width="2" style="1" customWidth="1"/>
    <col min="4242" max="4242" width="3.85546875" style="1" customWidth="1"/>
    <col min="4243" max="4243" width="15.7109375" style="1" customWidth="1"/>
    <col min="4244" max="4244" width="13.42578125" style="1" bestFit="1" customWidth="1"/>
    <col min="4245" max="4245" width="13.85546875" style="1" customWidth="1"/>
    <col min="4246" max="4246" width="13.42578125" style="1" bestFit="1" customWidth="1"/>
    <col min="4247" max="4352" width="10" style="1"/>
    <col min="4353" max="4354" width="0" style="1" hidden="1" customWidth="1"/>
    <col min="4355" max="4355" width="1" style="1" customWidth="1"/>
    <col min="4356" max="4356" width="56" style="1" customWidth="1"/>
    <col min="4357" max="4358" width="1" style="1" customWidth="1"/>
    <col min="4359" max="4359" width="14.42578125" style="1" customWidth="1"/>
    <col min="4360" max="4361" width="1" style="1" customWidth="1"/>
    <col min="4362" max="4406" width="0" style="1" hidden="1" customWidth="1"/>
    <col min="4407" max="4408" width="1" style="1" customWidth="1"/>
    <col min="4409" max="4409" width="17.85546875" style="1" customWidth="1"/>
    <col min="4410" max="4411" width="1" style="1" customWidth="1"/>
    <col min="4412" max="4421" width="0" style="1" hidden="1" customWidth="1"/>
    <col min="4422" max="4423" width="1" style="1" customWidth="1"/>
    <col min="4424" max="4424" width="17.85546875" style="1" customWidth="1"/>
    <col min="4425" max="4428" width="1" style="1" customWidth="1"/>
    <col min="4429" max="4429" width="17.85546875" style="1" customWidth="1"/>
    <col min="4430" max="4431" width="1" style="1" customWidth="1"/>
    <col min="4432" max="4476" width="0" style="1" hidden="1" customWidth="1"/>
    <col min="4477" max="4478" width="1" style="1" customWidth="1"/>
    <col min="4479" max="4479" width="17.85546875" style="1" customWidth="1"/>
    <col min="4480" max="4481" width="1" style="1" customWidth="1"/>
    <col min="4482" max="4491" width="0" style="1" hidden="1" customWidth="1"/>
    <col min="4492" max="4493" width="1" style="1" customWidth="1"/>
    <col min="4494" max="4494" width="14.42578125" style="1" customWidth="1"/>
    <col min="4495" max="4496" width="1" style="1" customWidth="1"/>
    <col min="4497" max="4497" width="2" style="1" customWidth="1"/>
    <col min="4498" max="4498" width="3.85546875" style="1" customWidth="1"/>
    <col min="4499" max="4499" width="15.7109375" style="1" customWidth="1"/>
    <col min="4500" max="4500" width="13.42578125" style="1" bestFit="1" customWidth="1"/>
    <col min="4501" max="4501" width="13.85546875" style="1" customWidth="1"/>
    <col min="4502" max="4502" width="13.42578125" style="1" bestFit="1" customWidth="1"/>
    <col min="4503" max="4608" width="10" style="1"/>
    <col min="4609" max="4610" width="0" style="1" hidden="1" customWidth="1"/>
    <col min="4611" max="4611" width="1" style="1" customWidth="1"/>
    <col min="4612" max="4612" width="56" style="1" customWidth="1"/>
    <col min="4613" max="4614" width="1" style="1" customWidth="1"/>
    <col min="4615" max="4615" width="14.42578125" style="1" customWidth="1"/>
    <col min="4616" max="4617" width="1" style="1" customWidth="1"/>
    <col min="4618" max="4662" width="0" style="1" hidden="1" customWidth="1"/>
    <col min="4663" max="4664" width="1" style="1" customWidth="1"/>
    <col min="4665" max="4665" width="17.85546875" style="1" customWidth="1"/>
    <col min="4666" max="4667" width="1" style="1" customWidth="1"/>
    <col min="4668" max="4677" width="0" style="1" hidden="1" customWidth="1"/>
    <col min="4678" max="4679" width="1" style="1" customWidth="1"/>
    <col min="4680" max="4680" width="17.85546875" style="1" customWidth="1"/>
    <col min="4681" max="4684" width="1" style="1" customWidth="1"/>
    <col min="4685" max="4685" width="17.85546875" style="1" customWidth="1"/>
    <col min="4686" max="4687" width="1" style="1" customWidth="1"/>
    <col min="4688" max="4732" width="0" style="1" hidden="1" customWidth="1"/>
    <col min="4733" max="4734" width="1" style="1" customWidth="1"/>
    <col min="4735" max="4735" width="17.85546875" style="1" customWidth="1"/>
    <col min="4736" max="4737" width="1" style="1" customWidth="1"/>
    <col min="4738" max="4747" width="0" style="1" hidden="1" customWidth="1"/>
    <col min="4748" max="4749" width="1" style="1" customWidth="1"/>
    <col min="4750" max="4750" width="14.42578125" style="1" customWidth="1"/>
    <col min="4751" max="4752" width="1" style="1" customWidth="1"/>
    <col min="4753" max="4753" width="2" style="1" customWidth="1"/>
    <col min="4754" max="4754" width="3.85546875" style="1" customWidth="1"/>
    <col min="4755" max="4755" width="15.7109375" style="1" customWidth="1"/>
    <col min="4756" max="4756" width="13.42578125" style="1" bestFit="1" customWidth="1"/>
    <col min="4757" max="4757" width="13.85546875" style="1" customWidth="1"/>
    <col min="4758" max="4758" width="13.42578125" style="1" bestFit="1" customWidth="1"/>
    <col min="4759" max="4864" width="10" style="1"/>
    <col min="4865" max="4866" width="0" style="1" hidden="1" customWidth="1"/>
    <col min="4867" max="4867" width="1" style="1" customWidth="1"/>
    <col min="4868" max="4868" width="56" style="1" customWidth="1"/>
    <col min="4869" max="4870" width="1" style="1" customWidth="1"/>
    <col min="4871" max="4871" width="14.42578125" style="1" customWidth="1"/>
    <col min="4872" max="4873" width="1" style="1" customWidth="1"/>
    <col min="4874" max="4918" width="0" style="1" hidden="1" customWidth="1"/>
    <col min="4919" max="4920" width="1" style="1" customWidth="1"/>
    <col min="4921" max="4921" width="17.85546875" style="1" customWidth="1"/>
    <col min="4922" max="4923" width="1" style="1" customWidth="1"/>
    <col min="4924" max="4933" width="0" style="1" hidden="1" customWidth="1"/>
    <col min="4934" max="4935" width="1" style="1" customWidth="1"/>
    <col min="4936" max="4936" width="17.85546875" style="1" customWidth="1"/>
    <col min="4937" max="4940" width="1" style="1" customWidth="1"/>
    <col min="4941" max="4941" width="17.85546875" style="1" customWidth="1"/>
    <col min="4942" max="4943" width="1" style="1" customWidth="1"/>
    <col min="4944" max="4988" width="0" style="1" hidden="1" customWidth="1"/>
    <col min="4989" max="4990" width="1" style="1" customWidth="1"/>
    <col min="4991" max="4991" width="17.85546875" style="1" customWidth="1"/>
    <col min="4992" max="4993" width="1" style="1" customWidth="1"/>
    <col min="4994" max="5003" width="0" style="1" hidden="1" customWidth="1"/>
    <col min="5004" max="5005" width="1" style="1" customWidth="1"/>
    <col min="5006" max="5006" width="14.42578125" style="1" customWidth="1"/>
    <col min="5007" max="5008" width="1" style="1" customWidth="1"/>
    <col min="5009" max="5009" width="2" style="1" customWidth="1"/>
    <col min="5010" max="5010" width="3.85546875" style="1" customWidth="1"/>
    <col min="5011" max="5011" width="15.7109375" style="1" customWidth="1"/>
    <col min="5012" max="5012" width="13.42578125" style="1" bestFit="1" customWidth="1"/>
    <col min="5013" max="5013" width="13.85546875" style="1" customWidth="1"/>
    <col min="5014" max="5014" width="13.42578125" style="1" bestFit="1" customWidth="1"/>
    <col min="5015" max="5120" width="10" style="1"/>
    <col min="5121" max="5122" width="0" style="1" hidden="1" customWidth="1"/>
    <col min="5123" max="5123" width="1" style="1" customWidth="1"/>
    <col min="5124" max="5124" width="56" style="1" customWidth="1"/>
    <col min="5125" max="5126" width="1" style="1" customWidth="1"/>
    <col min="5127" max="5127" width="14.42578125" style="1" customWidth="1"/>
    <col min="5128" max="5129" width="1" style="1" customWidth="1"/>
    <col min="5130" max="5174" width="0" style="1" hidden="1" customWidth="1"/>
    <col min="5175" max="5176" width="1" style="1" customWidth="1"/>
    <col min="5177" max="5177" width="17.85546875" style="1" customWidth="1"/>
    <col min="5178" max="5179" width="1" style="1" customWidth="1"/>
    <col min="5180" max="5189" width="0" style="1" hidden="1" customWidth="1"/>
    <col min="5190" max="5191" width="1" style="1" customWidth="1"/>
    <col min="5192" max="5192" width="17.85546875" style="1" customWidth="1"/>
    <col min="5193" max="5196" width="1" style="1" customWidth="1"/>
    <col min="5197" max="5197" width="17.85546875" style="1" customWidth="1"/>
    <col min="5198" max="5199" width="1" style="1" customWidth="1"/>
    <col min="5200" max="5244" width="0" style="1" hidden="1" customWidth="1"/>
    <col min="5245" max="5246" width="1" style="1" customWidth="1"/>
    <col min="5247" max="5247" width="17.85546875" style="1" customWidth="1"/>
    <col min="5248" max="5249" width="1" style="1" customWidth="1"/>
    <col min="5250" max="5259" width="0" style="1" hidden="1" customWidth="1"/>
    <col min="5260" max="5261" width="1" style="1" customWidth="1"/>
    <col min="5262" max="5262" width="14.42578125" style="1" customWidth="1"/>
    <col min="5263" max="5264" width="1" style="1" customWidth="1"/>
    <col min="5265" max="5265" width="2" style="1" customWidth="1"/>
    <col min="5266" max="5266" width="3.85546875" style="1" customWidth="1"/>
    <col min="5267" max="5267" width="15.7109375" style="1" customWidth="1"/>
    <col min="5268" max="5268" width="13.42578125" style="1" bestFit="1" customWidth="1"/>
    <col min="5269" max="5269" width="13.85546875" style="1" customWidth="1"/>
    <col min="5270" max="5270" width="13.42578125" style="1" bestFit="1" customWidth="1"/>
    <col min="5271" max="5376" width="10" style="1"/>
    <col min="5377" max="5378" width="0" style="1" hidden="1" customWidth="1"/>
    <col min="5379" max="5379" width="1" style="1" customWidth="1"/>
    <col min="5380" max="5380" width="56" style="1" customWidth="1"/>
    <col min="5381" max="5382" width="1" style="1" customWidth="1"/>
    <col min="5383" max="5383" width="14.42578125" style="1" customWidth="1"/>
    <col min="5384" max="5385" width="1" style="1" customWidth="1"/>
    <col min="5386" max="5430" width="0" style="1" hidden="1" customWidth="1"/>
    <col min="5431" max="5432" width="1" style="1" customWidth="1"/>
    <col min="5433" max="5433" width="17.85546875" style="1" customWidth="1"/>
    <col min="5434" max="5435" width="1" style="1" customWidth="1"/>
    <col min="5436" max="5445" width="0" style="1" hidden="1" customWidth="1"/>
    <col min="5446" max="5447" width="1" style="1" customWidth="1"/>
    <col min="5448" max="5448" width="17.85546875" style="1" customWidth="1"/>
    <col min="5449" max="5452" width="1" style="1" customWidth="1"/>
    <col min="5453" max="5453" width="17.85546875" style="1" customWidth="1"/>
    <col min="5454" max="5455" width="1" style="1" customWidth="1"/>
    <col min="5456" max="5500" width="0" style="1" hidden="1" customWidth="1"/>
    <col min="5501" max="5502" width="1" style="1" customWidth="1"/>
    <col min="5503" max="5503" width="17.85546875" style="1" customWidth="1"/>
    <col min="5504" max="5505" width="1" style="1" customWidth="1"/>
    <col min="5506" max="5515" width="0" style="1" hidden="1" customWidth="1"/>
    <col min="5516" max="5517" width="1" style="1" customWidth="1"/>
    <col min="5518" max="5518" width="14.42578125" style="1" customWidth="1"/>
    <col min="5519" max="5520" width="1" style="1" customWidth="1"/>
    <col min="5521" max="5521" width="2" style="1" customWidth="1"/>
    <col min="5522" max="5522" width="3.85546875" style="1" customWidth="1"/>
    <col min="5523" max="5523" width="15.7109375" style="1" customWidth="1"/>
    <col min="5524" max="5524" width="13.42578125" style="1" bestFit="1" customWidth="1"/>
    <col min="5525" max="5525" width="13.85546875" style="1" customWidth="1"/>
    <col min="5526" max="5526" width="13.42578125" style="1" bestFit="1" customWidth="1"/>
    <col min="5527" max="5632" width="10" style="1"/>
    <col min="5633" max="5634" width="0" style="1" hidden="1" customWidth="1"/>
    <col min="5635" max="5635" width="1" style="1" customWidth="1"/>
    <col min="5636" max="5636" width="56" style="1" customWidth="1"/>
    <col min="5637" max="5638" width="1" style="1" customWidth="1"/>
    <col min="5639" max="5639" width="14.42578125" style="1" customWidth="1"/>
    <col min="5640" max="5641" width="1" style="1" customWidth="1"/>
    <col min="5642" max="5686" width="0" style="1" hidden="1" customWidth="1"/>
    <col min="5687" max="5688" width="1" style="1" customWidth="1"/>
    <col min="5689" max="5689" width="17.85546875" style="1" customWidth="1"/>
    <col min="5690" max="5691" width="1" style="1" customWidth="1"/>
    <col min="5692" max="5701" width="0" style="1" hidden="1" customWidth="1"/>
    <col min="5702" max="5703" width="1" style="1" customWidth="1"/>
    <col min="5704" max="5704" width="17.85546875" style="1" customWidth="1"/>
    <col min="5705" max="5708" width="1" style="1" customWidth="1"/>
    <col min="5709" max="5709" width="17.85546875" style="1" customWidth="1"/>
    <col min="5710" max="5711" width="1" style="1" customWidth="1"/>
    <col min="5712" max="5756" width="0" style="1" hidden="1" customWidth="1"/>
    <col min="5757" max="5758" width="1" style="1" customWidth="1"/>
    <col min="5759" max="5759" width="17.85546875" style="1" customWidth="1"/>
    <col min="5760" max="5761" width="1" style="1" customWidth="1"/>
    <col min="5762" max="5771" width="0" style="1" hidden="1" customWidth="1"/>
    <col min="5772" max="5773" width="1" style="1" customWidth="1"/>
    <col min="5774" max="5774" width="14.42578125" style="1" customWidth="1"/>
    <col min="5775" max="5776" width="1" style="1" customWidth="1"/>
    <col min="5777" max="5777" width="2" style="1" customWidth="1"/>
    <col min="5778" max="5778" width="3.85546875" style="1" customWidth="1"/>
    <col min="5779" max="5779" width="15.7109375" style="1" customWidth="1"/>
    <col min="5780" max="5780" width="13.42578125" style="1" bestFit="1" customWidth="1"/>
    <col min="5781" max="5781" width="13.85546875" style="1" customWidth="1"/>
    <col min="5782" max="5782" width="13.42578125" style="1" bestFit="1" customWidth="1"/>
    <col min="5783" max="5888" width="10" style="1"/>
    <col min="5889" max="5890" width="0" style="1" hidden="1" customWidth="1"/>
    <col min="5891" max="5891" width="1" style="1" customWidth="1"/>
    <col min="5892" max="5892" width="56" style="1" customWidth="1"/>
    <col min="5893" max="5894" width="1" style="1" customWidth="1"/>
    <col min="5895" max="5895" width="14.42578125" style="1" customWidth="1"/>
    <col min="5896" max="5897" width="1" style="1" customWidth="1"/>
    <col min="5898" max="5942" width="0" style="1" hidden="1" customWidth="1"/>
    <col min="5943" max="5944" width="1" style="1" customWidth="1"/>
    <col min="5945" max="5945" width="17.85546875" style="1" customWidth="1"/>
    <col min="5946" max="5947" width="1" style="1" customWidth="1"/>
    <col min="5948" max="5957" width="0" style="1" hidden="1" customWidth="1"/>
    <col min="5958" max="5959" width="1" style="1" customWidth="1"/>
    <col min="5960" max="5960" width="17.85546875" style="1" customWidth="1"/>
    <col min="5961" max="5964" width="1" style="1" customWidth="1"/>
    <col min="5965" max="5965" width="17.85546875" style="1" customWidth="1"/>
    <col min="5966" max="5967" width="1" style="1" customWidth="1"/>
    <col min="5968" max="6012" width="0" style="1" hidden="1" customWidth="1"/>
    <col min="6013" max="6014" width="1" style="1" customWidth="1"/>
    <col min="6015" max="6015" width="17.85546875" style="1" customWidth="1"/>
    <col min="6016" max="6017" width="1" style="1" customWidth="1"/>
    <col min="6018" max="6027" width="0" style="1" hidden="1" customWidth="1"/>
    <col min="6028" max="6029" width="1" style="1" customWidth="1"/>
    <col min="6030" max="6030" width="14.42578125" style="1" customWidth="1"/>
    <col min="6031" max="6032" width="1" style="1" customWidth="1"/>
    <col min="6033" max="6033" width="2" style="1" customWidth="1"/>
    <col min="6034" max="6034" width="3.85546875" style="1" customWidth="1"/>
    <col min="6035" max="6035" width="15.7109375" style="1" customWidth="1"/>
    <col min="6036" max="6036" width="13.42578125" style="1" bestFit="1" customWidth="1"/>
    <col min="6037" max="6037" width="13.85546875" style="1" customWidth="1"/>
    <col min="6038" max="6038" width="13.42578125" style="1" bestFit="1" customWidth="1"/>
    <col min="6039" max="6144" width="10" style="1"/>
    <col min="6145" max="6146" width="0" style="1" hidden="1" customWidth="1"/>
    <col min="6147" max="6147" width="1" style="1" customWidth="1"/>
    <col min="6148" max="6148" width="56" style="1" customWidth="1"/>
    <col min="6149" max="6150" width="1" style="1" customWidth="1"/>
    <col min="6151" max="6151" width="14.42578125" style="1" customWidth="1"/>
    <col min="6152" max="6153" width="1" style="1" customWidth="1"/>
    <col min="6154" max="6198" width="0" style="1" hidden="1" customWidth="1"/>
    <col min="6199" max="6200" width="1" style="1" customWidth="1"/>
    <col min="6201" max="6201" width="17.85546875" style="1" customWidth="1"/>
    <col min="6202" max="6203" width="1" style="1" customWidth="1"/>
    <col min="6204" max="6213" width="0" style="1" hidden="1" customWidth="1"/>
    <col min="6214" max="6215" width="1" style="1" customWidth="1"/>
    <col min="6216" max="6216" width="17.85546875" style="1" customWidth="1"/>
    <col min="6217" max="6220" width="1" style="1" customWidth="1"/>
    <col min="6221" max="6221" width="17.85546875" style="1" customWidth="1"/>
    <col min="6222" max="6223" width="1" style="1" customWidth="1"/>
    <col min="6224" max="6268" width="0" style="1" hidden="1" customWidth="1"/>
    <col min="6269" max="6270" width="1" style="1" customWidth="1"/>
    <col min="6271" max="6271" width="17.85546875" style="1" customWidth="1"/>
    <col min="6272" max="6273" width="1" style="1" customWidth="1"/>
    <col min="6274" max="6283" width="0" style="1" hidden="1" customWidth="1"/>
    <col min="6284" max="6285" width="1" style="1" customWidth="1"/>
    <col min="6286" max="6286" width="14.42578125" style="1" customWidth="1"/>
    <col min="6287" max="6288" width="1" style="1" customWidth="1"/>
    <col min="6289" max="6289" width="2" style="1" customWidth="1"/>
    <col min="6290" max="6290" width="3.85546875" style="1" customWidth="1"/>
    <col min="6291" max="6291" width="15.7109375" style="1" customWidth="1"/>
    <col min="6292" max="6292" width="13.42578125" style="1" bestFit="1" customWidth="1"/>
    <col min="6293" max="6293" width="13.85546875" style="1" customWidth="1"/>
    <col min="6294" max="6294" width="13.42578125" style="1" bestFit="1" customWidth="1"/>
    <col min="6295" max="6400" width="10" style="1"/>
    <col min="6401" max="6402" width="0" style="1" hidden="1" customWidth="1"/>
    <col min="6403" max="6403" width="1" style="1" customWidth="1"/>
    <col min="6404" max="6404" width="56" style="1" customWidth="1"/>
    <col min="6405" max="6406" width="1" style="1" customWidth="1"/>
    <col min="6407" max="6407" width="14.42578125" style="1" customWidth="1"/>
    <col min="6408" max="6409" width="1" style="1" customWidth="1"/>
    <col min="6410" max="6454" width="0" style="1" hidden="1" customWidth="1"/>
    <col min="6455" max="6456" width="1" style="1" customWidth="1"/>
    <col min="6457" max="6457" width="17.85546875" style="1" customWidth="1"/>
    <col min="6458" max="6459" width="1" style="1" customWidth="1"/>
    <col min="6460" max="6469" width="0" style="1" hidden="1" customWidth="1"/>
    <col min="6470" max="6471" width="1" style="1" customWidth="1"/>
    <col min="6472" max="6472" width="17.85546875" style="1" customWidth="1"/>
    <col min="6473" max="6476" width="1" style="1" customWidth="1"/>
    <col min="6477" max="6477" width="17.85546875" style="1" customWidth="1"/>
    <col min="6478" max="6479" width="1" style="1" customWidth="1"/>
    <col min="6480" max="6524" width="0" style="1" hidden="1" customWidth="1"/>
    <col min="6525" max="6526" width="1" style="1" customWidth="1"/>
    <col min="6527" max="6527" width="17.85546875" style="1" customWidth="1"/>
    <col min="6528" max="6529" width="1" style="1" customWidth="1"/>
    <col min="6530" max="6539" width="0" style="1" hidden="1" customWidth="1"/>
    <col min="6540" max="6541" width="1" style="1" customWidth="1"/>
    <col min="6542" max="6542" width="14.42578125" style="1" customWidth="1"/>
    <col min="6543" max="6544" width="1" style="1" customWidth="1"/>
    <col min="6545" max="6545" width="2" style="1" customWidth="1"/>
    <col min="6546" max="6546" width="3.85546875" style="1" customWidth="1"/>
    <col min="6547" max="6547" width="15.7109375" style="1" customWidth="1"/>
    <col min="6548" max="6548" width="13.42578125" style="1" bestFit="1" customWidth="1"/>
    <col min="6549" max="6549" width="13.85546875" style="1" customWidth="1"/>
    <col min="6550" max="6550" width="13.42578125" style="1" bestFit="1" customWidth="1"/>
    <col min="6551" max="6656" width="10" style="1"/>
    <col min="6657" max="6658" width="0" style="1" hidden="1" customWidth="1"/>
    <col min="6659" max="6659" width="1" style="1" customWidth="1"/>
    <col min="6660" max="6660" width="56" style="1" customWidth="1"/>
    <col min="6661" max="6662" width="1" style="1" customWidth="1"/>
    <col min="6663" max="6663" width="14.42578125" style="1" customWidth="1"/>
    <col min="6664" max="6665" width="1" style="1" customWidth="1"/>
    <col min="6666" max="6710" width="0" style="1" hidden="1" customWidth="1"/>
    <col min="6711" max="6712" width="1" style="1" customWidth="1"/>
    <col min="6713" max="6713" width="17.85546875" style="1" customWidth="1"/>
    <col min="6714" max="6715" width="1" style="1" customWidth="1"/>
    <col min="6716" max="6725" width="0" style="1" hidden="1" customWidth="1"/>
    <col min="6726" max="6727" width="1" style="1" customWidth="1"/>
    <col min="6728" max="6728" width="17.85546875" style="1" customWidth="1"/>
    <col min="6729" max="6732" width="1" style="1" customWidth="1"/>
    <col min="6733" max="6733" width="17.85546875" style="1" customWidth="1"/>
    <col min="6734" max="6735" width="1" style="1" customWidth="1"/>
    <col min="6736" max="6780" width="0" style="1" hidden="1" customWidth="1"/>
    <col min="6781" max="6782" width="1" style="1" customWidth="1"/>
    <col min="6783" max="6783" width="17.85546875" style="1" customWidth="1"/>
    <col min="6784" max="6785" width="1" style="1" customWidth="1"/>
    <col min="6786" max="6795" width="0" style="1" hidden="1" customWidth="1"/>
    <col min="6796" max="6797" width="1" style="1" customWidth="1"/>
    <col min="6798" max="6798" width="14.42578125" style="1" customWidth="1"/>
    <col min="6799" max="6800" width="1" style="1" customWidth="1"/>
    <col min="6801" max="6801" width="2" style="1" customWidth="1"/>
    <col min="6802" max="6802" width="3.85546875" style="1" customWidth="1"/>
    <col min="6803" max="6803" width="15.7109375" style="1" customWidth="1"/>
    <col min="6804" max="6804" width="13.42578125" style="1" bestFit="1" customWidth="1"/>
    <col min="6805" max="6805" width="13.85546875" style="1" customWidth="1"/>
    <col min="6806" max="6806" width="13.42578125" style="1" bestFit="1" customWidth="1"/>
    <col min="6807" max="6912" width="10" style="1"/>
    <col min="6913" max="6914" width="0" style="1" hidden="1" customWidth="1"/>
    <col min="6915" max="6915" width="1" style="1" customWidth="1"/>
    <col min="6916" max="6916" width="56" style="1" customWidth="1"/>
    <col min="6917" max="6918" width="1" style="1" customWidth="1"/>
    <col min="6919" max="6919" width="14.42578125" style="1" customWidth="1"/>
    <col min="6920" max="6921" width="1" style="1" customWidth="1"/>
    <col min="6922" max="6966" width="0" style="1" hidden="1" customWidth="1"/>
    <col min="6967" max="6968" width="1" style="1" customWidth="1"/>
    <col min="6969" max="6969" width="17.85546875" style="1" customWidth="1"/>
    <col min="6970" max="6971" width="1" style="1" customWidth="1"/>
    <col min="6972" max="6981" width="0" style="1" hidden="1" customWidth="1"/>
    <col min="6982" max="6983" width="1" style="1" customWidth="1"/>
    <col min="6984" max="6984" width="17.85546875" style="1" customWidth="1"/>
    <col min="6985" max="6988" width="1" style="1" customWidth="1"/>
    <col min="6989" max="6989" width="17.85546875" style="1" customWidth="1"/>
    <col min="6990" max="6991" width="1" style="1" customWidth="1"/>
    <col min="6992" max="7036" width="0" style="1" hidden="1" customWidth="1"/>
    <col min="7037" max="7038" width="1" style="1" customWidth="1"/>
    <col min="7039" max="7039" width="17.85546875" style="1" customWidth="1"/>
    <col min="7040" max="7041" width="1" style="1" customWidth="1"/>
    <col min="7042" max="7051" width="0" style="1" hidden="1" customWidth="1"/>
    <col min="7052" max="7053" width="1" style="1" customWidth="1"/>
    <col min="7054" max="7054" width="14.42578125" style="1" customWidth="1"/>
    <col min="7055" max="7056" width="1" style="1" customWidth="1"/>
    <col min="7057" max="7057" width="2" style="1" customWidth="1"/>
    <col min="7058" max="7058" width="3.85546875" style="1" customWidth="1"/>
    <col min="7059" max="7059" width="15.7109375" style="1" customWidth="1"/>
    <col min="7060" max="7060" width="13.42578125" style="1" bestFit="1" customWidth="1"/>
    <col min="7061" max="7061" width="13.85546875" style="1" customWidth="1"/>
    <col min="7062" max="7062" width="13.42578125" style="1" bestFit="1" customWidth="1"/>
    <col min="7063" max="7168" width="10" style="1"/>
    <col min="7169" max="7170" width="0" style="1" hidden="1" customWidth="1"/>
    <col min="7171" max="7171" width="1" style="1" customWidth="1"/>
    <col min="7172" max="7172" width="56" style="1" customWidth="1"/>
    <col min="7173" max="7174" width="1" style="1" customWidth="1"/>
    <col min="7175" max="7175" width="14.42578125" style="1" customWidth="1"/>
    <col min="7176" max="7177" width="1" style="1" customWidth="1"/>
    <col min="7178" max="7222" width="0" style="1" hidden="1" customWidth="1"/>
    <col min="7223" max="7224" width="1" style="1" customWidth="1"/>
    <col min="7225" max="7225" width="17.85546875" style="1" customWidth="1"/>
    <col min="7226" max="7227" width="1" style="1" customWidth="1"/>
    <col min="7228" max="7237" width="0" style="1" hidden="1" customWidth="1"/>
    <col min="7238" max="7239" width="1" style="1" customWidth="1"/>
    <col min="7240" max="7240" width="17.85546875" style="1" customWidth="1"/>
    <col min="7241" max="7244" width="1" style="1" customWidth="1"/>
    <col min="7245" max="7245" width="17.85546875" style="1" customWidth="1"/>
    <col min="7246" max="7247" width="1" style="1" customWidth="1"/>
    <col min="7248" max="7292" width="0" style="1" hidden="1" customWidth="1"/>
    <col min="7293" max="7294" width="1" style="1" customWidth="1"/>
    <col min="7295" max="7295" width="17.85546875" style="1" customWidth="1"/>
    <col min="7296" max="7297" width="1" style="1" customWidth="1"/>
    <col min="7298" max="7307" width="0" style="1" hidden="1" customWidth="1"/>
    <col min="7308" max="7309" width="1" style="1" customWidth="1"/>
    <col min="7310" max="7310" width="14.42578125" style="1" customWidth="1"/>
    <col min="7311" max="7312" width="1" style="1" customWidth="1"/>
    <col min="7313" max="7313" width="2" style="1" customWidth="1"/>
    <col min="7314" max="7314" width="3.85546875" style="1" customWidth="1"/>
    <col min="7315" max="7315" width="15.7109375" style="1" customWidth="1"/>
    <col min="7316" max="7316" width="13.42578125" style="1" bestFit="1" customWidth="1"/>
    <col min="7317" max="7317" width="13.85546875" style="1" customWidth="1"/>
    <col min="7318" max="7318" width="13.42578125" style="1" bestFit="1" customWidth="1"/>
    <col min="7319" max="7424" width="10" style="1"/>
    <col min="7425" max="7426" width="0" style="1" hidden="1" customWidth="1"/>
    <col min="7427" max="7427" width="1" style="1" customWidth="1"/>
    <col min="7428" max="7428" width="56" style="1" customWidth="1"/>
    <col min="7429" max="7430" width="1" style="1" customWidth="1"/>
    <col min="7431" max="7431" width="14.42578125" style="1" customWidth="1"/>
    <col min="7432" max="7433" width="1" style="1" customWidth="1"/>
    <col min="7434" max="7478" width="0" style="1" hidden="1" customWidth="1"/>
    <col min="7479" max="7480" width="1" style="1" customWidth="1"/>
    <col min="7481" max="7481" width="17.85546875" style="1" customWidth="1"/>
    <col min="7482" max="7483" width="1" style="1" customWidth="1"/>
    <col min="7484" max="7493" width="0" style="1" hidden="1" customWidth="1"/>
    <col min="7494" max="7495" width="1" style="1" customWidth="1"/>
    <col min="7496" max="7496" width="17.85546875" style="1" customWidth="1"/>
    <col min="7497" max="7500" width="1" style="1" customWidth="1"/>
    <col min="7501" max="7501" width="17.85546875" style="1" customWidth="1"/>
    <col min="7502" max="7503" width="1" style="1" customWidth="1"/>
    <col min="7504" max="7548" width="0" style="1" hidden="1" customWidth="1"/>
    <col min="7549" max="7550" width="1" style="1" customWidth="1"/>
    <col min="7551" max="7551" width="17.85546875" style="1" customWidth="1"/>
    <col min="7552" max="7553" width="1" style="1" customWidth="1"/>
    <col min="7554" max="7563" width="0" style="1" hidden="1" customWidth="1"/>
    <col min="7564" max="7565" width="1" style="1" customWidth="1"/>
    <col min="7566" max="7566" width="14.42578125" style="1" customWidth="1"/>
    <col min="7567" max="7568" width="1" style="1" customWidth="1"/>
    <col min="7569" max="7569" width="2" style="1" customWidth="1"/>
    <col min="7570" max="7570" width="3.85546875" style="1" customWidth="1"/>
    <col min="7571" max="7571" width="15.7109375" style="1" customWidth="1"/>
    <col min="7572" max="7572" width="13.42578125" style="1" bestFit="1" customWidth="1"/>
    <col min="7573" max="7573" width="13.85546875" style="1" customWidth="1"/>
    <col min="7574" max="7574" width="13.42578125" style="1" bestFit="1" customWidth="1"/>
    <col min="7575" max="7680" width="10" style="1"/>
    <col min="7681" max="7682" width="0" style="1" hidden="1" customWidth="1"/>
    <col min="7683" max="7683" width="1" style="1" customWidth="1"/>
    <col min="7684" max="7684" width="56" style="1" customWidth="1"/>
    <col min="7685" max="7686" width="1" style="1" customWidth="1"/>
    <col min="7687" max="7687" width="14.42578125" style="1" customWidth="1"/>
    <col min="7688" max="7689" width="1" style="1" customWidth="1"/>
    <col min="7690" max="7734" width="0" style="1" hidden="1" customWidth="1"/>
    <col min="7735" max="7736" width="1" style="1" customWidth="1"/>
    <col min="7737" max="7737" width="17.85546875" style="1" customWidth="1"/>
    <col min="7738" max="7739" width="1" style="1" customWidth="1"/>
    <col min="7740" max="7749" width="0" style="1" hidden="1" customWidth="1"/>
    <col min="7750" max="7751" width="1" style="1" customWidth="1"/>
    <col min="7752" max="7752" width="17.85546875" style="1" customWidth="1"/>
    <col min="7753" max="7756" width="1" style="1" customWidth="1"/>
    <col min="7757" max="7757" width="17.85546875" style="1" customWidth="1"/>
    <col min="7758" max="7759" width="1" style="1" customWidth="1"/>
    <col min="7760" max="7804" width="0" style="1" hidden="1" customWidth="1"/>
    <col min="7805" max="7806" width="1" style="1" customWidth="1"/>
    <col min="7807" max="7807" width="17.85546875" style="1" customWidth="1"/>
    <col min="7808" max="7809" width="1" style="1" customWidth="1"/>
    <col min="7810" max="7819" width="0" style="1" hidden="1" customWidth="1"/>
    <col min="7820" max="7821" width="1" style="1" customWidth="1"/>
    <col min="7822" max="7822" width="14.42578125" style="1" customWidth="1"/>
    <col min="7823" max="7824" width="1" style="1" customWidth="1"/>
    <col min="7825" max="7825" width="2" style="1" customWidth="1"/>
    <col min="7826" max="7826" width="3.85546875" style="1" customWidth="1"/>
    <col min="7827" max="7827" width="15.7109375" style="1" customWidth="1"/>
    <col min="7828" max="7828" width="13.42578125" style="1" bestFit="1" customWidth="1"/>
    <col min="7829" max="7829" width="13.85546875" style="1" customWidth="1"/>
    <col min="7830" max="7830" width="13.42578125" style="1" bestFit="1" customWidth="1"/>
    <col min="7831" max="7936" width="10" style="1"/>
    <col min="7937" max="7938" width="0" style="1" hidden="1" customWidth="1"/>
    <col min="7939" max="7939" width="1" style="1" customWidth="1"/>
    <col min="7940" max="7940" width="56" style="1" customWidth="1"/>
    <col min="7941" max="7942" width="1" style="1" customWidth="1"/>
    <col min="7943" max="7943" width="14.42578125" style="1" customWidth="1"/>
    <col min="7944" max="7945" width="1" style="1" customWidth="1"/>
    <col min="7946" max="7990" width="0" style="1" hidden="1" customWidth="1"/>
    <col min="7991" max="7992" width="1" style="1" customWidth="1"/>
    <col min="7993" max="7993" width="17.85546875" style="1" customWidth="1"/>
    <col min="7994" max="7995" width="1" style="1" customWidth="1"/>
    <col min="7996" max="8005" width="0" style="1" hidden="1" customWidth="1"/>
    <col min="8006" max="8007" width="1" style="1" customWidth="1"/>
    <col min="8008" max="8008" width="17.85546875" style="1" customWidth="1"/>
    <col min="8009" max="8012" width="1" style="1" customWidth="1"/>
    <col min="8013" max="8013" width="17.85546875" style="1" customWidth="1"/>
    <col min="8014" max="8015" width="1" style="1" customWidth="1"/>
    <col min="8016" max="8060" width="0" style="1" hidden="1" customWidth="1"/>
    <col min="8061" max="8062" width="1" style="1" customWidth="1"/>
    <col min="8063" max="8063" width="17.85546875" style="1" customWidth="1"/>
    <col min="8064" max="8065" width="1" style="1" customWidth="1"/>
    <col min="8066" max="8075" width="0" style="1" hidden="1" customWidth="1"/>
    <col min="8076" max="8077" width="1" style="1" customWidth="1"/>
    <col min="8078" max="8078" width="14.42578125" style="1" customWidth="1"/>
    <col min="8079" max="8080" width="1" style="1" customWidth="1"/>
    <col min="8081" max="8081" width="2" style="1" customWidth="1"/>
    <col min="8082" max="8082" width="3.85546875" style="1" customWidth="1"/>
    <col min="8083" max="8083" width="15.7109375" style="1" customWidth="1"/>
    <col min="8084" max="8084" width="13.42578125" style="1" bestFit="1" customWidth="1"/>
    <col min="8085" max="8085" width="13.85546875" style="1" customWidth="1"/>
    <col min="8086" max="8086" width="13.42578125" style="1" bestFit="1" customWidth="1"/>
    <col min="8087" max="8192" width="10" style="1"/>
    <col min="8193" max="8194" width="0" style="1" hidden="1" customWidth="1"/>
    <col min="8195" max="8195" width="1" style="1" customWidth="1"/>
    <col min="8196" max="8196" width="56" style="1" customWidth="1"/>
    <col min="8197" max="8198" width="1" style="1" customWidth="1"/>
    <col min="8199" max="8199" width="14.42578125" style="1" customWidth="1"/>
    <col min="8200" max="8201" width="1" style="1" customWidth="1"/>
    <col min="8202" max="8246" width="0" style="1" hidden="1" customWidth="1"/>
    <col min="8247" max="8248" width="1" style="1" customWidth="1"/>
    <col min="8249" max="8249" width="17.85546875" style="1" customWidth="1"/>
    <col min="8250" max="8251" width="1" style="1" customWidth="1"/>
    <col min="8252" max="8261" width="0" style="1" hidden="1" customWidth="1"/>
    <col min="8262" max="8263" width="1" style="1" customWidth="1"/>
    <col min="8264" max="8264" width="17.85546875" style="1" customWidth="1"/>
    <col min="8265" max="8268" width="1" style="1" customWidth="1"/>
    <col min="8269" max="8269" width="17.85546875" style="1" customWidth="1"/>
    <col min="8270" max="8271" width="1" style="1" customWidth="1"/>
    <col min="8272" max="8316" width="0" style="1" hidden="1" customWidth="1"/>
    <col min="8317" max="8318" width="1" style="1" customWidth="1"/>
    <col min="8319" max="8319" width="17.85546875" style="1" customWidth="1"/>
    <col min="8320" max="8321" width="1" style="1" customWidth="1"/>
    <col min="8322" max="8331" width="0" style="1" hidden="1" customWidth="1"/>
    <col min="8332" max="8333" width="1" style="1" customWidth="1"/>
    <col min="8334" max="8334" width="14.42578125" style="1" customWidth="1"/>
    <col min="8335" max="8336" width="1" style="1" customWidth="1"/>
    <col min="8337" max="8337" width="2" style="1" customWidth="1"/>
    <col min="8338" max="8338" width="3.85546875" style="1" customWidth="1"/>
    <col min="8339" max="8339" width="15.7109375" style="1" customWidth="1"/>
    <col min="8340" max="8340" width="13.42578125" style="1" bestFit="1" customWidth="1"/>
    <col min="8341" max="8341" width="13.85546875" style="1" customWidth="1"/>
    <col min="8342" max="8342" width="13.42578125" style="1" bestFit="1" customWidth="1"/>
    <col min="8343" max="8448" width="10" style="1"/>
    <col min="8449" max="8450" width="0" style="1" hidden="1" customWidth="1"/>
    <col min="8451" max="8451" width="1" style="1" customWidth="1"/>
    <col min="8452" max="8452" width="56" style="1" customWidth="1"/>
    <col min="8453" max="8454" width="1" style="1" customWidth="1"/>
    <col min="8455" max="8455" width="14.42578125" style="1" customWidth="1"/>
    <col min="8456" max="8457" width="1" style="1" customWidth="1"/>
    <col min="8458" max="8502" width="0" style="1" hidden="1" customWidth="1"/>
    <col min="8503" max="8504" width="1" style="1" customWidth="1"/>
    <col min="8505" max="8505" width="17.85546875" style="1" customWidth="1"/>
    <col min="8506" max="8507" width="1" style="1" customWidth="1"/>
    <col min="8508" max="8517" width="0" style="1" hidden="1" customWidth="1"/>
    <col min="8518" max="8519" width="1" style="1" customWidth="1"/>
    <col min="8520" max="8520" width="17.85546875" style="1" customWidth="1"/>
    <col min="8521" max="8524" width="1" style="1" customWidth="1"/>
    <col min="8525" max="8525" width="17.85546875" style="1" customWidth="1"/>
    <col min="8526" max="8527" width="1" style="1" customWidth="1"/>
    <col min="8528" max="8572" width="0" style="1" hidden="1" customWidth="1"/>
    <col min="8573" max="8574" width="1" style="1" customWidth="1"/>
    <col min="8575" max="8575" width="17.85546875" style="1" customWidth="1"/>
    <col min="8576" max="8577" width="1" style="1" customWidth="1"/>
    <col min="8578" max="8587" width="0" style="1" hidden="1" customWidth="1"/>
    <col min="8588" max="8589" width="1" style="1" customWidth="1"/>
    <col min="8590" max="8590" width="14.42578125" style="1" customWidth="1"/>
    <col min="8591" max="8592" width="1" style="1" customWidth="1"/>
    <col min="8593" max="8593" width="2" style="1" customWidth="1"/>
    <col min="8594" max="8594" width="3.85546875" style="1" customWidth="1"/>
    <col min="8595" max="8595" width="15.7109375" style="1" customWidth="1"/>
    <col min="8596" max="8596" width="13.42578125" style="1" bestFit="1" customWidth="1"/>
    <col min="8597" max="8597" width="13.85546875" style="1" customWidth="1"/>
    <col min="8598" max="8598" width="13.42578125" style="1" bestFit="1" customWidth="1"/>
    <col min="8599" max="8704" width="10" style="1"/>
    <col min="8705" max="8706" width="0" style="1" hidden="1" customWidth="1"/>
    <col min="8707" max="8707" width="1" style="1" customWidth="1"/>
    <col min="8708" max="8708" width="56" style="1" customWidth="1"/>
    <col min="8709" max="8710" width="1" style="1" customWidth="1"/>
    <col min="8711" max="8711" width="14.42578125" style="1" customWidth="1"/>
    <col min="8712" max="8713" width="1" style="1" customWidth="1"/>
    <col min="8714" max="8758" width="0" style="1" hidden="1" customWidth="1"/>
    <col min="8759" max="8760" width="1" style="1" customWidth="1"/>
    <col min="8761" max="8761" width="17.85546875" style="1" customWidth="1"/>
    <col min="8762" max="8763" width="1" style="1" customWidth="1"/>
    <col min="8764" max="8773" width="0" style="1" hidden="1" customWidth="1"/>
    <col min="8774" max="8775" width="1" style="1" customWidth="1"/>
    <col min="8776" max="8776" width="17.85546875" style="1" customWidth="1"/>
    <col min="8777" max="8780" width="1" style="1" customWidth="1"/>
    <col min="8781" max="8781" width="17.85546875" style="1" customWidth="1"/>
    <col min="8782" max="8783" width="1" style="1" customWidth="1"/>
    <col min="8784" max="8828" width="0" style="1" hidden="1" customWidth="1"/>
    <col min="8829" max="8830" width="1" style="1" customWidth="1"/>
    <col min="8831" max="8831" width="17.85546875" style="1" customWidth="1"/>
    <col min="8832" max="8833" width="1" style="1" customWidth="1"/>
    <col min="8834" max="8843" width="0" style="1" hidden="1" customWidth="1"/>
    <col min="8844" max="8845" width="1" style="1" customWidth="1"/>
    <col min="8846" max="8846" width="14.42578125" style="1" customWidth="1"/>
    <col min="8847" max="8848" width="1" style="1" customWidth="1"/>
    <col min="8849" max="8849" width="2" style="1" customWidth="1"/>
    <col min="8850" max="8850" width="3.85546875" style="1" customWidth="1"/>
    <col min="8851" max="8851" width="15.7109375" style="1" customWidth="1"/>
    <col min="8852" max="8852" width="13.42578125" style="1" bestFit="1" customWidth="1"/>
    <col min="8853" max="8853" width="13.85546875" style="1" customWidth="1"/>
    <col min="8854" max="8854" width="13.42578125" style="1" bestFit="1" customWidth="1"/>
    <col min="8855" max="8960" width="10" style="1"/>
    <col min="8961" max="8962" width="0" style="1" hidden="1" customWidth="1"/>
    <col min="8963" max="8963" width="1" style="1" customWidth="1"/>
    <col min="8964" max="8964" width="56" style="1" customWidth="1"/>
    <col min="8965" max="8966" width="1" style="1" customWidth="1"/>
    <col min="8967" max="8967" width="14.42578125" style="1" customWidth="1"/>
    <col min="8968" max="8969" width="1" style="1" customWidth="1"/>
    <col min="8970" max="9014" width="0" style="1" hidden="1" customWidth="1"/>
    <col min="9015" max="9016" width="1" style="1" customWidth="1"/>
    <col min="9017" max="9017" width="17.85546875" style="1" customWidth="1"/>
    <col min="9018" max="9019" width="1" style="1" customWidth="1"/>
    <col min="9020" max="9029" width="0" style="1" hidden="1" customWidth="1"/>
    <col min="9030" max="9031" width="1" style="1" customWidth="1"/>
    <col min="9032" max="9032" width="17.85546875" style="1" customWidth="1"/>
    <col min="9033" max="9036" width="1" style="1" customWidth="1"/>
    <col min="9037" max="9037" width="17.85546875" style="1" customWidth="1"/>
    <col min="9038" max="9039" width="1" style="1" customWidth="1"/>
    <col min="9040" max="9084" width="0" style="1" hidden="1" customWidth="1"/>
    <col min="9085" max="9086" width="1" style="1" customWidth="1"/>
    <col min="9087" max="9087" width="17.85546875" style="1" customWidth="1"/>
    <col min="9088" max="9089" width="1" style="1" customWidth="1"/>
    <col min="9090" max="9099" width="0" style="1" hidden="1" customWidth="1"/>
    <col min="9100" max="9101" width="1" style="1" customWidth="1"/>
    <col min="9102" max="9102" width="14.42578125" style="1" customWidth="1"/>
    <col min="9103" max="9104" width="1" style="1" customWidth="1"/>
    <col min="9105" max="9105" width="2" style="1" customWidth="1"/>
    <col min="9106" max="9106" width="3.85546875" style="1" customWidth="1"/>
    <col min="9107" max="9107" width="15.7109375" style="1" customWidth="1"/>
    <col min="9108" max="9108" width="13.42578125" style="1" bestFit="1" customWidth="1"/>
    <col min="9109" max="9109" width="13.85546875" style="1" customWidth="1"/>
    <col min="9110" max="9110" width="13.42578125" style="1" bestFit="1" customWidth="1"/>
    <col min="9111" max="9216" width="10" style="1"/>
    <col min="9217" max="9218" width="0" style="1" hidden="1" customWidth="1"/>
    <col min="9219" max="9219" width="1" style="1" customWidth="1"/>
    <col min="9220" max="9220" width="56" style="1" customWidth="1"/>
    <col min="9221" max="9222" width="1" style="1" customWidth="1"/>
    <col min="9223" max="9223" width="14.42578125" style="1" customWidth="1"/>
    <col min="9224" max="9225" width="1" style="1" customWidth="1"/>
    <col min="9226" max="9270" width="0" style="1" hidden="1" customWidth="1"/>
    <col min="9271" max="9272" width="1" style="1" customWidth="1"/>
    <col min="9273" max="9273" width="17.85546875" style="1" customWidth="1"/>
    <col min="9274" max="9275" width="1" style="1" customWidth="1"/>
    <col min="9276" max="9285" width="0" style="1" hidden="1" customWidth="1"/>
    <col min="9286" max="9287" width="1" style="1" customWidth="1"/>
    <col min="9288" max="9288" width="17.85546875" style="1" customWidth="1"/>
    <col min="9289" max="9292" width="1" style="1" customWidth="1"/>
    <col min="9293" max="9293" width="17.85546875" style="1" customWidth="1"/>
    <col min="9294" max="9295" width="1" style="1" customWidth="1"/>
    <col min="9296" max="9340" width="0" style="1" hidden="1" customWidth="1"/>
    <col min="9341" max="9342" width="1" style="1" customWidth="1"/>
    <col min="9343" max="9343" width="17.85546875" style="1" customWidth="1"/>
    <col min="9344" max="9345" width="1" style="1" customWidth="1"/>
    <col min="9346" max="9355" width="0" style="1" hidden="1" customWidth="1"/>
    <col min="9356" max="9357" width="1" style="1" customWidth="1"/>
    <col min="9358" max="9358" width="14.42578125" style="1" customWidth="1"/>
    <col min="9359" max="9360" width="1" style="1" customWidth="1"/>
    <col min="9361" max="9361" width="2" style="1" customWidth="1"/>
    <col min="9362" max="9362" width="3.85546875" style="1" customWidth="1"/>
    <col min="9363" max="9363" width="15.7109375" style="1" customWidth="1"/>
    <col min="9364" max="9364" width="13.42578125" style="1" bestFit="1" customWidth="1"/>
    <col min="9365" max="9365" width="13.85546875" style="1" customWidth="1"/>
    <col min="9366" max="9366" width="13.42578125" style="1" bestFit="1" customWidth="1"/>
    <col min="9367" max="9472" width="10" style="1"/>
    <col min="9473" max="9474" width="0" style="1" hidden="1" customWidth="1"/>
    <col min="9475" max="9475" width="1" style="1" customWidth="1"/>
    <col min="9476" max="9476" width="56" style="1" customWidth="1"/>
    <col min="9477" max="9478" width="1" style="1" customWidth="1"/>
    <col min="9479" max="9479" width="14.42578125" style="1" customWidth="1"/>
    <col min="9480" max="9481" width="1" style="1" customWidth="1"/>
    <col min="9482" max="9526" width="0" style="1" hidden="1" customWidth="1"/>
    <col min="9527" max="9528" width="1" style="1" customWidth="1"/>
    <col min="9529" max="9529" width="17.85546875" style="1" customWidth="1"/>
    <col min="9530" max="9531" width="1" style="1" customWidth="1"/>
    <col min="9532" max="9541" width="0" style="1" hidden="1" customWidth="1"/>
    <col min="9542" max="9543" width="1" style="1" customWidth="1"/>
    <col min="9544" max="9544" width="17.85546875" style="1" customWidth="1"/>
    <col min="9545" max="9548" width="1" style="1" customWidth="1"/>
    <col min="9549" max="9549" width="17.85546875" style="1" customWidth="1"/>
    <col min="9550" max="9551" width="1" style="1" customWidth="1"/>
    <col min="9552" max="9596" width="0" style="1" hidden="1" customWidth="1"/>
    <col min="9597" max="9598" width="1" style="1" customWidth="1"/>
    <col min="9599" max="9599" width="17.85546875" style="1" customWidth="1"/>
    <col min="9600" max="9601" width="1" style="1" customWidth="1"/>
    <col min="9602" max="9611" width="0" style="1" hidden="1" customWidth="1"/>
    <col min="9612" max="9613" width="1" style="1" customWidth="1"/>
    <col min="9614" max="9614" width="14.42578125" style="1" customWidth="1"/>
    <col min="9615" max="9616" width="1" style="1" customWidth="1"/>
    <col min="9617" max="9617" width="2" style="1" customWidth="1"/>
    <col min="9618" max="9618" width="3.85546875" style="1" customWidth="1"/>
    <col min="9619" max="9619" width="15.7109375" style="1" customWidth="1"/>
    <col min="9620" max="9620" width="13.42578125" style="1" bestFit="1" customWidth="1"/>
    <col min="9621" max="9621" width="13.85546875" style="1" customWidth="1"/>
    <col min="9622" max="9622" width="13.42578125" style="1" bestFit="1" customWidth="1"/>
    <col min="9623" max="9728" width="10" style="1"/>
    <col min="9729" max="9730" width="0" style="1" hidden="1" customWidth="1"/>
    <col min="9731" max="9731" width="1" style="1" customWidth="1"/>
    <col min="9732" max="9732" width="56" style="1" customWidth="1"/>
    <col min="9733" max="9734" width="1" style="1" customWidth="1"/>
    <col min="9735" max="9735" width="14.42578125" style="1" customWidth="1"/>
    <col min="9736" max="9737" width="1" style="1" customWidth="1"/>
    <col min="9738" max="9782" width="0" style="1" hidden="1" customWidth="1"/>
    <col min="9783" max="9784" width="1" style="1" customWidth="1"/>
    <col min="9785" max="9785" width="17.85546875" style="1" customWidth="1"/>
    <col min="9786" max="9787" width="1" style="1" customWidth="1"/>
    <col min="9788" max="9797" width="0" style="1" hidden="1" customWidth="1"/>
    <col min="9798" max="9799" width="1" style="1" customWidth="1"/>
    <col min="9800" max="9800" width="17.85546875" style="1" customWidth="1"/>
    <col min="9801" max="9804" width="1" style="1" customWidth="1"/>
    <col min="9805" max="9805" width="17.85546875" style="1" customWidth="1"/>
    <col min="9806" max="9807" width="1" style="1" customWidth="1"/>
    <col min="9808" max="9852" width="0" style="1" hidden="1" customWidth="1"/>
    <col min="9853" max="9854" width="1" style="1" customWidth="1"/>
    <col min="9855" max="9855" width="17.85546875" style="1" customWidth="1"/>
    <col min="9856" max="9857" width="1" style="1" customWidth="1"/>
    <col min="9858" max="9867" width="0" style="1" hidden="1" customWidth="1"/>
    <col min="9868" max="9869" width="1" style="1" customWidth="1"/>
    <col min="9870" max="9870" width="14.42578125" style="1" customWidth="1"/>
    <col min="9871" max="9872" width="1" style="1" customWidth="1"/>
    <col min="9873" max="9873" width="2" style="1" customWidth="1"/>
    <col min="9874" max="9874" width="3.85546875" style="1" customWidth="1"/>
    <col min="9875" max="9875" width="15.7109375" style="1" customWidth="1"/>
    <col min="9876" max="9876" width="13.42578125" style="1" bestFit="1" customWidth="1"/>
    <col min="9877" max="9877" width="13.85546875" style="1" customWidth="1"/>
    <col min="9878" max="9878" width="13.42578125" style="1" bestFit="1" customWidth="1"/>
    <col min="9879" max="9984" width="10" style="1"/>
    <col min="9985" max="9986" width="0" style="1" hidden="1" customWidth="1"/>
    <col min="9987" max="9987" width="1" style="1" customWidth="1"/>
    <col min="9988" max="9988" width="56" style="1" customWidth="1"/>
    <col min="9989" max="9990" width="1" style="1" customWidth="1"/>
    <col min="9991" max="9991" width="14.42578125" style="1" customWidth="1"/>
    <col min="9992" max="9993" width="1" style="1" customWidth="1"/>
    <col min="9994" max="10038" width="0" style="1" hidden="1" customWidth="1"/>
    <col min="10039" max="10040" width="1" style="1" customWidth="1"/>
    <col min="10041" max="10041" width="17.85546875" style="1" customWidth="1"/>
    <col min="10042" max="10043" width="1" style="1" customWidth="1"/>
    <col min="10044" max="10053" width="0" style="1" hidden="1" customWidth="1"/>
    <col min="10054" max="10055" width="1" style="1" customWidth="1"/>
    <col min="10056" max="10056" width="17.85546875" style="1" customWidth="1"/>
    <col min="10057" max="10060" width="1" style="1" customWidth="1"/>
    <col min="10061" max="10061" width="17.85546875" style="1" customWidth="1"/>
    <col min="10062" max="10063" width="1" style="1" customWidth="1"/>
    <col min="10064" max="10108" width="0" style="1" hidden="1" customWidth="1"/>
    <col min="10109" max="10110" width="1" style="1" customWidth="1"/>
    <col min="10111" max="10111" width="17.85546875" style="1" customWidth="1"/>
    <col min="10112" max="10113" width="1" style="1" customWidth="1"/>
    <col min="10114" max="10123" width="0" style="1" hidden="1" customWidth="1"/>
    <col min="10124" max="10125" width="1" style="1" customWidth="1"/>
    <col min="10126" max="10126" width="14.42578125" style="1" customWidth="1"/>
    <col min="10127" max="10128" width="1" style="1" customWidth="1"/>
    <col min="10129" max="10129" width="2" style="1" customWidth="1"/>
    <col min="10130" max="10130" width="3.85546875" style="1" customWidth="1"/>
    <col min="10131" max="10131" width="15.7109375" style="1" customWidth="1"/>
    <col min="10132" max="10132" width="13.42578125" style="1" bestFit="1" customWidth="1"/>
    <col min="10133" max="10133" width="13.85546875" style="1" customWidth="1"/>
    <col min="10134" max="10134" width="13.42578125" style="1" bestFit="1" customWidth="1"/>
    <col min="10135" max="10240" width="10" style="1"/>
    <col min="10241" max="10242" width="0" style="1" hidden="1" customWidth="1"/>
    <col min="10243" max="10243" width="1" style="1" customWidth="1"/>
    <col min="10244" max="10244" width="56" style="1" customWidth="1"/>
    <col min="10245" max="10246" width="1" style="1" customWidth="1"/>
    <col min="10247" max="10247" width="14.42578125" style="1" customWidth="1"/>
    <col min="10248" max="10249" width="1" style="1" customWidth="1"/>
    <col min="10250" max="10294" width="0" style="1" hidden="1" customWidth="1"/>
    <col min="10295" max="10296" width="1" style="1" customWidth="1"/>
    <col min="10297" max="10297" width="17.85546875" style="1" customWidth="1"/>
    <col min="10298" max="10299" width="1" style="1" customWidth="1"/>
    <col min="10300" max="10309" width="0" style="1" hidden="1" customWidth="1"/>
    <col min="10310" max="10311" width="1" style="1" customWidth="1"/>
    <col min="10312" max="10312" width="17.85546875" style="1" customWidth="1"/>
    <col min="10313" max="10316" width="1" style="1" customWidth="1"/>
    <col min="10317" max="10317" width="17.85546875" style="1" customWidth="1"/>
    <col min="10318" max="10319" width="1" style="1" customWidth="1"/>
    <col min="10320" max="10364" width="0" style="1" hidden="1" customWidth="1"/>
    <col min="10365" max="10366" width="1" style="1" customWidth="1"/>
    <col min="10367" max="10367" width="17.85546875" style="1" customWidth="1"/>
    <col min="10368" max="10369" width="1" style="1" customWidth="1"/>
    <col min="10370" max="10379" width="0" style="1" hidden="1" customWidth="1"/>
    <col min="10380" max="10381" width="1" style="1" customWidth="1"/>
    <col min="10382" max="10382" width="14.42578125" style="1" customWidth="1"/>
    <col min="10383" max="10384" width="1" style="1" customWidth="1"/>
    <col min="10385" max="10385" width="2" style="1" customWidth="1"/>
    <col min="10386" max="10386" width="3.85546875" style="1" customWidth="1"/>
    <col min="10387" max="10387" width="15.7109375" style="1" customWidth="1"/>
    <col min="10388" max="10388" width="13.42578125" style="1" bestFit="1" customWidth="1"/>
    <col min="10389" max="10389" width="13.85546875" style="1" customWidth="1"/>
    <col min="10390" max="10390" width="13.42578125" style="1" bestFit="1" customWidth="1"/>
    <col min="10391" max="10496" width="10" style="1"/>
    <col min="10497" max="10498" width="0" style="1" hidden="1" customWidth="1"/>
    <col min="10499" max="10499" width="1" style="1" customWidth="1"/>
    <col min="10500" max="10500" width="56" style="1" customWidth="1"/>
    <col min="10501" max="10502" width="1" style="1" customWidth="1"/>
    <col min="10503" max="10503" width="14.42578125" style="1" customWidth="1"/>
    <col min="10504" max="10505" width="1" style="1" customWidth="1"/>
    <col min="10506" max="10550" width="0" style="1" hidden="1" customWidth="1"/>
    <col min="10551" max="10552" width="1" style="1" customWidth="1"/>
    <col min="10553" max="10553" width="17.85546875" style="1" customWidth="1"/>
    <col min="10554" max="10555" width="1" style="1" customWidth="1"/>
    <col min="10556" max="10565" width="0" style="1" hidden="1" customWidth="1"/>
    <col min="10566" max="10567" width="1" style="1" customWidth="1"/>
    <col min="10568" max="10568" width="17.85546875" style="1" customWidth="1"/>
    <col min="10569" max="10572" width="1" style="1" customWidth="1"/>
    <col min="10573" max="10573" width="17.85546875" style="1" customWidth="1"/>
    <col min="10574" max="10575" width="1" style="1" customWidth="1"/>
    <col min="10576" max="10620" width="0" style="1" hidden="1" customWidth="1"/>
    <col min="10621" max="10622" width="1" style="1" customWidth="1"/>
    <col min="10623" max="10623" width="17.85546875" style="1" customWidth="1"/>
    <col min="10624" max="10625" width="1" style="1" customWidth="1"/>
    <col min="10626" max="10635" width="0" style="1" hidden="1" customWidth="1"/>
    <col min="10636" max="10637" width="1" style="1" customWidth="1"/>
    <col min="10638" max="10638" width="14.42578125" style="1" customWidth="1"/>
    <col min="10639" max="10640" width="1" style="1" customWidth="1"/>
    <col min="10641" max="10641" width="2" style="1" customWidth="1"/>
    <col min="10642" max="10642" width="3.85546875" style="1" customWidth="1"/>
    <col min="10643" max="10643" width="15.7109375" style="1" customWidth="1"/>
    <col min="10644" max="10644" width="13.42578125" style="1" bestFit="1" customWidth="1"/>
    <col min="10645" max="10645" width="13.85546875" style="1" customWidth="1"/>
    <col min="10646" max="10646" width="13.42578125" style="1" bestFit="1" customWidth="1"/>
    <col min="10647" max="10752" width="10" style="1"/>
    <col min="10753" max="10754" width="0" style="1" hidden="1" customWidth="1"/>
    <col min="10755" max="10755" width="1" style="1" customWidth="1"/>
    <col min="10756" max="10756" width="56" style="1" customWidth="1"/>
    <col min="10757" max="10758" width="1" style="1" customWidth="1"/>
    <col min="10759" max="10759" width="14.42578125" style="1" customWidth="1"/>
    <col min="10760" max="10761" width="1" style="1" customWidth="1"/>
    <col min="10762" max="10806" width="0" style="1" hidden="1" customWidth="1"/>
    <col min="10807" max="10808" width="1" style="1" customWidth="1"/>
    <col min="10809" max="10809" width="17.85546875" style="1" customWidth="1"/>
    <col min="10810" max="10811" width="1" style="1" customWidth="1"/>
    <col min="10812" max="10821" width="0" style="1" hidden="1" customWidth="1"/>
    <col min="10822" max="10823" width="1" style="1" customWidth="1"/>
    <col min="10824" max="10824" width="17.85546875" style="1" customWidth="1"/>
    <col min="10825" max="10828" width="1" style="1" customWidth="1"/>
    <col min="10829" max="10829" width="17.85546875" style="1" customWidth="1"/>
    <col min="10830" max="10831" width="1" style="1" customWidth="1"/>
    <col min="10832" max="10876" width="0" style="1" hidden="1" customWidth="1"/>
    <col min="10877" max="10878" width="1" style="1" customWidth="1"/>
    <col min="10879" max="10879" width="17.85546875" style="1" customWidth="1"/>
    <col min="10880" max="10881" width="1" style="1" customWidth="1"/>
    <col min="10882" max="10891" width="0" style="1" hidden="1" customWidth="1"/>
    <col min="10892" max="10893" width="1" style="1" customWidth="1"/>
    <col min="10894" max="10894" width="14.42578125" style="1" customWidth="1"/>
    <col min="10895" max="10896" width="1" style="1" customWidth="1"/>
    <col min="10897" max="10897" width="2" style="1" customWidth="1"/>
    <col min="10898" max="10898" width="3.85546875" style="1" customWidth="1"/>
    <col min="10899" max="10899" width="15.7109375" style="1" customWidth="1"/>
    <col min="10900" max="10900" width="13.42578125" style="1" bestFit="1" customWidth="1"/>
    <col min="10901" max="10901" width="13.85546875" style="1" customWidth="1"/>
    <col min="10902" max="10902" width="13.42578125" style="1" bestFit="1" customWidth="1"/>
    <col min="10903" max="11008" width="10" style="1"/>
    <col min="11009" max="11010" width="0" style="1" hidden="1" customWidth="1"/>
    <col min="11011" max="11011" width="1" style="1" customWidth="1"/>
    <col min="11012" max="11012" width="56" style="1" customWidth="1"/>
    <col min="11013" max="11014" width="1" style="1" customWidth="1"/>
    <col min="11015" max="11015" width="14.42578125" style="1" customWidth="1"/>
    <col min="11016" max="11017" width="1" style="1" customWidth="1"/>
    <col min="11018" max="11062" width="0" style="1" hidden="1" customWidth="1"/>
    <col min="11063" max="11064" width="1" style="1" customWidth="1"/>
    <col min="11065" max="11065" width="17.85546875" style="1" customWidth="1"/>
    <col min="11066" max="11067" width="1" style="1" customWidth="1"/>
    <col min="11068" max="11077" width="0" style="1" hidden="1" customWidth="1"/>
    <col min="11078" max="11079" width="1" style="1" customWidth="1"/>
    <col min="11080" max="11080" width="17.85546875" style="1" customWidth="1"/>
    <col min="11081" max="11084" width="1" style="1" customWidth="1"/>
    <col min="11085" max="11085" width="17.85546875" style="1" customWidth="1"/>
    <col min="11086" max="11087" width="1" style="1" customWidth="1"/>
    <col min="11088" max="11132" width="0" style="1" hidden="1" customWidth="1"/>
    <col min="11133" max="11134" width="1" style="1" customWidth="1"/>
    <col min="11135" max="11135" width="17.85546875" style="1" customWidth="1"/>
    <col min="11136" max="11137" width="1" style="1" customWidth="1"/>
    <col min="11138" max="11147" width="0" style="1" hidden="1" customWidth="1"/>
    <col min="11148" max="11149" width="1" style="1" customWidth="1"/>
    <col min="11150" max="11150" width="14.42578125" style="1" customWidth="1"/>
    <col min="11151" max="11152" width="1" style="1" customWidth="1"/>
    <col min="11153" max="11153" width="2" style="1" customWidth="1"/>
    <col min="11154" max="11154" width="3.85546875" style="1" customWidth="1"/>
    <col min="11155" max="11155" width="15.7109375" style="1" customWidth="1"/>
    <col min="11156" max="11156" width="13.42578125" style="1" bestFit="1" customWidth="1"/>
    <col min="11157" max="11157" width="13.85546875" style="1" customWidth="1"/>
    <col min="11158" max="11158" width="13.42578125" style="1" bestFit="1" customWidth="1"/>
    <col min="11159" max="11264" width="10" style="1"/>
    <col min="11265" max="11266" width="0" style="1" hidden="1" customWidth="1"/>
    <col min="11267" max="11267" width="1" style="1" customWidth="1"/>
    <col min="11268" max="11268" width="56" style="1" customWidth="1"/>
    <col min="11269" max="11270" width="1" style="1" customWidth="1"/>
    <col min="11271" max="11271" width="14.42578125" style="1" customWidth="1"/>
    <col min="11272" max="11273" width="1" style="1" customWidth="1"/>
    <col min="11274" max="11318" width="0" style="1" hidden="1" customWidth="1"/>
    <col min="11319" max="11320" width="1" style="1" customWidth="1"/>
    <col min="11321" max="11321" width="17.85546875" style="1" customWidth="1"/>
    <col min="11322" max="11323" width="1" style="1" customWidth="1"/>
    <col min="11324" max="11333" width="0" style="1" hidden="1" customWidth="1"/>
    <col min="11334" max="11335" width="1" style="1" customWidth="1"/>
    <col min="11336" max="11336" width="17.85546875" style="1" customWidth="1"/>
    <col min="11337" max="11340" width="1" style="1" customWidth="1"/>
    <col min="11341" max="11341" width="17.85546875" style="1" customWidth="1"/>
    <col min="11342" max="11343" width="1" style="1" customWidth="1"/>
    <col min="11344" max="11388" width="0" style="1" hidden="1" customWidth="1"/>
    <col min="11389" max="11390" width="1" style="1" customWidth="1"/>
    <col min="11391" max="11391" width="17.85546875" style="1" customWidth="1"/>
    <col min="11392" max="11393" width="1" style="1" customWidth="1"/>
    <col min="11394" max="11403" width="0" style="1" hidden="1" customWidth="1"/>
    <col min="11404" max="11405" width="1" style="1" customWidth="1"/>
    <col min="11406" max="11406" width="14.42578125" style="1" customWidth="1"/>
    <col min="11407" max="11408" width="1" style="1" customWidth="1"/>
    <col min="11409" max="11409" width="2" style="1" customWidth="1"/>
    <col min="11410" max="11410" width="3.85546875" style="1" customWidth="1"/>
    <col min="11411" max="11411" width="15.7109375" style="1" customWidth="1"/>
    <col min="11412" max="11412" width="13.42578125" style="1" bestFit="1" customWidth="1"/>
    <col min="11413" max="11413" width="13.85546875" style="1" customWidth="1"/>
    <col min="11414" max="11414" width="13.42578125" style="1" bestFit="1" customWidth="1"/>
    <col min="11415" max="11520" width="10" style="1"/>
    <col min="11521" max="11522" width="0" style="1" hidden="1" customWidth="1"/>
    <col min="11523" max="11523" width="1" style="1" customWidth="1"/>
    <col min="11524" max="11524" width="56" style="1" customWidth="1"/>
    <col min="11525" max="11526" width="1" style="1" customWidth="1"/>
    <col min="11527" max="11527" width="14.42578125" style="1" customWidth="1"/>
    <col min="11528" max="11529" width="1" style="1" customWidth="1"/>
    <col min="11530" max="11574" width="0" style="1" hidden="1" customWidth="1"/>
    <col min="11575" max="11576" width="1" style="1" customWidth="1"/>
    <col min="11577" max="11577" width="17.85546875" style="1" customWidth="1"/>
    <col min="11578" max="11579" width="1" style="1" customWidth="1"/>
    <col min="11580" max="11589" width="0" style="1" hidden="1" customWidth="1"/>
    <col min="11590" max="11591" width="1" style="1" customWidth="1"/>
    <col min="11592" max="11592" width="17.85546875" style="1" customWidth="1"/>
    <col min="11593" max="11596" width="1" style="1" customWidth="1"/>
    <col min="11597" max="11597" width="17.85546875" style="1" customWidth="1"/>
    <col min="11598" max="11599" width="1" style="1" customWidth="1"/>
    <col min="11600" max="11644" width="0" style="1" hidden="1" customWidth="1"/>
    <col min="11645" max="11646" width="1" style="1" customWidth="1"/>
    <col min="11647" max="11647" width="17.85546875" style="1" customWidth="1"/>
    <col min="11648" max="11649" width="1" style="1" customWidth="1"/>
    <col min="11650" max="11659" width="0" style="1" hidden="1" customWidth="1"/>
    <col min="11660" max="11661" width="1" style="1" customWidth="1"/>
    <col min="11662" max="11662" width="14.42578125" style="1" customWidth="1"/>
    <col min="11663" max="11664" width="1" style="1" customWidth="1"/>
    <col min="11665" max="11665" width="2" style="1" customWidth="1"/>
    <col min="11666" max="11666" width="3.85546875" style="1" customWidth="1"/>
    <col min="11667" max="11667" width="15.7109375" style="1" customWidth="1"/>
    <col min="11668" max="11668" width="13.42578125" style="1" bestFit="1" customWidth="1"/>
    <col min="11669" max="11669" width="13.85546875" style="1" customWidth="1"/>
    <col min="11670" max="11670" width="13.42578125" style="1" bestFit="1" customWidth="1"/>
    <col min="11671" max="11776" width="10" style="1"/>
    <col min="11777" max="11778" width="0" style="1" hidden="1" customWidth="1"/>
    <col min="11779" max="11779" width="1" style="1" customWidth="1"/>
    <col min="11780" max="11780" width="56" style="1" customWidth="1"/>
    <col min="11781" max="11782" width="1" style="1" customWidth="1"/>
    <col min="11783" max="11783" width="14.42578125" style="1" customWidth="1"/>
    <col min="11784" max="11785" width="1" style="1" customWidth="1"/>
    <col min="11786" max="11830" width="0" style="1" hidden="1" customWidth="1"/>
    <col min="11831" max="11832" width="1" style="1" customWidth="1"/>
    <col min="11833" max="11833" width="17.85546875" style="1" customWidth="1"/>
    <col min="11834" max="11835" width="1" style="1" customWidth="1"/>
    <col min="11836" max="11845" width="0" style="1" hidden="1" customWidth="1"/>
    <col min="11846" max="11847" width="1" style="1" customWidth="1"/>
    <col min="11848" max="11848" width="17.85546875" style="1" customWidth="1"/>
    <col min="11849" max="11852" width="1" style="1" customWidth="1"/>
    <col min="11853" max="11853" width="17.85546875" style="1" customWidth="1"/>
    <col min="11854" max="11855" width="1" style="1" customWidth="1"/>
    <col min="11856" max="11900" width="0" style="1" hidden="1" customWidth="1"/>
    <col min="11901" max="11902" width="1" style="1" customWidth="1"/>
    <col min="11903" max="11903" width="17.85546875" style="1" customWidth="1"/>
    <col min="11904" max="11905" width="1" style="1" customWidth="1"/>
    <col min="11906" max="11915" width="0" style="1" hidden="1" customWidth="1"/>
    <col min="11916" max="11917" width="1" style="1" customWidth="1"/>
    <col min="11918" max="11918" width="14.42578125" style="1" customWidth="1"/>
    <col min="11919" max="11920" width="1" style="1" customWidth="1"/>
    <col min="11921" max="11921" width="2" style="1" customWidth="1"/>
    <col min="11922" max="11922" width="3.85546875" style="1" customWidth="1"/>
    <col min="11923" max="11923" width="15.7109375" style="1" customWidth="1"/>
    <col min="11924" max="11924" width="13.42578125" style="1" bestFit="1" customWidth="1"/>
    <col min="11925" max="11925" width="13.85546875" style="1" customWidth="1"/>
    <col min="11926" max="11926" width="13.42578125" style="1" bestFit="1" customWidth="1"/>
    <col min="11927" max="12032" width="10" style="1"/>
    <col min="12033" max="12034" width="0" style="1" hidden="1" customWidth="1"/>
    <col min="12035" max="12035" width="1" style="1" customWidth="1"/>
    <col min="12036" max="12036" width="56" style="1" customWidth="1"/>
    <col min="12037" max="12038" width="1" style="1" customWidth="1"/>
    <col min="12039" max="12039" width="14.42578125" style="1" customWidth="1"/>
    <col min="12040" max="12041" width="1" style="1" customWidth="1"/>
    <col min="12042" max="12086" width="0" style="1" hidden="1" customWidth="1"/>
    <col min="12087" max="12088" width="1" style="1" customWidth="1"/>
    <col min="12089" max="12089" width="17.85546875" style="1" customWidth="1"/>
    <col min="12090" max="12091" width="1" style="1" customWidth="1"/>
    <col min="12092" max="12101" width="0" style="1" hidden="1" customWidth="1"/>
    <col min="12102" max="12103" width="1" style="1" customWidth="1"/>
    <col min="12104" max="12104" width="17.85546875" style="1" customWidth="1"/>
    <col min="12105" max="12108" width="1" style="1" customWidth="1"/>
    <col min="12109" max="12109" width="17.85546875" style="1" customWidth="1"/>
    <col min="12110" max="12111" width="1" style="1" customWidth="1"/>
    <col min="12112" max="12156" width="0" style="1" hidden="1" customWidth="1"/>
    <col min="12157" max="12158" width="1" style="1" customWidth="1"/>
    <col min="12159" max="12159" width="17.85546875" style="1" customWidth="1"/>
    <col min="12160" max="12161" width="1" style="1" customWidth="1"/>
    <col min="12162" max="12171" width="0" style="1" hidden="1" customWidth="1"/>
    <col min="12172" max="12173" width="1" style="1" customWidth="1"/>
    <col min="12174" max="12174" width="14.42578125" style="1" customWidth="1"/>
    <col min="12175" max="12176" width="1" style="1" customWidth="1"/>
    <col min="12177" max="12177" width="2" style="1" customWidth="1"/>
    <col min="12178" max="12178" width="3.85546875" style="1" customWidth="1"/>
    <col min="12179" max="12179" width="15.7109375" style="1" customWidth="1"/>
    <col min="12180" max="12180" width="13.42578125" style="1" bestFit="1" customWidth="1"/>
    <col min="12181" max="12181" width="13.85546875" style="1" customWidth="1"/>
    <col min="12182" max="12182" width="13.42578125" style="1" bestFit="1" customWidth="1"/>
    <col min="12183" max="12288" width="10" style="1"/>
    <col min="12289" max="12290" width="0" style="1" hidden="1" customWidth="1"/>
    <col min="12291" max="12291" width="1" style="1" customWidth="1"/>
    <col min="12292" max="12292" width="56" style="1" customWidth="1"/>
    <col min="12293" max="12294" width="1" style="1" customWidth="1"/>
    <col min="12295" max="12295" width="14.42578125" style="1" customWidth="1"/>
    <col min="12296" max="12297" width="1" style="1" customWidth="1"/>
    <col min="12298" max="12342" width="0" style="1" hidden="1" customWidth="1"/>
    <col min="12343" max="12344" width="1" style="1" customWidth="1"/>
    <col min="12345" max="12345" width="17.85546875" style="1" customWidth="1"/>
    <col min="12346" max="12347" width="1" style="1" customWidth="1"/>
    <col min="12348" max="12357" width="0" style="1" hidden="1" customWidth="1"/>
    <col min="12358" max="12359" width="1" style="1" customWidth="1"/>
    <col min="12360" max="12360" width="17.85546875" style="1" customWidth="1"/>
    <col min="12361" max="12364" width="1" style="1" customWidth="1"/>
    <col min="12365" max="12365" width="17.85546875" style="1" customWidth="1"/>
    <col min="12366" max="12367" width="1" style="1" customWidth="1"/>
    <col min="12368" max="12412" width="0" style="1" hidden="1" customWidth="1"/>
    <col min="12413" max="12414" width="1" style="1" customWidth="1"/>
    <col min="12415" max="12415" width="17.85546875" style="1" customWidth="1"/>
    <col min="12416" max="12417" width="1" style="1" customWidth="1"/>
    <col min="12418" max="12427" width="0" style="1" hidden="1" customWidth="1"/>
    <col min="12428" max="12429" width="1" style="1" customWidth="1"/>
    <col min="12430" max="12430" width="14.42578125" style="1" customWidth="1"/>
    <col min="12431" max="12432" width="1" style="1" customWidth="1"/>
    <col min="12433" max="12433" width="2" style="1" customWidth="1"/>
    <col min="12434" max="12434" width="3.85546875" style="1" customWidth="1"/>
    <col min="12435" max="12435" width="15.7109375" style="1" customWidth="1"/>
    <col min="12436" max="12436" width="13.42578125" style="1" bestFit="1" customWidth="1"/>
    <col min="12437" max="12437" width="13.85546875" style="1" customWidth="1"/>
    <col min="12438" max="12438" width="13.42578125" style="1" bestFit="1" customWidth="1"/>
    <col min="12439" max="12544" width="10" style="1"/>
    <col min="12545" max="12546" width="0" style="1" hidden="1" customWidth="1"/>
    <col min="12547" max="12547" width="1" style="1" customWidth="1"/>
    <col min="12548" max="12548" width="56" style="1" customWidth="1"/>
    <col min="12549" max="12550" width="1" style="1" customWidth="1"/>
    <col min="12551" max="12551" width="14.42578125" style="1" customWidth="1"/>
    <col min="12552" max="12553" width="1" style="1" customWidth="1"/>
    <col min="12554" max="12598" width="0" style="1" hidden="1" customWidth="1"/>
    <col min="12599" max="12600" width="1" style="1" customWidth="1"/>
    <col min="12601" max="12601" width="17.85546875" style="1" customWidth="1"/>
    <col min="12602" max="12603" width="1" style="1" customWidth="1"/>
    <col min="12604" max="12613" width="0" style="1" hidden="1" customWidth="1"/>
    <col min="12614" max="12615" width="1" style="1" customWidth="1"/>
    <col min="12616" max="12616" width="17.85546875" style="1" customWidth="1"/>
    <col min="12617" max="12620" width="1" style="1" customWidth="1"/>
    <col min="12621" max="12621" width="17.85546875" style="1" customWidth="1"/>
    <col min="12622" max="12623" width="1" style="1" customWidth="1"/>
    <col min="12624" max="12668" width="0" style="1" hidden="1" customWidth="1"/>
    <col min="12669" max="12670" width="1" style="1" customWidth="1"/>
    <col min="12671" max="12671" width="17.85546875" style="1" customWidth="1"/>
    <col min="12672" max="12673" width="1" style="1" customWidth="1"/>
    <col min="12674" max="12683" width="0" style="1" hidden="1" customWidth="1"/>
    <col min="12684" max="12685" width="1" style="1" customWidth="1"/>
    <col min="12686" max="12686" width="14.42578125" style="1" customWidth="1"/>
    <col min="12687" max="12688" width="1" style="1" customWidth="1"/>
    <col min="12689" max="12689" width="2" style="1" customWidth="1"/>
    <col min="12690" max="12690" width="3.85546875" style="1" customWidth="1"/>
    <col min="12691" max="12691" width="15.7109375" style="1" customWidth="1"/>
    <col min="12692" max="12692" width="13.42578125" style="1" bestFit="1" customWidth="1"/>
    <col min="12693" max="12693" width="13.85546875" style="1" customWidth="1"/>
    <col min="12694" max="12694" width="13.42578125" style="1" bestFit="1" customWidth="1"/>
    <col min="12695" max="12800" width="10" style="1"/>
    <col min="12801" max="12802" width="0" style="1" hidden="1" customWidth="1"/>
    <col min="12803" max="12803" width="1" style="1" customWidth="1"/>
    <col min="12804" max="12804" width="56" style="1" customWidth="1"/>
    <col min="12805" max="12806" width="1" style="1" customWidth="1"/>
    <col min="12807" max="12807" width="14.42578125" style="1" customWidth="1"/>
    <col min="12808" max="12809" width="1" style="1" customWidth="1"/>
    <col min="12810" max="12854" width="0" style="1" hidden="1" customWidth="1"/>
    <col min="12855" max="12856" width="1" style="1" customWidth="1"/>
    <col min="12857" max="12857" width="17.85546875" style="1" customWidth="1"/>
    <col min="12858" max="12859" width="1" style="1" customWidth="1"/>
    <col min="12860" max="12869" width="0" style="1" hidden="1" customWidth="1"/>
    <col min="12870" max="12871" width="1" style="1" customWidth="1"/>
    <col min="12872" max="12872" width="17.85546875" style="1" customWidth="1"/>
    <col min="12873" max="12876" width="1" style="1" customWidth="1"/>
    <col min="12877" max="12877" width="17.85546875" style="1" customWidth="1"/>
    <col min="12878" max="12879" width="1" style="1" customWidth="1"/>
    <col min="12880" max="12924" width="0" style="1" hidden="1" customWidth="1"/>
    <col min="12925" max="12926" width="1" style="1" customWidth="1"/>
    <col min="12927" max="12927" width="17.85546875" style="1" customWidth="1"/>
    <col min="12928" max="12929" width="1" style="1" customWidth="1"/>
    <col min="12930" max="12939" width="0" style="1" hidden="1" customWidth="1"/>
    <col min="12940" max="12941" width="1" style="1" customWidth="1"/>
    <col min="12942" max="12942" width="14.42578125" style="1" customWidth="1"/>
    <col min="12943" max="12944" width="1" style="1" customWidth="1"/>
    <col min="12945" max="12945" width="2" style="1" customWidth="1"/>
    <col min="12946" max="12946" width="3.85546875" style="1" customWidth="1"/>
    <col min="12947" max="12947" width="15.7109375" style="1" customWidth="1"/>
    <col min="12948" max="12948" width="13.42578125" style="1" bestFit="1" customWidth="1"/>
    <col min="12949" max="12949" width="13.85546875" style="1" customWidth="1"/>
    <col min="12950" max="12950" width="13.42578125" style="1" bestFit="1" customWidth="1"/>
    <col min="12951" max="13056" width="10" style="1"/>
    <col min="13057" max="13058" width="0" style="1" hidden="1" customWidth="1"/>
    <col min="13059" max="13059" width="1" style="1" customWidth="1"/>
    <col min="13060" max="13060" width="56" style="1" customWidth="1"/>
    <col min="13061" max="13062" width="1" style="1" customWidth="1"/>
    <col min="13063" max="13063" width="14.42578125" style="1" customWidth="1"/>
    <col min="13064" max="13065" width="1" style="1" customWidth="1"/>
    <col min="13066" max="13110" width="0" style="1" hidden="1" customWidth="1"/>
    <col min="13111" max="13112" width="1" style="1" customWidth="1"/>
    <col min="13113" max="13113" width="17.85546875" style="1" customWidth="1"/>
    <col min="13114" max="13115" width="1" style="1" customWidth="1"/>
    <col min="13116" max="13125" width="0" style="1" hidden="1" customWidth="1"/>
    <col min="13126" max="13127" width="1" style="1" customWidth="1"/>
    <col min="13128" max="13128" width="17.85546875" style="1" customWidth="1"/>
    <col min="13129" max="13132" width="1" style="1" customWidth="1"/>
    <col min="13133" max="13133" width="17.85546875" style="1" customWidth="1"/>
    <col min="13134" max="13135" width="1" style="1" customWidth="1"/>
    <col min="13136" max="13180" width="0" style="1" hidden="1" customWidth="1"/>
    <col min="13181" max="13182" width="1" style="1" customWidth="1"/>
    <col min="13183" max="13183" width="17.85546875" style="1" customWidth="1"/>
    <col min="13184" max="13185" width="1" style="1" customWidth="1"/>
    <col min="13186" max="13195" width="0" style="1" hidden="1" customWidth="1"/>
    <col min="13196" max="13197" width="1" style="1" customWidth="1"/>
    <col min="13198" max="13198" width="14.42578125" style="1" customWidth="1"/>
    <col min="13199" max="13200" width="1" style="1" customWidth="1"/>
    <col min="13201" max="13201" width="2" style="1" customWidth="1"/>
    <col min="13202" max="13202" width="3.85546875" style="1" customWidth="1"/>
    <col min="13203" max="13203" width="15.7109375" style="1" customWidth="1"/>
    <col min="13204" max="13204" width="13.42578125" style="1" bestFit="1" customWidth="1"/>
    <col min="13205" max="13205" width="13.85546875" style="1" customWidth="1"/>
    <col min="13206" max="13206" width="13.42578125" style="1" bestFit="1" customWidth="1"/>
    <col min="13207" max="13312" width="10" style="1"/>
    <col min="13313" max="13314" width="0" style="1" hidden="1" customWidth="1"/>
    <col min="13315" max="13315" width="1" style="1" customWidth="1"/>
    <col min="13316" max="13316" width="56" style="1" customWidth="1"/>
    <col min="13317" max="13318" width="1" style="1" customWidth="1"/>
    <col min="13319" max="13319" width="14.42578125" style="1" customWidth="1"/>
    <col min="13320" max="13321" width="1" style="1" customWidth="1"/>
    <col min="13322" max="13366" width="0" style="1" hidden="1" customWidth="1"/>
    <col min="13367" max="13368" width="1" style="1" customWidth="1"/>
    <col min="13369" max="13369" width="17.85546875" style="1" customWidth="1"/>
    <col min="13370" max="13371" width="1" style="1" customWidth="1"/>
    <col min="13372" max="13381" width="0" style="1" hidden="1" customWidth="1"/>
    <col min="13382" max="13383" width="1" style="1" customWidth="1"/>
    <col min="13384" max="13384" width="17.85546875" style="1" customWidth="1"/>
    <col min="13385" max="13388" width="1" style="1" customWidth="1"/>
    <col min="13389" max="13389" width="17.85546875" style="1" customWidth="1"/>
    <col min="13390" max="13391" width="1" style="1" customWidth="1"/>
    <col min="13392" max="13436" width="0" style="1" hidden="1" customWidth="1"/>
    <col min="13437" max="13438" width="1" style="1" customWidth="1"/>
    <col min="13439" max="13439" width="17.85546875" style="1" customWidth="1"/>
    <col min="13440" max="13441" width="1" style="1" customWidth="1"/>
    <col min="13442" max="13451" width="0" style="1" hidden="1" customWidth="1"/>
    <col min="13452" max="13453" width="1" style="1" customWidth="1"/>
    <col min="13454" max="13454" width="14.42578125" style="1" customWidth="1"/>
    <col min="13455" max="13456" width="1" style="1" customWidth="1"/>
    <col min="13457" max="13457" width="2" style="1" customWidth="1"/>
    <col min="13458" max="13458" width="3.85546875" style="1" customWidth="1"/>
    <col min="13459" max="13459" width="15.7109375" style="1" customWidth="1"/>
    <col min="13460" max="13460" width="13.42578125" style="1" bestFit="1" customWidth="1"/>
    <col min="13461" max="13461" width="13.85546875" style="1" customWidth="1"/>
    <col min="13462" max="13462" width="13.42578125" style="1" bestFit="1" customWidth="1"/>
    <col min="13463" max="13568" width="10" style="1"/>
    <col min="13569" max="13570" width="0" style="1" hidden="1" customWidth="1"/>
    <col min="13571" max="13571" width="1" style="1" customWidth="1"/>
    <col min="13572" max="13572" width="56" style="1" customWidth="1"/>
    <col min="13573" max="13574" width="1" style="1" customWidth="1"/>
    <col min="13575" max="13575" width="14.42578125" style="1" customWidth="1"/>
    <col min="13576" max="13577" width="1" style="1" customWidth="1"/>
    <col min="13578" max="13622" width="0" style="1" hidden="1" customWidth="1"/>
    <col min="13623" max="13624" width="1" style="1" customWidth="1"/>
    <col min="13625" max="13625" width="17.85546875" style="1" customWidth="1"/>
    <col min="13626" max="13627" width="1" style="1" customWidth="1"/>
    <col min="13628" max="13637" width="0" style="1" hidden="1" customWidth="1"/>
    <col min="13638" max="13639" width="1" style="1" customWidth="1"/>
    <col min="13640" max="13640" width="17.85546875" style="1" customWidth="1"/>
    <col min="13641" max="13644" width="1" style="1" customWidth="1"/>
    <col min="13645" max="13645" width="17.85546875" style="1" customWidth="1"/>
    <col min="13646" max="13647" width="1" style="1" customWidth="1"/>
    <col min="13648" max="13692" width="0" style="1" hidden="1" customWidth="1"/>
    <col min="13693" max="13694" width="1" style="1" customWidth="1"/>
    <col min="13695" max="13695" width="17.85546875" style="1" customWidth="1"/>
    <col min="13696" max="13697" width="1" style="1" customWidth="1"/>
    <col min="13698" max="13707" width="0" style="1" hidden="1" customWidth="1"/>
    <col min="13708" max="13709" width="1" style="1" customWidth="1"/>
    <col min="13710" max="13710" width="14.42578125" style="1" customWidth="1"/>
    <col min="13711" max="13712" width="1" style="1" customWidth="1"/>
    <col min="13713" max="13713" width="2" style="1" customWidth="1"/>
    <col min="13714" max="13714" width="3.85546875" style="1" customWidth="1"/>
    <col min="13715" max="13715" width="15.7109375" style="1" customWidth="1"/>
    <col min="13716" max="13716" width="13.42578125" style="1" bestFit="1" customWidth="1"/>
    <col min="13717" max="13717" width="13.85546875" style="1" customWidth="1"/>
    <col min="13718" max="13718" width="13.42578125" style="1" bestFit="1" customWidth="1"/>
    <col min="13719" max="13824" width="10" style="1"/>
    <col min="13825" max="13826" width="0" style="1" hidden="1" customWidth="1"/>
    <col min="13827" max="13827" width="1" style="1" customWidth="1"/>
    <col min="13828" max="13828" width="56" style="1" customWidth="1"/>
    <col min="13829" max="13830" width="1" style="1" customWidth="1"/>
    <col min="13831" max="13831" width="14.42578125" style="1" customWidth="1"/>
    <col min="13832" max="13833" width="1" style="1" customWidth="1"/>
    <col min="13834" max="13878" width="0" style="1" hidden="1" customWidth="1"/>
    <col min="13879" max="13880" width="1" style="1" customWidth="1"/>
    <col min="13881" max="13881" width="17.85546875" style="1" customWidth="1"/>
    <col min="13882" max="13883" width="1" style="1" customWidth="1"/>
    <col min="13884" max="13893" width="0" style="1" hidden="1" customWidth="1"/>
    <col min="13894" max="13895" width="1" style="1" customWidth="1"/>
    <col min="13896" max="13896" width="17.85546875" style="1" customWidth="1"/>
    <col min="13897" max="13900" width="1" style="1" customWidth="1"/>
    <col min="13901" max="13901" width="17.85546875" style="1" customWidth="1"/>
    <col min="13902" max="13903" width="1" style="1" customWidth="1"/>
    <col min="13904" max="13948" width="0" style="1" hidden="1" customWidth="1"/>
    <col min="13949" max="13950" width="1" style="1" customWidth="1"/>
    <col min="13951" max="13951" width="17.85546875" style="1" customWidth="1"/>
    <col min="13952" max="13953" width="1" style="1" customWidth="1"/>
    <col min="13954" max="13963" width="0" style="1" hidden="1" customWidth="1"/>
    <col min="13964" max="13965" width="1" style="1" customWidth="1"/>
    <col min="13966" max="13966" width="14.42578125" style="1" customWidth="1"/>
    <col min="13967" max="13968" width="1" style="1" customWidth="1"/>
    <col min="13969" max="13969" width="2" style="1" customWidth="1"/>
    <col min="13970" max="13970" width="3.85546875" style="1" customWidth="1"/>
    <col min="13971" max="13971" width="15.7109375" style="1" customWidth="1"/>
    <col min="13972" max="13972" width="13.42578125" style="1" bestFit="1" customWidth="1"/>
    <col min="13973" max="13973" width="13.85546875" style="1" customWidth="1"/>
    <col min="13974" max="13974" width="13.42578125" style="1" bestFit="1" customWidth="1"/>
    <col min="13975" max="14080" width="10" style="1"/>
    <col min="14081" max="14082" width="0" style="1" hidden="1" customWidth="1"/>
    <col min="14083" max="14083" width="1" style="1" customWidth="1"/>
    <col min="14084" max="14084" width="56" style="1" customWidth="1"/>
    <col min="14085" max="14086" width="1" style="1" customWidth="1"/>
    <col min="14087" max="14087" width="14.42578125" style="1" customWidth="1"/>
    <col min="14088" max="14089" width="1" style="1" customWidth="1"/>
    <col min="14090" max="14134" width="0" style="1" hidden="1" customWidth="1"/>
    <col min="14135" max="14136" width="1" style="1" customWidth="1"/>
    <col min="14137" max="14137" width="17.85546875" style="1" customWidth="1"/>
    <col min="14138" max="14139" width="1" style="1" customWidth="1"/>
    <col min="14140" max="14149" width="0" style="1" hidden="1" customWidth="1"/>
    <col min="14150" max="14151" width="1" style="1" customWidth="1"/>
    <col min="14152" max="14152" width="17.85546875" style="1" customWidth="1"/>
    <col min="14153" max="14156" width="1" style="1" customWidth="1"/>
    <col min="14157" max="14157" width="17.85546875" style="1" customWidth="1"/>
    <col min="14158" max="14159" width="1" style="1" customWidth="1"/>
    <col min="14160" max="14204" width="0" style="1" hidden="1" customWidth="1"/>
    <col min="14205" max="14206" width="1" style="1" customWidth="1"/>
    <col min="14207" max="14207" width="17.85546875" style="1" customWidth="1"/>
    <col min="14208" max="14209" width="1" style="1" customWidth="1"/>
    <col min="14210" max="14219" width="0" style="1" hidden="1" customWidth="1"/>
    <col min="14220" max="14221" width="1" style="1" customWidth="1"/>
    <col min="14222" max="14222" width="14.42578125" style="1" customWidth="1"/>
    <col min="14223" max="14224" width="1" style="1" customWidth="1"/>
    <col min="14225" max="14225" width="2" style="1" customWidth="1"/>
    <col min="14226" max="14226" width="3.85546875" style="1" customWidth="1"/>
    <col min="14227" max="14227" width="15.7109375" style="1" customWidth="1"/>
    <col min="14228" max="14228" width="13.42578125" style="1" bestFit="1" customWidth="1"/>
    <col min="14229" max="14229" width="13.85546875" style="1" customWidth="1"/>
    <col min="14230" max="14230" width="13.42578125" style="1" bestFit="1" customWidth="1"/>
    <col min="14231" max="14336" width="10" style="1"/>
    <col min="14337" max="14338" width="0" style="1" hidden="1" customWidth="1"/>
    <col min="14339" max="14339" width="1" style="1" customWidth="1"/>
    <col min="14340" max="14340" width="56" style="1" customWidth="1"/>
    <col min="14341" max="14342" width="1" style="1" customWidth="1"/>
    <col min="14343" max="14343" width="14.42578125" style="1" customWidth="1"/>
    <col min="14344" max="14345" width="1" style="1" customWidth="1"/>
    <col min="14346" max="14390" width="0" style="1" hidden="1" customWidth="1"/>
    <col min="14391" max="14392" width="1" style="1" customWidth="1"/>
    <col min="14393" max="14393" width="17.85546875" style="1" customWidth="1"/>
    <col min="14394" max="14395" width="1" style="1" customWidth="1"/>
    <col min="14396" max="14405" width="0" style="1" hidden="1" customWidth="1"/>
    <col min="14406" max="14407" width="1" style="1" customWidth="1"/>
    <col min="14408" max="14408" width="17.85546875" style="1" customWidth="1"/>
    <col min="14409" max="14412" width="1" style="1" customWidth="1"/>
    <col min="14413" max="14413" width="17.85546875" style="1" customWidth="1"/>
    <col min="14414" max="14415" width="1" style="1" customWidth="1"/>
    <col min="14416" max="14460" width="0" style="1" hidden="1" customWidth="1"/>
    <col min="14461" max="14462" width="1" style="1" customWidth="1"/>
    <col min="14463" max="14463" width="17.85546875" style="1" customWidth="1"/>
    <col min="14464" max="14465" width="1" style="1" customWidth="1"/>
    <col min="14466" max="14475" width="0" style="1" hidden="1" customWidth="1"/>
    <col min="14476" max="14477" width="1" style="1" customWidth="1"/>
    <col min="14478" max="14478" width="14.42578125" style="1" customWidth="1"/>
    <col min="14479" max="14480" width="1" style="1" customWidth="1"/>
    <col min="14481" max="14481" width="2" style="1" customWidth="1"/>
    <col min="14482" max="14482" width="3.85546875" style="1" customWidth="1"/>
    <col min="14483" max="14483" width="15.7109375" style="1" customWidth="1"/>
    <col min="14484" max="14484" width="13.42578125" style="1" bestFit="1" customWidth="1"/>
    <col min="14485" max="14485" width="13.85546875" style="1" customWidth="1"/>
    <col min="14486" max="14486" width="13.42578125" style="1" bestFit="1" customWidth="1"/>
    <col min="14487" max="14592" width="10" style="1"/>
    <col min="14593" max="14594" width="0" style="1" hidden="1" customWidth="1"/>
    <col min="14595" max="14595" width="1" style="1" customWidth="1"/>
    <col min="14596" max="14596" width="56" style="1" customWidth="1"/>
    <col min="14597" max="14598" width="1" style="1" customWidth="1"/>
    <col min="14599" max="14599" width="14.42578125" style="1" customWidth="1"/>
    <col min="14600" max="14601" width="1" style="1" customWidth="1"/>
    <col min="14602" max="14646" width="0" style="1" hidden="1" customWidth="1"/>
    <col min="14647" max="14648" width="1" style="1" customWidth="1"/>
    <col min="14649" max="14649" width="17.85546875" style="1" customWidth="1"/>
    <col min="14650" max="14651" width="1" style="1" customWidth="1"/>
    <col min="14652" max="14661" width="0" style="1" hidden="1" customWidth="1"/>
    <col min="14662" max="14663" width="1" style="1" customWidth="1"/>
    <col min="14664" max="14664" width="17.85546875" style="1" customWidth="1"/>
    <col min="14665" max="14668" width="1" style="1" customWidth="1"/>
    <col min="14669" max="14669" width="17.85546875" style="1" customWidth="1"/>
    <col min="14670" max="14671" width="1" style="1" customWidth="1"/>
    <col min="14672" max="14716" width="0" style="1" hidden="1" customWidth="1"/>
    <col min="14717" max="14718" width="1" style="1" customWidth="1"/>
    <col min="14719" max="14719" width="17.85546875" style="1" customWidth="1"/>
    <col min="14720" max="14721" width="1" style="1" customWidth="1"/>
    <col min="14722" max="14731" width="0" style="1" hidden="1" customWidth="1"/>
    <col min="14732" max="14733" width="1" style="1" customWidth="1"/>
    <col min="14734" max="14734" width="14.42578125" style="1" customWidth="1"/>
    <col min="14735" max="14736" width="1" style="1" customWidth="1"/>
    <col min="14737" max="14737" width="2" style="1" customWidth="1"/>
    <col min="14738" max="14738" width="3.85546875" style="1" customWidth="1"/>
    <col min="14739" max="14739" width="15.7109375" style="1" customWidth="1"/>
    <col min="14740" max="14740" width="13.42578125" style="1" bestFit="1" customWidth="1"/>
    <col min="14741" max="14741" width="13.85546875" style="1" customWidth="1"/>
    <col min="14742" max="14742" width="13.42578125" style="1" bestFit="1" customWidth="1"/>
    <col min="14743" max="14848" width="10" style="1"/>
    <col min="14849" max="14850" width="0" style="1" hidden="1" customWidth="1"/>
    <col min="14851" max="14851" width="1" style="1" customWidth="1"/>
    <col min="14852" max="14852" width="56" style="1" customWidth="1"/>
    <col min="14853" max="14854" width="1" style="1" customWidth="1"/>
    <col min="14855" max="14855" width="14.42578125" style="1" customWidth="1"/>
    <col min="14856" max="14857" width="1" style="1" customWidth="1"/>
    <col min="14858" max="14902" width="0" style="1" hidden="1" customWidth="1"/>
    <col min="14903" max="14904" width="1" style="1" customWidth="1"/>
    <col min="14905" max="14905" width="17.85546875" style="1" customWidth="1"/>
    <col min="14906" max="14907" width="1" style="1" customWidth="1"/>
    <col min="14908" max="14917" width="0" style="1" hidden="1" customWidth="1"/>
    <col min="14918" max="14919" width="1" style="1" customWidth="1"/>
    <col min="14920" max="14920" width="17.85546875" style="1" customWidth="1"/>
    <col min="14921" max="14924" width="1" style="1" customWidth="1"/>
    <col min="14925" max="14925" width="17.85546875" style="1" customWidth="1"/>
    <col min="14926" max="14927" width="1" style="1" customWidth="1"/>
    <col min="14928" max="14972" width="0" style="1" hidden="1" customWidth="1"/>
    <col min="14973" max="14974" width="1" style="1" customWidth="1"/>
    <col min="14975" max="14975" width="17.85546875" style="1" customWidth="1"/>
    <col min="14976" max="14977" width="1" style="1" customWidth="1"/>
    <col min="14978" max="14987" width="0" style="1" hidden="1" customWidth="1"/>
    <col min="14988" max="14989" width="1" style="1" customWidth="1"/>
    <col min="14990" max="14990" width="14.42578125" style="1" customWidth="1"/>
    <col min="14991" max="14992" width="1" style="1" customWidth="1"/>
    <col min="14993" max="14993" width="2" style="1" customWidth="1"/>
    <col min="14994" max="14994" width="3.85546875" style="1" customWidth="1"/>
    <col min="14995" max="14995" width="15.7109375" style="1" customWidth="1"/>
    <col min="14996" max="14996" width="13.42578125" style="1" bestFit="1" customWidth="1"/>
    <col min="14997" max="14997" width="13.85546875" style="1" customWidth="1"/>
    <col min="14998" max="14998" width="13.42578125" style="1" bestFit="1" customWidth="1"/>
    <col min="14999" max="15104" width="10" style="1"/>
    <col min="15105" max="15106" width="0" style="1" hidden="1" customWidth="1"/>
    <col min="15107" max="15107" width="1" style="1" customWidth="1"/>
    <col min="15108" max="15108" width="56" style="1" customWidth="1"/>
    <col min="15109" max="15110" width="1" style="1" customWidth="1"/>
    <col min="15111" max="15111" width="14.42578125" style="1" customWidth="1"/>
    <col min="15112" max="15113" width="1" style="1" customWidth="1"/>
    <col min="15114" max="15158" width="0" style="1" hidden="1" customWidth="1"/>
    <col min="15159" max="15160" width="1" style="1" customWidth="1"/>
    <col min="15161" max="15161" width="17.85546875" style="1" customWidth="1"/>
    <col min="15162" max="15163" width="1" style="1" customWidth="1"/>
    <col min="15164" max="15173" width="0" style="1" hidden="1" customWidth="1"/>
    <col min="15174" max="15175" width="1" style="1" customWidth="1"/>
    <col min="15176" max="15176" width="17.85546875" style="1" customWidth="1"/>
    <col min="15177" max="15180" width="1" style="1" customWidth="1"/>
    <col min="15181" max="15181" width="17.85546875" style="1" customWidth="1"/>
    <col min="15182" max="15183" width="1" style="1" customWidth="1"/>
    <col min="15184" max="15228" width="0" style="1" hidden="1" customWidth="1"/>
    <col min="15229" max="15230" width="1" style="1" customWidth="1"/>
    <col min="15231" max="15231" width="17.85546875" style="1" customWidth="1"/>
    <col min="15232" max="15233" width="1" style="1" customWidth="1"/>
    <col min="15234" max="15243" width="0" style="1" hidden="1" customWidth="1"/>
    <col min="15244" max="15245" width="1" style="1" customWidth="1"/>
    <col min="15246" max="15246" width="14.42578125" style="1" customWidth="1"/>
    <col min="15247" max="15248" width="1" style="1" customWidth="1"/>
    <col min="15249" max="15249" width="2" style="1" customWidth="1"/>
    <col min="15250" max="15250" width="3.85546875" style="1" customWidth="1"/>
    <col min="15251" max="15251" width="15.7109375" style="1" customWidth="1"/>
    <col min="15252" max="15252" width="13.42578125" style="1" bestFit="1" customWidth="1"/>
    <col min="15253" max="15253" width="13.85546875" style="1" customWidth="1"/>
    <col min="15254" max="15254" width="13.42578125" style="1" bestFit="1" customWidth="1"/>
    <col min="15255" max="15360" width="10" style="1"/>
    <col min="15361" max="15362" width="0" style="1" hidden="1" customWidth="1"/>
    <col min="15363" max="15363" width="1" style="1" customWidth="1"/>
    <col min="15364" max="15364" width="56" style="1" customWidth="1"/>
    <col min="15365" max="15366" width="1" style="1" customWidth="1"/>
    <col min="15367" max="15367" width="14.42578125" style="1" customWidth="1"/>
    <col min="15368" max="15369" width="1" style="1" customWidth="1"/>
    <col min="15370" max="15414" width="0" style="1" hidden="1" customWidth="1"/>
    <col min="15415" max="15416" width="1" style="1" customWidth="1"/>
    <col min="15417" max="15417" width="17.85546875" style="1" customWidth="1"/>
    <col min="15418" max="15419" width="1" style="1" customWidth="1"/>
    <col min="15420" max="15429" width="0" style="1" hidden="1" customWidth="1"/>
    <col min="15430" max="15431" width="1" style="1" customWidth="1"/>
    <col min="15432" max="15432" width="17.85546875" style="1" customWidth="1"/>
    <col min="15433" max="15436" width="1" style="1" customWidth="1"/>
    <col min="15437" max="15437" width="17.85546875" style="1" customWidth="1"/>
    <col min="15438" max="15439" width="1" style="1" customWidth="1"/>
    <col min="15440" max="15484" width="0" style="1" hidden="1" customWidth="1"/>
    <col min="15485" max="15486" width="1" style="1" customWidth="1"/>
    <col min="15487" max="15487" width="17.85546875" style="1" customWidth="1"/>
    <col min="15488" max="15489" width="1" style="1" customWidth="1"/>
    <col min="15490" max="15499" width="0" style="1" hidden="1" customWidth="1"/>
    <col min="15500" max="15501" width="1" style="1" customWidth="1"/>
    <col min="15502" max="15502" width="14.42578125" style="1" customWidth="1"/>
    <col min="15503" max="15504" width="1" style="1" customWidth="1"/>
    <col min="15505" max="15505" width="2" style="1" customWidth="1"/>
    <col min="15506" max="15506" width="3.85546875" style="1" customWidth="1"/>
    <col min="15507" max="15507" width="15.7109375" style="1" customWidth="1"/>
    <col min="15508" max="15508" width="13.42578125" style="1" bestFit="1" customWidth="1"/>
    <col min="15509" max="15509" width="13.85546875" style="1" customWidth="1"/>
    <col min="15510" max="15510" width="13.42578125" style="1" bestFit="1" customWidth="1"/>
    <col min="15511" max="15616" width="10" style="1"/>
    <col min="15617" max="15618" width="0" style="1" hidden="1" customWidth="1"/>
    <col min="15619" max="15619" width="1" style="1" customWidth="1"/>
    <col min="15620" max="15620" width="56" style="1" customWidth="1"/>
    <col min="15621" max="15622" width="1" style="1" customWidth="1"/>
    <col min="15623" max="15623" width="14.42578125" style="1" customWidth="1"/>
    <col min="15624" max="15625" width="1" style="1" customWidth="1"/>
    <col min="15626" max="15670" width="0" style="1" hidden="1" customWidth="1"/>
    <col min="15671" max="15672" width="1" style="1" customWidth="1"/>
    <col min="15673" max="15673" width="17.85546875" style="1" customWidth="1"/>
    <col min="15674" max="15675" width="1" style="1" customWidth="1"/>
    <col min="15676" max="15685" width="0" style="1" hidden="1" customWidth="1"/>
    <col min="15686" max="15687" width="1" style="1" customWidth="1"/>
    <col min="15688" max="15688" width="17.85546875" style="1" customWidth="1"/>
    <col min="15689" max="15692" width="1" style="1" customWidth="1"/>
    <col min="15693" max="15693" width="17.85546875" style="1" customWidth="1"/>
    <col min="15694" max="15695" width="1" style="1" customWidth="1"/>
    <col min="15696" max="15740" width="0" style="1" hidden="1" customWidth="1"/>
    <col min="15741" max="15742" width="1" style="1" customWidth="1"/>
    <col min="15743" max="15743" width="17.85546875" style="1" customWidth="1"/>
    <col min="15744" max="15745" width="1" style="1" customWidth="1"/>
    <col min="15746" max="15755" width="0" style="1" hidden="1" customWidth="1"/>
    <col min="15756" max="15757" width="1" style="1" customWidth="1"/>
    <col min="15758" max="15758" width="14.42578125" style="1" customWidth="1"/>
    <col min="15759" max="15760" width="1" style="1" customWidth="1"/>
    <col min="15761" max="15761" width="2" style="1" customWidth="1"/>
    <col min="15762" max="15762" width="3.85546875" style="1" customWidth="1"/>
    <col min="15763" max="15763" width="15.7109375" style="1" customWidth="1"/>
    <col min="15764" max="15764" width="13.42578125" style="1" bestFit="1" customWidth="1"/>
    <col min="15765" max="15765" width="13.85546875" style="1" customWidth="1"/>
    <col min="15766" max="15766" width="13.42578125" style="1" bestFit="1" customWidth="1"/>
    <col min="15767" max="15872" width="10" style="1"/>
    <col min="15873" max="15874" width="0" style="1" hidden="1" customWidth="1"/>
    <col min="15875" max="15875" width="1" style="1" customWidth="1"/>
    <col min="15876" max="15876" width="56" style="1" customWidth="1"/>
    <col min="15877" max="15878" width="1" style="1" customWidth="1"/>
    <col min="15879" max="15879" width="14.42578125" style="1" customWidth="1"/>
    <col min="15880" max="15881" width="1" style="1" customWidth="1"/>
    <col min="15882" max="15926" width="0" style="1" hidden="1" customWidth="1"/>
    <col min="15927" max="15928" width="1" style="1" customWidth="1"/>
    <col min="15929" max="15929" width="17.85546875" style="1" customWidth="1"/>
    <col min="15930" max="15931" width="1" style="1" customWidth="1"/>
    <col min="15932" max="15941" width="0" style="1" hidden="1" customWidth="1"/>
    <col min="15942" max="15943" width="1" style="1" customWidth="1"/>
    <col min="15944" max="15944" width="17.85546875" style="1" customWidth="1"/>
    <col min="15945" max="15948" width="1" style="1" customWidth="1"/>
    <col min="15949" max="15949" width="17.85546875" style="1" customWidth="1"/>
    <col min="15950" max="15951" width="1" style="1" customWidth="1"/>
    <col min="15952" max="15996" width="0" style="1" hidden="1" customWidth="1"/>
    <col min="15997" max="15998" width="1" style="1" customWidth="1"/>
    <col min="15999" max="15999" width="17.85546875" style="1" customWidth="1"/>
    <col min="16000" max="16001" width="1" style="1" customWidth="1"/>
    <col min="16002" max="16011" width="0" style="1" hidden="1" customWidth="1"/>
    <col min="16012" max="16013" width="1" style="1" customWidth="1"/>
    <col min="16014" max="16014" width="14.42578125" style="1" customWidth="1"/>
    <col min="16015" max="16016" width="1" style="1" customWidth="1"/>
    <col min="16017" max="16017" width="2" style="1" customWidth="1"/>
    <col min="16018" max="16018" width="3.85546875" style="1" customWidth="1"/>
    <col min="16019" max="16019" width="15.7109375" style="1" customWidth="1"/>
    <col min="16020" max="16020" width="13.42578125" style="1" bestFit="1" customWidth="1"/>
    <col min="16021" max="16021" width="13.85546875" style="1" customWidth="1"/>
    <col min="16022" max="16022" width="13.42578125" style="1" bestFit="1" customWidth="1"/>
    <col min="16023" max="16128" width="10" style="1"/>
    <col min="16129" max="16130" width="0" style="1" hidden="1" customWidth="1"/>
    <col min="16131" max="16131" width="1" style="1" customWidth="1"/>
    <col min="16132" max="16132" width="56" style="1" customWidth="1"/>
    <col min="16133" max="16134" width="1" style="1" customWidth="1"/>
    <col min="16135" max="16135" width="14.42578125" style="1" customWidth="1"/>
    <col min="16136" max="16137" width="1" style="1" customWidth="1"/>
    <col min="16138" max="16182" width="0" style="1" hidden="1" customWidth="1"/>
    <col min="16183" max="16184" width="1" style="1" customWidth="1"/>
    <col min="16185" max="16185" width="17.85546875" style="1" customWidth="1"/>
    <col min="16186" max="16187" width="1" style="1" customWidth="1"/>
    <col min="16188" max="16197" width="0" style="1" hidden="1" customWidth="1"/>
    <col min="16198" max="16199" width="1" style="1" customWidth="1"/>
    <col min="16200" max="16200" width="17.85546875" style="1" customWidth="1"/>
    <col min="16201" max="16204" width="1" style="1" customWidth="1"/>
    <col min="16205" max="16205" width="17.85546875" style="1" customWidth="1"/>
    <col min="16206" max="16207" width="1" style="1" customWidth="1"/>
    <col min="16208" max="16252" width="0" style="1" hidden="1" customWidth="1"/>
    <col min="16253" max="16254" width="1" style="1" customWidth="1"/>
    <col min="16255" max="16255" width="17.85546875" style="1" customWidth="1"/>
    <col min="16256" max="16257" width="1" style="1" customWidth="1"/>
    <col min="16258" max="16267" width="0" style="1" hidden="1" customWidth="1"/>
    <col min="16268" max="16269" width="1" style="1" customWidth="1"/>
    <col min="16270" max="16270" width="14.42578125" style="1" customWidth="1"/>
    <col min="16271" max="16272" width="1" style="1" customWidth="1"/>
    <col min="16273" max="16273" width="2" style="1" customWidth="1"/>
    <col min="16274" max="16274" width="3.85546875" style="1" customWidth="1"/>
    <col min="16275" max="16275" width="15.7109375" style="1" customWidth="1"/>
    <col min="16276" max="16276" width="13.42578125" style="1" bestFit="1" customWidth="1"/>
    <col min="16277" max="16277" width="13.85546875" style="1" customWidth="1"/>
    <col min="16278" max="16278" width="13.42578125" style="1" bestFit="1" customWidth="1"/>
    <col min="16279" max="16384" width="10" style="1"/>
  </cols>
  <sheetData>
    <row r="1" spans="4:150" ht="15.75" x14ac:dyDescent="0.25">
      <c r="D1" s="422" t="s">
        <v>336</v>
      </c>
      <c r="E1" s="422">
        <v>0</v>
      </c>
      <c r="F1" s="422"/>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EJ1" s="3"/>
      <c r="EK1" s="3"/>
      <c r="EL1" s="3"/>
      <c r="EM1" s="3"/>
      <c r="EN1" s="3"/>
    </row>
    <row r="2" spans="4:150" ht="15" customHeight="1" x14ac:dyDescent="0.25">
      <c r="D2" s="93"/>
      <c r="E2" s="423">
        <v>0</v>
      </c>
      <c r="F2" s="424"/>
      <c r="G2" s="361" t="str">
        <f>[31]summary!H8</f>
        <v>2020/21</v>
      </c>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425"/>
      <c r="BV2" s="425"/>
      <c r="BW2" s="426"/>
      <c r="BX2" s="425"/>
      <c r="BY2" s="427" t="str">
        <f>[31]summary!BZ8</f>
        <v>2019/20</v>
      </c>
      <c r="BZ2" s="427"/>
      <c r="CA2" s="427"/>
      <c r="CB2" s="427"/>
      <c r="CC2" s="427"/>
      <c r="CD2" s="427"/>
      <c r="CE2" s="427"/>
      <c r="CF2" s="427"/>
      <c r="CG2" s="427"/>
      <c r="CH2" s="427"/>
      <c r="CI2" s="427"/>
      <c r="CJ2" s="427"/>
      <c r="CK2" s="427"/>
      <c r="CL2" s="427"/>
      <c r="CM2" s="427"/>
      <c r="CN2" s="427"/>
      <c r="CO2" s="427"/>
      <c r="CP2" s="427"/>
      <c r="CQ2" s="427"/>
      <c r="CR2" s="427"/>
      <c r="CS2" s="427"/>
      <c r="CT2" s="427"/>
      <c r="CU2" s="427"/>
      <c r="CV2" s="427"/>
      <c r="CW2" s="427"/>
      <c r="CX2" s="427"/>
      <c r="CY2" s="427"/>
      <c r="CZ2" s="427"/>
      <c r="DA2" s="427"/>
      <c r="DB2" s="427"/>
      <c r="DC2" s="427"/>
      <c r="DD2" s="427"/>
      <c r="DE2" s="427"/>
      <c r="DF2" s="427"/>
      <c r="DG2" s="427"/>
      <c r="DH2" s="427"/>
      <c r="DI2" s="427"/>
      <c r="DJ2" s="427"/>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8"/>
      <c r="EN2" s="429"/>
      <c r="EO2" s="13"/>
    </row>
    <row r="3" spans="4:150" ht="18" customHeight="1" x14ac:dyDescent="0.2">
      <c r="D3" s="13"/>
      <c r="E3" s="198">
        <v>0</v>
      </c>
      <c r="G3" s="23" t="str">
        <f>[31]summary!H9</f>
        <v>Revised</v>
      </c>
      <c r="H3" s="23"/>
      <c r="I3" s="23"/>
      <c r="J3" s="42"/>
      <c r="K3" s="23"/>
      <c r="L3" s="23" t="s">
        <v>4</v>
      </c>
      <c r="M3" s="23"/>
      <c r="N3" s="23"/>
      <c r="O3" s="42"/>
      <c r="P3" s="23"/>
      <c r="Q3" s="23" t="s">
        <v>5</v>
      </c>
      <c r="R3" s="23"/>
      <c r="S3" s="23"/>
      <c r="T3" s="42"/>
      <c r="U3" s="23"/>
      <c r="V3" s="23" t="s">
        <v>6</v>
      </c>
      <c r="W3" s="23"/>
      <c r="X3" s="23"/>
      <c r="Y3" s="42"/>
      <c r="Z3" s="23"/>
      <c r="AA3" s="23" t="s">
        <v>7</v>
      </c>
      <c r="AB3" s="23"/>
      <c r="AC3" s="23"/>
      <c r="AD3" s="42"/>
      <c r="AE3" s="23"/>
      <c r="AF3" s="23" t="s">
        <v>8</v>
      </c>
      <c r="AG3" s="23"/>
      <c r="AH3" s="23"/>
      <c r="AI3" s="42"/>
      <c r="AJ3" s="23"/>
      <c r="AK3" s="23" t="s">
        <v>9</v>
      </c>
      <c r="AL3" s="23"/>
      <c r="AM3" s="23"/>
      <c r="AN3" s="42"/>
      <c r="AO3" s="23"/>
      <c r="AP3" s="23" t="s">
        <v>10</v>
      </c>
      <c r="AQ3" s="23"/>
      <c r="AR3" s="23"/>
      <c r="AS3" s="42"/>
      <c r="AT3" s="23"/>
      <c r="AU3" s="23" t="s">
        <v>11</v>
      </c>
      <c r="AV3" s="23"/>
      <c r="AW3" s="23"/>
      <c r="AX3" s="42"/>
      <c r="AY3" s="23"/>
      <c r="AZ3" s="23" t="s">
        <v>12</v>
      </c>
      <c r="BA3" s="23"/>
      <c r="BB3" s="23"/>
      <c r="BC3" s="42"/>
      <c r="BD3" s="23"/>
      <c r="BE3" s="23" t="s">
        <v>13</v>
      </c>
      <c r="BF3" s="23"/>
      <c r="BG3" s="23"/>
      <c r="BH3" s="42"/>
      <c r="BI3" s="23"/>
      <c r="BJ3" s="23" t="s">
        <v>14</v>
      </c>
      <c r="BK3" s="23"/>
      <c r="BL3" s="23"/>
      <c r="BM3" s="42"/>
      <c r="BN3" s="23"/>
      <c r="BO3" s="23" t="s">
        <v>15</v>
      </c>
      <c r="BP3" s="23"/>
      <c r="BQ3" s="23"/>
      <c r="BR3" s="42"/>
      <c r="BS3" s="23"/>
      <c r="BT3" s="23" t="s">
        <v>16</v>
      </c>
      <c r="BU3" s="23"/>
      <c r="BV3" s="23"/>
      <c r="BW3" s="42"/>
      <c r="BX3" s="41"/>
      <c r="BY3" s="23" t="str">
        <f>[31]summary!BZ9</f>
        <v>Preliminary</v>
      </c>
      <c r="BZ3" s="23"/>
      <c r="CA3" s="23"/>
      <c r="CB3" s="42"/>
      <c r="CC3" s="23"/>
      <c r="CD3" s="23" t="s">
        <v>4</v>
      </c>
      <c r="CE3" s="23"/>
      <c r="CF3" s="23"/>
      <c r="CG3" s="42"/>
      <c r="CH3" s="23"/>
      <c r="CI3" s="23" t="s">
        <v>5</v>
      </c>
      <c r="CJ3" s="23"/>
      <c r="CK3" s="23"/>
      <c r="CL3" s="42"/>
      <c r="CM3" s="23"/>
      <c r="CN3" s="23" t="s">
        <v>6</v>
      </c>
      <c r="CO3" s="23"/>
      <c r="CP3" s="23"/>
      <c r="CQ3" s="42"/>
      <c r="CR3" s="23"/>
      <c r="CS3" s="23" t="s">
        <v>7</v>
      </c>
      <c r="CT3" s="23"/>
      <c r="CU3" s="23"/>
      <c r="CV3" s="42"/>
      <c r="CW3" s="23"/>
      <c r="CX3" s="23" t="s">
        <v>8</v>
      </c>
      <c r="CY3" s="23"/>
      <c r="CZ3" s="23"/>
      <c r="DA3" s="42"/>
      <c r="DB3" s="23"/>
      <c r="DC3" s="23" t="s">
        <v>9</v>
      </c>
      <c r="DD3" s="23"/>
      <c r="DE3" s="23"/>
      <c r="DF3" s="42"/>
      <c r="DG3" s="23"/>
      <c r="DH3" s="23" t="s">
        <v>10</v>
      </c>
      <c r="DI3" s="23"/>
      <c r="DJ3" s="23"/>
      <c r="DK3" s="42"/>
      <c r="DL3" s="23"/>
      <c r="DM3" s="23" t="s">
        <v>11</v>
      </c>
      <c r="DN3" s="23"/>
      <c r="DO3" s="23"/>
      <c r="DP3" s="42"/>
      <c r="DQ3" s="23"/>
      <c r="DR3" s="23" t="s">
        <v>12</v>
      </c>
      <c r="DS3" s="23"/>
      <c r="DT3" s="23"/>
      <c r="DU3" s="42"/>
      <c r="DV3" s="23"/>
      <c r="DW3" s="23" t="s">
        <v>13</v>
      </c>
      <c r="DX3" s="23"/>
      <c r="DY3" s="23"/>
      <c r="DZ3" s="42"/>
      <c r="EA3" s="23"/>
      <c r="EB3" s="23" t="s">
        <v>14</v>
      </c>
      <c r="EC3" s="23"/>
      <c r="ED3" s="23"/>
      <c r="EE3" s="42"/>
      <c r="EF3" s="41"/>
      <c r="EG3" s="41" t="s">
        <v>15</v>
      </c>
      <c r="EH3" s="41"/>
      <c r="EI3" s="17"/>
      <c r="EJ3" s="42"/>
      <c r="EK3" s="41"/>
      <c r="EL3" s="23" t="s">
        <v>16</v>
      </c>
      <c r="EM3" s="23"/>
      <c r="EN3" s="23"/>
      <c r="EO3" s="13"/>
    </row>
    <row r="4" spans="4:150" x14ac:dyDescent="0.2">
      <c r="D4" s="364" t="s">
        <v>19</v>
      </c>
      <c r="E4" s="430">
        <v>0</v>
      </c>
      <c r="F4" s="431"/>
      <c r="G4" s="105" t="s">
        <v>20</v>
      </c>
      <c r="H4" s="105"/>
      <c r="I4" s="105"/>
      <c r="J4" s="366"/>
      <c r="K4" s="105"/>
      <c r="L4" s="365"/>
      <c r="M4" s="365"/>
      <c r="N4" s="365"/>
      <c r="O4" s="432"/>
      <c r="P4" s="365"/>
      <c r="Q4" s="365"/>
      <c r="R4" s="365"/>
      <c r="S4" s="365"/>
      <c r="T4" s="432"/>
      <c r="U4" s="365"/>
      <c r="V4" s="365"/>
      <c r="W4" s="365"/>
      <c r="X4" s="365"/>
      <c r="Y4" s="432"/>
      <c r="Z4" s="365"/>
      <c r="AA4" s="365"/>
      <c r="AB4" s="365"/>
      <c r="AC4" s="365"/>
      <c r="AD4" s="432"/>
      <c r="AE4" s="365"/>
      <c r="AF4" s="365"/>
      <c r="AG4" s="365"/>
      <c r="AH4" s="365"/>
      <c r="AI4" s="432"/>
      <c r="AJ4" s="365"/>
      <c r="AK4" s="365"/>
      <c r="AL4" s="365"/>
      <c r="AM4" s="365"/>
      <c r="AN4" s="432"/>
      <c r="AO4" s="365"/>
      <c r="AP4" s="365"/>
      <c r="AQ4" s="365"/>
      <c r="AR4" s="365"/>
      <c r="AS4" s="432"/>
      <c r="AT4" s="365"/>
      <c r="AU4" s="365"/>
      <c r="AV4" s="365"/>
      <c r="AW4" s="365"/>
      <c r="AX4" s="432"/>
      <c r="AY4" s="365"/>
      <c r="AZ4" s="365"/>
      <c r="BA4" s="365"/>
      <c r="BB4" s="365"/>
      <c r="BC4" s="432"/>
      <c r="BD4" s="365"/>
      <c r="BE4" s="365"/>
      <c r="BF4" s="365"/>
      <c r="BG4" s="365"/>
      <c r="BH4" s="432"/>
      <c r="BI4" s="365"/>
      <c r="BJ4" s="365"/>
      <c r="BK4" s="365"/>
      <c r="BL4" s="365"/>
      <c r="BM4" s="432"/>
      <c r="BN4" s="365"/>
      <c r="BO4" s="365"/>
      <c r="BP4" s="365"/>
      <c r="BQ4" s="365"/>
      <c r="BR4" s="432"/>
      <c r="BS4" s="365"/>
      <c r="BT4" s="365"/>
      <c r="BU4" s="23"/>
      <c r="BV4" s="23"/>
      <c r="BW4" s="65"/>
      <c r="BX4" s="105"/>
      <c r="BY4" s="23" t="s">
        <v>21</v>
      </c>
      <c r="BZ4" s="23"/>
      <c r="CA4" s="23"/>
      <c r="CB4" s="65"/>
      <c r="CC4" s="23"/>
      <c r="CD4" s="23"/>
      <c r="CE4" s="23"/>
      <c r="CF4" s="23"/>
      <c r="CG4" s="65"/>
      <c r="CH4" s="23"/>
      <c r="CI4" s="23"/>
      <c r="CJ4" s="23"/>
      <c r="CK4" s="23"/>
      <c r="CL4" s="65"/>
      <c r="CM4" s="23"/>
      <c r="CN4" s="23"/>
      <c r="CO4" s="23"/>
      <c r="CP4" s="23"/>
      <c r="CQ4" s="65"/>
      <c r="CR4" s="23"/>
      <c r="CS4" s="23"/>
      <c r="CT4" s="23"/>
      <c r="CU4" s="23"/>
      <c r="CV4" s="65"/>
      <c r="CW4" s="23"/>
      <c r="CX4" s="23"/>
      <c r="CY4" s="23"/>
      <c r="CZ4" s="23"/>
      <c r="DA4" s="65"/>
      <c r="DB4" s="23"/>
      <c r="DC4" s="23"/>
      <c r="DD4" s="23"/>
      <c r="DE4" s="23"/>
      <c r="DF4" s="65"/>
      <c r="DG4" s="23"/>
      <c r="DH4" s="23"/>
      <c r="DI4" s="23"/>
      <c r="DJ4" s="23"/>
      <c r="DK4" s="65"/>
      <c r="DL4" s="23"/>
      <c r="DM4" s="23"/>
      <c r="DN4" s="23"/>
      <c r="DO4" s="23"/>
      <c r="DP4" s="65"/>
      <c r="DQ4" s="23"/>
      <c r="DR4" s="23"/>
      <c r="DS4" s="23"/>
      <c r="DT4" s="23"/>
      <c r="DU4" s="65"/>
      <c r="DV4" s="23"/>
      <c r="DW4" s="23"/>
      <c r="DX4" s="23"/>
      <c r="DY4" s="23"/>
      <c r="DZ4" s="65"/>
      <c r="EA4" s="23"/>
      <c r="EB4" s="23"/>
      <c r="EC4" s="23"/>
      <c r="ED4" s="23"/>
      <c r="EE4" s="65"/>
      <c r="EF4" s="23"/>
      <c r="EG4" s="23"/>
      <c r="EH4" s="23"/>
      <c r="EI4" s="26"/>
      <c r="EJ4" s="366"/>
      <c r="EK4" s="23"/>
      <c r="EL4" s="23"/>
      <c r="EM4" s="23"/>
      <c r="EN4" s="23"/>
      <c r="EO4" s="13"/>
    </row>
    <row r="5" spans="4:150" x14ac:dyDescent="0.2">
      <c r="D5" s="433"/>
      <c r="E5" s="391"/>
      <c r="F5" s="434"/>
      <c r="G5" s="434"/>
      <c r="H5" s="434"/>
      <c r="I5" s="434"/>
      <c r="J5" s="391"/>
      <c r="K5" s="434"/>
      <c r="L5" s="434"/>
      <c r="M5" s="434"/>
      <c r="N5" s="434"/>
      <c r="O5" s="391"/>
      <c r="P5" s="434"/>
      <c r="Q5" s="434"/>
      <c r="R5" s="434"/>
      <c r="S5" s="434"/>
      <c r="T5" s="391"/>
      <c r="U5" s="434"/>
      <c r="V5" s="434"/>
      <c r="W5" s="434"/>
      <c r="X5" s="434"/>
      <c r="Y5" s="391"/>
      <c r="Z5" s="434"/>
      <c r="AA5" s="434"/>
      <c r="AB5" s="434"/>
      <c r="AC5" s="434"/>
      <c r="AD5" s="391"/>
      <c r="AE5" s="434"/>
      <c r="AF5" s="434"/>
      <c r="AG5" s="434"/>
      <c r="AH5" s="434"/>
      <c r="AI5" s="391"/>
      <c r="AJ5" s="434"/>
      <c r="AK5" s="434"/>
      <c r="AL5" s="434"/>
      <c r="AM5" s="434"/>
      <c r="AN5" s="391"/>
      <c r="AO5" s="434"/>
      <c r="AP5" s="434"/>
      <c r="AQ5" s="434"/>
      <c r="AR5" s="434"/>
      <c r="AS5" s="391"/>
      <c r="AT5" s="434"/>
      <c r="AU5" s="434"/>
      <c r="AV5" s="434"/>
      <c r="AW5" s="434"/>
      <c r="AX5" s="391"/>
      <c r="AY5" s="434"/>
      <c r="AZ5" s="434"/>
      <c r="BA5" s="434"/>
      <c r="BB5" s="434"/>
      <c r="BC5" s="391"/>
      <c r="BD5" s="434"/>
      <c r="BE5" s="434"/>
      <c r="BF5" s="434"/>
      <c r="BG5" s="434"/>
      <c r="BH5" s="391"/>
      <c r="BI5" s="434"/>
      <c r="BJ5" s="434"/>
      <c r="BK5" s="434"/>
      <c r="BL5" s="388"/>
      <c r="BM5" s="391"/>
      <c r="BN5" s="434"/>
      <c r="BO5" s="434"/>
      <c r="BP5" s="434"/>
      <c r="BQ5" s="434"/>
      <c r="BR5" s="391"/>
      <c r="BS5" s="388"/>
      <c r="BT5" s="101"/>
      <c r="BU5" s="101"/>
      <c r="BV5" s="101"/>
      <c r="BW5" s="374"/>
      <c r="BX5" s="101"/>
      <c r="BY5" s="434"/>
      <c r="BZ5" s="434"/>
      <c r="CA5" s="434"/>
      <c r="CB5" s="391"/>
      <c r="CC5" s="434"/>
      <c r="CD5" s="434"/>
      <c r="CE5" s="434"/>
      <c r="CF5" s="434"/>
      <c r="CG5" s="391"/>
      <c r="CH5" s="434"/>
      <c r="CI5" s="434"/>
      <c r="CJ5" s="434"/>
      <c r="CK5" s="434"/>
      <c r="CL5" s="391"/>
      <c r="CM5" s="434"/>
      <c r="CN5" s="434"/>
      <c r="CO5" s="434"/>
      <c r="CP5" s="434"/>
      <c r="CQ5" s="391"/>
      <c r="CR5" s="434"/>
      <c r="CS5" s="434"/>
      <c r="CT5" s="434"/>
      <c r="CU5" s="434"/>
      <c r="CV5" s="391"/>
      <c r="CW5" s="434"/>
      <c r="CX5" s="434"/>
      <c r="CY5" s="434"/>
      <c r="CZ5" s="434"/>
      <c r="DA5" s="391"/>
      <c r="DB5" s="434"/>
      <c r="DC5" s="434"/>
      <c r="DD5" s="434"/>
      <c r="DE5" s="434"/>
      <c r="DF5" s="391"/>
      <c r="DG5" s="434"/>
      <c r="DH5" s="434"/>
      <c r="DI5" s="434"/>
      <c r="DJ5" s="434"/>
      <c r="DK5" s="391"/>
      <c r="DL5" s="434"/>
      <c r="DM5" s="434"/>
      <c r="DN5" s="434"/>
      <c r="DO5" s="434"/>
      <c r="DP5" s="391"/>
      <c r="DQ5" s="434"/>
      <c r="DR5" s="434"/>
      <c r="DS5" s="434"/>
      <c r="DT5" s="434"/>
      <c r="DU5" s="391"/>
      <c r="DV5" s="434"/>
      <c r="DW5" s="434"/>
      <c r="DX5" s="434"/>
      <c r="DY5" s="434"/>
      <c r="DZ5" s="391"/>
      <c r="EA5" s="434"/>
      <c r="EB5" s="434"/>
      <c r="EC5" s="434"/>
      <c r="ED5" s="434"/>
      <c r="EE5" s="391"/>
      <c r="EF5" s="434"/>
      <c r="EG5" s="434"/>
      <c r="EH5" s="434"/>
      <c r="EI5" s="434"/>
      <c r="EJ5" s="387"/>
      <c r="EK5" s="434"/>
      <c r="EL5" s="101"/>
      <c r="EM5" s="101"/>
      <c r="EN5" s="435"/>
      <c r="EO5" s="13"/>
    </row>
    <row r="6" spans="4:150" s="14" customFormat="1" x14ac:dyDescent="0.2">
      <c r="D6" s="93" t="s">
        <v>337</v>
      </c>
      <c r="E6" s="180"/>
      <c r="G6" s="436">
        <f>SUM(G7:G10)</f>
        <v>514767000</v>
      </c>
      <c r="H6" s="390"/>
      <c r="I6" s="390"/>
      <c r="J6" s="389"/>
      <c r="K6" s="390"/>
      <c r="L6" s="390">
        <f>SUM(L7:L10)</f>
        <v>38837955</v>
      </c>
      <c r="M6" s="390"/>
      <c r="N6" s="390"/>
      <c r="O6" s="389"/>
      <c r="P6" s="390"/>
      <c r="Q6" s="390">
        <f>SUM(Q7:Q10)</f>
        <v>45060969.743999995</v>
      </c>
      <c r="R6" s="390"/>
      <c r="S6" s="390"/>
      <c r="T6" s="389"/>
      <c r="U6" s="390"/>
      <c r="V6" s="390">
        <f>SUM(V7:V10)</f>
        <v>49629337</v>
      </c>
      <c r="W6" s="390"/>
      <c r="X6" s="390"/>
      <c r="Y6" s="389"/>
      <c r="Z6" s="390"/>
      <c r="AA6" s="390">
        <f>SUM(AA7:AA10)</f>
        <v>69933031</v>
      </c>
      <c r="AB6" s="390"/>
      <c r="AC6" s="390"/>
      <c r="AD6" s="389"/>
      <c r="AE6" s="390"/>
      <c r="AF6" s="390">
        <f>SUM(AF7:AF10)</f>
        <v>44360549</v>
      </c>
      <c r="AG6" s="390"/>
      <c r="AH6" s="390"/>
      <c r="AI6" s="389"/>
      <c r="AJ6" s="390"/>
      <c r="AK6" s="390">
        <f>SUM(AK7:AK10)</f>
        <v>61505395</v>
      </c>
      <c r="AL6" s="390"/>
      <c r="AM6" s="390"/>
      <c r="AN6" s="389"/>
      <c r="AO6" s="390"/>
      <c r="AP6" s="390">
        <f>SUM(AP7:AP10)</f>
        <v>59931421</v>
      </c>
      <c r="AQ6" s="390"/>
      <c r="AR6" s="390"/>
      <c r="AS6" s="389"/>
      <c r="AT6" s="390"/>
      <c r="AU6" s="390">
        <f>SUM(AU7:AU10)</f>
        <v>46720787</v>
      </c>
      <c r="AV6" s="390"/>
      <c r="AW6" s="390"/>
      <c r="AX6" s="389"/>
      <c r="AY6" s="390"/>
      <c r="AZ6" s="390">
        <f>SUM(AZ7:AZ10)</f>
        <v>52395859</v>
      </c>
      <c r="BA6" s="390"/>
      <c r="BB6" s="390"/>
      <c r="BC6" s="389"/>
      <c r="BD6" s="390"/>
      <c r="BE6" s="390">
        <f>SUM(BE7:BE10)</f>
        <v>39193318</v>
      </c>
      <c r="BF6" s="390"/>
      <c r="BG6" s="390"/>
      <c r="BH6" s="389"/>
      <c r="BI6" s="390"/>
      <c r="BJ6" s="390">
        <f>SUM(BJ7:BJ10)</f>
        <v>0</v>
      </c>
      <c r="BK6" s="390"/>
      <c r="BL6" s="390"/>
      <c r="BM6" s="389"/>
      <c r="BN6" s="390"/>
      <c r="BO6" s="390">
        <f>SUM(BO7:BO10)</f>
        <v>0</v>
      </c>
      <c r="BP6" s="390"/>
      <c r="BQ6" s="390"/>
      <c r="BR6" s="389"/>
      <c r="BS6" s="390"/>
      <c r="BT6" s="390">
        <f>SUM(BT7:BT10)</f>
        <v>507568621.74399996</v>
      </c>
      <c r="BU6" s="390"/>
      <c r="BV6" s="390"/>
      <c r="BW6" s="389"/>
      <c r="BX6" s="390"/>
      <c r="BY6" s="390">
        <f>SUM(BY7:BY10)</f>
        <v>354031487</v>
      </c>
      <c r="BZ6" s="390"/>
      <c r="CA6" s="390"/>
      <c r="CB6" s="389"/>
      <c r="CC6" s="390"/>
      <c r="CD6" s="390">
        <f>SUM(CD7:CD10)</f>
        <v>23835565</v>
      </c>
      <c r="CE6" s="390"/>
      <c r="CF6" s="390"/>
      <c r="CG6" s="389"/>
      <c r="CH6" s="390"/>
      <c r="CI6" s="390">
        <f>SUM(CI7:CI10)</f>
        <v>40731907</v>
      </c>
      <c r="CJ6" s="390"/>
      <c r="CK6" s="390"/>
      <c r="CL6" s="389"/>
      <c r="CM6" s="390"/>
      <c r="CN6" s="390">
        <f>SUM(CN7:CN10)</f>
        <v>21124207</v>
      </c>
      <c r="CO6" s="390"/>
      <c r="CP6" s="390"/>
      <c r="CQ6" s="389"/>
      <c r="CR6" s="390"/>
      <c r="CS6" s="390">
        <f>SUM(CS7:CS10)</f>
        <v>24760828</v>
      </c>
      <c r="CT6" s="390"/>
      <c r="CU6" s="390"/>
      <c r="CV6" s="389"/>
      <c r="CW6" s="390"/>
      <c r="CX6" s="390">
        <f>SUM(CX7:CX10)</f>
        <v>31193951</v>
      </c>
      <c r="CY6" s="390"/>
      <c r="CZ6" s="390"/>
      <c r="DA6" s="389"/>
      <c r="DB6" s="390"/>
      <c r="DC6" s="390">
        <f>SUM(DC7:DC10)</f>
        <v>32324457</v>
      </c>
      <c r="DD6" s="390"/>
      <c r="DE6" s="390"/>
      <c r="DF6" s="389"/>
      <c r="DG6" s="390"/>
      <c r="DH6" s="390">
        <f>SUM(DH7:DH10)</f>
        <v>33970885</v>
      </c>
      <c r="DI6" s="390"/>
      <c r="DJ6" s="390"/>
      <c r="DK6" s="389"/>
      <c r="DL6" s="390"/>
      <c r="DM6" s="390">
        <f>SUM(DM7:DM10)</f>
        <v>34652962</v>
      </c>
      <c r="DN6" s="390"/>
      <c r="DO6" s="390"/>
      <c r="DP6" s="389"/>
      <c r="DQ6" s="390"/>
      <c r="DR6" s="390">
        <f>SUM(DR7:DR10)</f>
        <v>26476333</v>
      </c>
      <c r="DS6" s="390"/>
      <c r="DT6" s="390"/>
      <c r="DU6" s="389"/>
      <c r="DV6" s="390"/>
      <c r="DW6" s="390">
        <f>SUM(DW7:DW10)</f>
        <v>21562772</v>
      </c>
      <c r="DX6" s="390"/>
      <c r="DY6" s="390"/>
      <c r="DZ6" s="389"/>
      <c r="EA6" s="390"/>
      <c r="EB6" s="390">
        <f>SUM(EB7:EB10)</f>
        <v>32267535</v>
      </c>
      <c r="EC6" s="390"/>
      <c r="ED6" s="390"/>
      <c r="EE6" s="389"/>
      <c r="EF6" s="390"/>
      <c r="EG6" s="390">
        <f>SUM(EG7:EG10)</f>
        <v>31130085</v>
      </c>
      <c r="EH6" s="390"/>
      <c r="EI6" s="390"/>
      <c r="EJ6" s="389"/>
      <c r="EK6" s="390"/>
      <c r="EL6" s="390">
        <f>SUM(EL7:EL10)</f>
        <v>290633867</v>
      </c>
      <c r="EM6" s="390"/>
      <c r="EN6" s="390"/>
      <c r="EO6" s="93"/>
    </row>
    <row r="7" spans="4:150" x14ac:dyDescent="0.2">
      <c r="D7" s="13" t="s">
        <v>338</v>
      </c>
      <c r="F7" s="374"/>
      <c r="G7" s="437">
        <f>+G12</f>
        <v>514767000</v>
      </c>
      <c r="H7" s="438"/>
      <c r="I7" s="388"/>
      <c r="J7" s="387"/>
      <c r="K7" s="391"/>
      <c r="L7" s="434">
        <f>+L12</f>
        <v>38350619</v>
      </c>
      <c r="M7" s="438"/>
      <c r="N7" s="388"/>
      <c r="O7" s="387"/>
      <c r="P7" s="391"/>
      <c r="Q7" s="434">
        <f>+Q12</f>
        <v>45031287.743999995</v>
      </c>
      <c r="R7" s="438"/>
      <c r="S7" s="388"/>
      <c r="T7" s="387"/>
      <c r="U7" s="391"/>
      <c r="V7" s="434">
        <f>+V12</f>
        <v>49600848</v>
      </c>
      <c r="W7" s="438"/>
      <c r="X7" s="388"/>
      <c r="Y7" s="387"/>
      <c r="Z7" s="391"/>
      <c r="AA7" s="434">
        <f>+AA12</f>
        <v>69933031</v>
      </c>
      <c r="AB7" s="438"/>
      <c r="AC7" s="388"/>
      <c r="AD7" s="387"/>
      <c r="AE7" s="391"/>
      <c r="AF7" s="434">
        <f>+AF12</f>
        <v>44319358</v>
      </c>
      <c r="AG7" s="438"/>
      <c r="AH7" s="388"/>
      <c r="AI7" s="387"/>
      <c r="AJ7" s="391"/>
      <c r="AK7" s="434">
        <f>+AK12</f>
        <v>61486843</v>
      </c>
      <c r="AL7" s="438"/>
      <c r="AM7" s="388"/>
      <c r="AN7" s="387"/>
      <c r="AO7" s="391"/>
      <c r="AP7" s="434">
        <f>+AP12</f>
        <v>59931421</v>
      </c>
      <c r="AQ7" s="438"/>
      <c r="AR7" s="388"/>
      <c r="AS7" s="387"/>
      <c r="AT7" s="391"/>
      <c r="AU7" s="434">
        <f>+AU12</f>
        <v>46634910</v>
      </c>
      <c r="AV7" s="438"/>
      <c r="AW7" s="388"/>
      <c r="AX7" s="387"/>
      <c r="AY7" s="391"/>
      <c r="AZ7" s="434">
        <f>+AZ12</f>
        <v>52191398</v>
      </c>
      <c r="BA7" s="438"/>
      <c r="BB7" s="388"/>
      <c r="BC7" s="387"/>
      <c r="BD7" s="391"/>
      <c r="BE7" s="434">
        <f>+BE12</f>
        <v>39060638</v>
      </c>
      <c r="BF7" s="438"/>
      <c r="BG7" s="388"/>
      <c r="BH7" s="387"/>
      <c r="BI7" s="391"/>
      <c r="BJ7" s="434">
        <f>+BJ12</f>
        <v>0</v>
      </c>
      <c r="BK7" s="438"/>
      <c r="BL7" s="388"/>
      <c r="BM7" s="387"/>
      <c r="BN7" s="391"/>
      <c r="BO7" s="434">
        <f>+BO12</f>
        <v>0</v>
      </c>
      <c r="BP7" s="438"/>
      <c r="BQ7" s="388"/>
      <c r="BR7" s="387"/>
      <c r="BS7" s="391"/>
      <c r="BT7" s="434">
        <f>+BT12</f>
        <v>506540353.74399996</v>
      </c>
      <c r="BU7" s="438"/>
      <c r="BV7" s="388"/>
      <c r="BW7" s="387"/>
      <c r="BX7" s="391"/>
      <c r="BY7" s="434">
        <f>+BY12</f>
        <v>335517549</v>
      </c>
      <c r="BZ7" s="438"/>
      <c r="CA7" s="388"/>
      <c r="CB7" s="387"/>
      <c r="CC7" s="391"/>
      <c r="CD7" s="434">
        <f>+CD12</f>
        <v>20725876</v>
      </c>
      <c r="CE7" s="438"/>
      <c r="CF7" s="388"/>
      <c r="CG7" s="387"/>
      <c r="CH7" s="391"/>
      <c r="CI7" s="434">
        <f>+CI12</f>
        <v>26579251</v>
      </c>
      <c r="CJ7" s="438"/>
      <c r="CK7" s="388"/>
      <c r="CL7" s="387"/>
      <c r="CM7" s="391"/>
      <c r="CN7" s="434">
        <f>+CN12</f>
        <v>21124207</v>
      </c>
      <c r="CO7" s="438"/>
      <c r="CP7" s="388"/>
      <c r="CQ7" s="387"/>
      <c r="CR7" s="391"/>
      <c r="CS7" s="434">
        <f>+CS12</f>
        <v>24760828</v>
      </c>
      <c r="CT7" s="438"/>
      <c r="CU7" s="388"/>
      <c r="CV7" s="387"/>
      <c r="CW7" s="391"/>
      <c r="CX7" s="434">
        <f>+CX12</f>
        <v>30904734</v>
      </c>
      <c r="CY7" s="438"/>
      <c r="CZ7" s="388"/>
      <c r="DA7" s="387"/>
      <c r="DB7" s="391"/>
      <c r="DC7" s="434">
        <f>+DC12</f>
        <v>32089447</v>
      </c>
      <c r="DD7" s="438"/>
      <c r="DE7" s="388"/>
      <c r="DF7" s="387"/>
      <c r="DG7" s="391"/>
      <c r="DH7" s="434">
        <f>+DH12</f>
        <v>33970885</v>
      </c>
      <c r="DI7" s="438"/>
      <c r="DJ7" s="388"/>
      <c r="DK7" s="387"/>
      <c r="DL7" s="391"/>
      <c r="DM7" s="434">
        <f>+DM12</f>
        <v>34588835</v>
      </c>
      <c r="DN7" s="438"/>
      <c r="DO7" s="388"/>
      <c r="DP7" s="387"/>
      <c r="DQ7" s="391"/>
      <c r="DR7" s="434">
        <f>+DR12</f>
        <v>26476333</v>
      </c>
      <c r="DS7" s="438"/>
      <c r="DT7" s="388"/>
      <c r="DU7" s="387"/>
      <c r="DV7" s="391"/>
      <c r="DW7" s="434">
        <f>+DW12</f>
        <v>21562772</v>
      </c>
      <c r="DX7" s="438"/>
      <c r="DY7" s="388"/>
      <c r="DZ7" s="387"/>
      <c r="EA7" s="391"/>
      <c r="EB7" s="434">
        <f>+EB12</f>
        <v>32267535</v>
      </c>
      <c r="EC7" s="438"/>
      <c r="ED7" s="388"/>
      <c r="EE7" s="387"/>
      <c r="EF7" s="391"/>
      <c r="EG7" s="434">
        <f>+EG12</f>
        <v>30466846</v>
      </c>
      <c r="EH7" s="438"/>
      <c r="EI7" s="388"/>
      <c r="EJ7" s="387"/>
      <c r="EK7" s="391"/>
      <c r="EL7" s="434">
        <f>+EL12</f>
        <v>272783168</v>
      </c>
      <c r="EM7" s="438"/>
      <c r="EN7" s="388"/>
      <c r="EO7" s="13"/>
      <c r="ER7" s="14"/>
      <c r="ES7" s="14"/>
    </row>
    <row r="8" spans="4:150" x14ac:dyDescent="0.2">
      <c r="D8" s="13" t="s">
        <v>339</v>
      </c>
      <c r="F8" s="198"/>
      <c r="G8" s="439">
        <f>G207</f>
        <v>0</v>
      </c>
      <c r="H8" s="440"/>
      <c r="I8" s="388"/>
      <c r="J8" s="387"/>
      <c r="K8" s="387"/>
      <c r="L8" s="388">
        <f>L207</f>
        <v>0</v>
      </c>
      <c r="M8" s="440"/>
      <c r="N8" s="388"/>
      <c r="O8" s="387"/>
      <c r="P8" s="387"/>
      <c r="Q8" s="388">
        <f>Q207</f>
        <v>0</v>
      </c>
      <c r="R8" s="440"/>
      <c r="S8" s="388"/>
      <c r="T8" s="387"/>
      <c r="U8" s="387"/>
      <c r="V8" s="388">
        <f>V207</f>
        <v>0</v>
      </c>
      <c r="W8" s="440"/>
      <c r="X8" s="388"/>
      <c r="Y8" s="387"/>
      <c r="Z8" s="387"/>
      <c r="AA8" s="388">
        <f>AA207</f>
        <v>0</v>
      </c>
      <c r="AB8" s="440"/>
      <c r="AC8" s="388"/>
      <c r="AD8" s="387"/>
      <c r="AE8" s="387"/>
      <c r="AF8" s="388">
        <f>AF207</f>
        <v>0</v>
      </c>
      <c r="AG8" s="440"/>
      <c r="AH8" s="388"/>
      <c r="AI8" s="387"/>
      <c r="AJ8" s="387"/>
      <c r="AK8" s="388">
        <f>AK207</f>
        <v>0</v>
      </c>
      <c r="AL8" s="440"/>
      <c r="AM8" s="388"/>
      <c r="AN8" s="387"/>
      <c r="AO8" s="387"/>
      <c r="AP8" s="388">
        <f>AP207</f>
        <v>0</v>
      </c>
      <c r="AQ8" s="440"/>
      <c r="AR8" s="388"/>
      <c r="AS8" s="387"/>
      <c r="AT8" s="387"/>
      <c r="AU8" s="388">
        <f>AU207</f>
        <v>0</v>
      </c>
      <c r="AV8" s="440"/>
      <c r="AW8" s="388"/>
      <c r="AX8" s="387"/>
      <c r="AY8" s="387"/>
      <c r="AZ8" s="388">
        <f>AZ207</f>
        <v>0</v>
      </c>
      <c r="BA8" s="440"/>
      <c r="BB8" s="388"/>
      <c r="BC8" s="387"/>
      <c r="BD8" s="387"/>
      <c r="BE8" s="388">
        <f>BE207</f>
        <v>0</v>
      </c>
      <c r="BF8" s="440"/>
      <c r="BH8" s="387"/>
      <c r="BI8" s="387"/>
      <c r="BJ8" s="388">
        <f>BJ207</f>
        <v>0</v>
      </c>
      <c r="BK8" s="440"/>
      <c r="BL8" s="388"/>
      <c r="BM8" s="387"/>
      <c r="BN8" s="387"/>
      <c r="BO8" s="388">
        <f>BO207</f>
        <v>0</v>
      </c>
      <c r="BP8" s="440"/>
      <c r="BQ8" s="388"/>
      <c r="BR8" s="387"/>
      <c r="BS8" s="387"/>
      <c r="BT8" s="388">
        <f>BT207</f>
        <v>0</v>
      </c>
      <c r="BU8" s="440"/>
      <c r="BV8" s="388"/>
      <c r="BW8" s="387"/>
      <c r="BX8" s="387"/>
      <c r="BY8" s="388">
        <f>BY207</f>
        <v>14152656</v>
      </c>
      <c r="BZ8" s="440"/>
      <c r="CA8" s="388"/>
      <c r="CB8" s="387"/>
      <c r="CC8" s="387"/>
      <c r="CD8" s="388">
        <f>CD207</f>
        <v>0</v>
      </c>
      <c r="CE8" s="440"/>
      <c r="CF8" s="388"/>
      <c r="CG8" s="387"/>
      <c r="CH8" s="387"/>
      <c r="CI8" s="388">
        <f>CI207</f>
        <v>14152656</v>
      </c>
      <c r="CJ8" s="440"/>
      <c r="CK8" s="388"/>
      <c r="CL8" s="387"/>
      <c r="CM8" s="387"/>
      <c r="CN8" s="388">
        <f>CN207</f>
        <v>0</v>
      </c>
      <c r="CO8" s="440"/>
      <c r="CP8" s="388"/>
      <c r="CQ8" s="387"/>
      <c r="CR8" s="387"/>
      <c r="CS8" s="388">
        <f>CS207</f>
        <v>0</v>
      </c>
      <c r="CT8" s="440"/>
      <c r="CU8" s="388"/>
      <c r="CV8" s="387"/>
      <c r="CW8" s="387"/>
      <c r="CX8" s="388">
        <f>CX207</f>
        <v>0</v>
      </c>
      <c r="CY8" s="440"/>
      <c r="CZ8" s="388"/>
      <c r="DA8" s="387"/>
      <c r="DB8" s="387"/>
      <c r="DC8" s="388">
        <f>DC207</f>
        <v>0</v>
      </c>
      <c r="DD8" s="440"/>
      <c r="DE8" s="388"/>
      <c r="DF8" s="387"/>
      <c r="DG8" s="387"/>
      <c r="DH8" s="388">
        <f>DH207</f>
        <v>0</v>
      </c>
      <c r="DI8" s="440"/>
      <c r="DJ8" s="388"/>
      <c r="DK8" s="387"/>
      <c r="DL8" s="387"/>
      <c r="DM8" s="388">
        <f>DM207</f>
        <v>0</v>
      </c>
      <c r="DN8" s="440"/>
      <c r="DO8" s="388"/>
      <c r="DP8" s="387"/>
      <c r="DQ8" s="387"/>
      <c r="DR8" s="388">
        <f>DR207</f>
        <v>0</v>
      </c>
      <c r="DS8" s="440"/>
      <c r="DT8" s="388"/>
      <c r="DU8" s="387"/>
      <c r="DV8" s="387"/>
      <c r="DW8" s="388">
        <f>DW207</f>
        <v>0</v>
      </c>
      <c r="DX8" s="440"/>
      <c r="DZ8" s="387"/>
      <c r="EA8" s="387"/>
      <c r="EB8" s="388">
        <f>EB207</f>
        <v>0</v>
      </c>
      <c r="EC8" s="440"/>
      <c r="ED8" s="388"/>
      <c r="EE8" s="387"/>
      <c r="EF8" s="387"/>
      <c r="EG8" s="388">
        <f>EG207</f>
        <v>0</v>
      </c>
      <c r="EH8" s="440"/>
      <c r="EI8" s="388"/>
      <c r="EJ8" s="387"/>
      <c r="EK8" s="387"/>
      <c r="EL8" s="388">
        <f>EL207</f>
        <v>14152656</v>
      </c>
      <c r="EM8" s="440"/>
      <c r="EN8" s="388"/>
      <c r="EO8" s="13"/>
      <c r="ER8" s="14"/>
      <c r="ES8" s="14"/>
    </row>
    <row r="9" spans="4:150" x14ac:dyDescent="0.2">
      <c r="D9" s="13" t="s">
        <v>340</v>
      </c>
      <c r="F9" s="385"/>
      <c r="G9" s="441">
        <f>G277</f>
        <v>0</v>
      </c>
      <c r="H9" s="442"/>
      <c r="I9" s="388"/>
      <c r="J9" s="387"/>
      <c r="K9" s="402"/>
      <c r="L9" s="443">
        <f>L277</f>
        <v>487336</v>
      </c>
      <c r="M9" s="442"/>
      <c r="N9" s="388"/>
      <c r="O9" s="387"/>
      <c r="P9" s="402"/>
      <c r="Q9" s="443">
        <f>Q277</f>
        <v>29682</v>
      </c>
      <c r="R9" s="442"/>
      <c r="S9" s="388"/>
      <c r="T9" s="387"/>
      <c r="U9" s="402"/>
      <c r="V9" s="443">
        <f>V277</f>
        <v>28489</v>
      </c>
      <c r="W9" s="442"/>
      <c r="X9" s="388"/>
      <c r="Y9" s="387"/>
      <c r="Z9" s="402"/>
      <c r="AA9" s="443">
        <f>AA277</f>
        <v>0</v>
      </c>
      <c r="AB9" s="442"/>
      <c r="AC9" s="388"/>
      <c r="AD9" s="387"/>
      <c r="AE9" s="402"/>
      <c r="AF9" s="443">
        <f>AF277</f>
        <v>41191</v>
      </c>
      <c r="AG9" s="442"/>
      <c r="AH9" s="388"/>
      <c r="AI9" s="387"/>
      <c r="AJ9" s="402"/>
      <c r="AK9" s="443">
        <f>AK277</f>
        <v>18552</v>
      </c>
      <c r="AL9" s="442"/>
      <c r="AM9" s="388"/>
      <c r="AN9" s="387"/>
      <c r="AO9" s="402"/>
      <c r="AP9" s="443">
        <f>AP277</f>
        <v>0</v>
      </c>
      <c r="AQ9" s="442"/>
      <c r="AR9" s="388"/>
      <c r="AS9" s="387"/>
      <c r="AT9" s="402"/>
      <c r="AU9" s="443">
        <f>AU277</f>
        <v>85877</v>
      </c>
      <c r="AV9" s="442"/>
      <c r="AW9" s="388"/>
      <c r="AX9" s="387"/>
      <c r="AY9" s="402"/>
      <c r="AZ9" s="443">
        <f>AZ277</f>
        <v>204461</v>
      </c>
      <c r="BA9" s="442"/>
      <c r="BB9" s="388"/>
      <c r="BC9" s="387"/>
      <c r="BD9" s="402"/>
      <c r="BE9" s="443">
        <f>BE277</f>
        <v>132680</v>
      </c>
      <c r="BF9" s="442"/>
      <c r="BG9" s="388"/>
      <c r="BH9" s="387"/>
      <c r="BI9" s="402"/>
      <c r="BJ9" s="443">
        <f>BJ277</f>
        <v>0</v>
      </c>
      <c r="BK9" s="442"/>
      <c r="BL9" s="388"/>
      <c r="BM9" s="387"/>
      <c r="BN9" s="402"/>
      <c r="BO9" s="443">
        <f>BO277</f>
        <v>0</v>
      </c>
      <c r="BP9" s="442"/>
      <c r="BQ9" s="388"/>
      <c r="BR9" s="387"/>
      <c r="BS9" s="402"/>
      <c r="BT9" s="443">
        <f>BT277</f>
        <v>1028268</v>
      </c>
      <c r="BU9" s="442"/>
      <c r="BV9" s="388"/>
      <c r="BW9" s="387"/>
      <c r="BX9" s="402"/>
      <c r="BY9" s="443">
        <f>BY277</f>
        <v>4361282</v>
      </c>
      <c r="BZ9" s="442"/>
      <c r="CA9" s="388"/>
      <c r="CB9" s="387"/>
      <c r="CC9" s="402"/>
      <c r="CD9" s="443">
        <f>CD277</f>
        <v>3109689</v>
      </c>
      <c r="CE9" s="442"/>
      <c r="CF9" s="388"/>
      <c r="CG9" s="387"/>
      <c r="CH9" s="402"/>
      <c r="CI9" s="443">
        <f>CI277</f>
        <v>0</v>
      </c>
      <c r="CJ9" s="442"/>
      <c r="CK9" s="388"/>
      <c r="CL9" s="387"/>
      <c r="CM9" s="402"/>
      <c r="CN9" s="443">
        <f>CN277</f>
        <v>0</v>
      </c>
      <c r="CO9" s="442"/>
      <c r="CP9" s="388"/>
      <c r="CQ9" s="387"/>
      <c r="CR9" s="402"/>
      <c r="CS9" s="443">
        <f>CS277</f>
        <v>0</v>
      </c>
      <c r="CT9" s="442"/>
      <c r="CU9" s="388"/>
      <c r="CV9" s="387"/>
      <c r="CW9" s="402"/>
      <c r="CX9" s="443">
        <f>CX277</f>
        <v>289217</v>
      </c>
      <c r="CY9" s="442"/>
      <c r="CZ9" s="388"/>
      <c r="DA9" s="387"/>
      <c r="DB9" s="402"/>
      <c r="DC9" s="443">
        <f>DC277</f>
        <v>235010</v>
      </c>
      <c r="DD9" s="442"/>
      <c r="DE9" s="388"/>
      <c r="DF9" s="387"/>
      <c r="DG9" s="402"/>
      <c r="DH9" s="443">
        <f>DH277</f>
        <v>0</v>
      </c>
      <c r="DI9" s="442"/>
      <c r="DJ9" s="388"/>
      <c r="DK9" s="387"/>
      <c r="DL9" s="402"/>
      <c r="DM9" s="443">
        <f>DM277</f>
        <v>64127</v>
      </c>
      <c r="DN9" s="442"/>
      <c r="DO9" s="388"/>
      <c r="DP9" s="387"/>
      <c r="DQ9" s="402"/>
      <c r="DR9" s="443">
        <f>DR277</f>
        <v>0</v>
      </c>
      <c r="DS9" s="442"/>
      <c r="DT9" s="388"/>
      <c r="DU9" s="387"/>
      <c r="DV9" s="402"/>
      <c r="DW9" s="443">
        <f>DW277</f>
        <v>0</v>
      </c>
      <c r="DX9" s="442"/>
      <c r="DY9" s="388"/>
      <c r="DZ9" s="387"/>
      <c r="EA9" s="402"/>
      <c r="EB9" s="443">
        <f>EB277</f>
        <v>0</v>
      </c>
      <c r="EC9" s="442"/>
      <c r="ED9" s="388"/>
      <c r="EE9" s="387"/>
      <c r="EF9" s="402"/>
      <c r="EG9" s="443">
        <f>EG277</f>
        <v>663239</v>
      </c>
      <c r="EH9" s="442"/>
      <c r="EI9" s="388"/>
      <c r="EJ9" s="387"/>
      <c r="EK9" s="402"/>
      <c r="EL9" s="443">
        <f>EL277</f>
        <v>3698043</v>
      </c>
      <c r="EM9" s="442"/>
      <c r="EN9" s="388"/>
      <c r="EO9" s="13"/>
      <c r="ER9" s="14"/>
      <c r="ES9" s="14"/>
    </row>
    <row r="10" spans="4:150" ht="12.75" hidden="1" customHeight="1" x14ac:dyDescent="0.2">
      <c r="D10" s="384" t="s">
        <v>341</v>
      </c>
      <c r="E10" s="444"/>
      <c r="F10" s="445"/>
      <c r="G10" s="441">
        <v>0</v>
      </c>
      <c r="H10" s="442"/>
      <c r="I10" s="388"/>
      <c r="J10" s="387"/>
      <c r="K10" s="402"/>
      <c r="L10" s="443">
        <f>L307</f>
        <v>0</v>
      </c>
      <c r="M10" s="442"/>
      <c r="N10" s="388"/>
      <c r="O10" s="387"/>
      <c r="P10" s="402"/>
      <c r="Q10" s="443">
        <f>Q307</f>
        <v>0</v>
      </c>
      <c r="R10" s="442"/>
      <c r="S10" s="388"/>
      <c r="T10" s="387"/>
      <c r="U10" s="402"/>
      <c r="V10" s="443">
        <f>V307</f>
        <v>0</v>
      </c>
      <c r="W10" s="442"/>
      <c r="X10" s="388"/>
      <c r="Y10" s="387"/>
      <c r="Z10" s="402"/>
      <c r="AA10" s="443">
        <f>AA307</f>
        <v>0</v>
      </c>
      <c r="AB10" s="442"/>
      <c r="AC10" s="388"/>
      <c r="AD10" s="387"/>
      <c r="AE10" s="402"/>
      <c r="AF10" s="443">
        <v>0</v>
      </c>
      <c r="AG10" s="442"/>
      <c r="AH10" s="388"/>
      <c r="AI10" s="387"/>
      <c r="AJ10" s="402"/>
      <c r="AK10" s="443">
        <v>0</v>
      </c>
      <c r="AL10" s="442"/>
      <c r="AM10" s="388"/>
      <c r="AN10" s="387"/>
      <c r="AO10" s="402"/>
      <c r="AP10" s="443">
        <f>AP307</f>
        <v>0</v>
      </c>
      <c r="AQ10" s="442"/>
      <c r="AR10" s="388"/>
      <c r="AS10" s="387"/>
      <c r="AT10" s="402"/>
      <c r="AU10" s="443">
        <f>AU307</f>
        <v>0</v>
      </c>
      <c r="AV10" s="442"/>
      <c r="AW10" s="388"/>
      <c r="AX10" s="387"/>
      <c r="AY10" s="402"/>
      <c r="AZ10" s="443">
        <f>AZ307</f>
        <v>0</v>
      </c>
      <c r="BA10" s="442"/>
      <c r="BB10" s="388"/>
      <c r="BC10" s="387"/>
      <c r="BD10" s="402"/>
      <c r="BE10" s="443">
        <f>BE307</f>
        <v>0</v>
      </c>
      <c r="BF10" s="442"/>
      <c r="BG10" s="388"/>
      <c r="BH10" s="387"/>
      <c r="BI10" s="402"/>
      <c r="BJ10" s="443">
        <f>BJ307</f>
        <v>0</v>
      </c>
      <c r="BK10" s="442"/>
      <c r="BL10" s="388"/>
      <c r="BM10" s="387"/>
      <c r="BN10" s="402"/>
      <c r="BO10" s="443">
        <f>BO307</f>
        <v>0</v>
      </c>
      <c r="BP10" s="442"/>
      <c r="BQ10" s="388"/>
      <c r="BR10" s="387"/>
      <c r="BS10" s="402"/>
      <c r="BT10" s="443">
        <v>0</v>
      </c>
      <c r="BU10" s="442"/>
      <c r="BV10" s="388"/>
      <c r="BW10" s="387"/>
      <c r="BX10" s="402"/>
      <c r="BY10" s="443">
        <v>0</v>
      </c>
      <c r="BZ10" s="442"/>
      <c r="CA10" s="388"/>
      <c r="CB10" s="387"/>
      <c r="CC10" s="402"/>
      <c r="CD10" s="443">
        <f>CD307</f>
        <v>0</v>
      </c>
      <c r="CE10" s="442"/>
      <c r="CF10" s="388"/>
      <c r="CG10" s="387"/>
      <c r="CH10" s="402"/>
      <c r="CI10" s="443">
        <f>CI307</f>
        <v>0</v>
      </c>
      <c r="CJ10" s="442"/>
      <c r="CK10" s="388"/>
      <c r="CL10" s="387"/>
      <c r="CM10" s="402"/>
      <c r="CN10" s="443">
        <f>CN307</f>
        <v>0</v>
      </c>
      <c r="CO10" s="442"/>
      <c r="CP10" s="388"/>
      <c r="CQ10" s="387"/>
      <c r="CR10" s="402"/>
      <c r="CS10" s="443">
        <f>CS307</f>
        <v>0</v>
      </c>
      <c r="CT10" s="442"/>
      <c r="CU10" s="388"/>
      <c r="CV10" s="387"/>
      <c r="CW10" s="402"/>
      <c r="CX10" s="443">
        <v>0</v>
      </c>
      <c r="CY10" s="442"/>
      <c r="CZ10" s="388"/>
      <c r="DA10" s="387"/>
      <c r="DB10" s="402"/>
      <c r="DC10" s="443">
        <v>0</v>
      </c>
      <c r="DD10" s="442"/>
      <c r="DE10" s="388"/>
      <c r="DF10" s="387"/>
      <c r="DG10" s="402"/>
      <c r="DH10" s="443">
        <f>DH307</f>
        <v>0</v>
      </c>
      <c r="DI10" s="442"/>
      <c r="DJ10" s="388"/>
      <c r="DK10" s="387"/>
      <c r="DL10" s="402"/>
      <c r="DM10" s="443">
        <f>DM307</f>
        <v>0</v>
      </c>
      <c r="DN10" s="442"/>
      <c r="DO10" s="388"/>
      <c r="DP10" s="387"/>
      <c r="DQ10" s="402"/>
      <c r="DR10" s="443">
        <f>DR307</f>
        <v>0</v>
      </c>
      <c r="DS10" s="442"/>
      <c r="DT10" s="388"/>
      <c r="DU10" s="387"/>
      <c r="DV10" s="402"/>
      <c r="DW10" s="443">
        <f>DW307</f>
        <v>0</v>
      </c>
      <c r="DX10" s="442"/>
      <c r="DY10" s="388"/>
      <c r="DZ10" s="387"/>
      <c r="EA10" s="402"/>
      <c r="EB10" s="443">
        <f>EB307</f>
        <v>0</v>
      </c>
      <c r="EC10" s="442"/>
      <c r="ED10" s="388"/>
      <c r="EE10" s="387"/>
      <c r="EF10" s="402"/>
      <c r="EG10" s="443">
        <f>EG307</f>
        <v>0</v>
      </c>
      <c r="EH10" s="442"/>
      <c r="EI10" s="388"/>
      <c r="EJ10" s="387"/>
      <c r="EK10" s="402"/>
      <c r="EL10" s="443">
        <v>0</v>
      </c>
      <c r="EM10" s="442"/>
      <c r="EN10" s="388"/>
      <c r="EO10" s="13"/>
      <c r="ER10" s="14"/>
      <c r="ES10" s="14"/>
    </row>
    <row r="11" spans="4:150" x14ac:dyDescent="0.2">
      <c r="D11" s="13"/>
      <c r="G11" s="439"/>
      <c r="H11" s="388"/>
      <c r="I11" s="388"/>
      <c r="J11" s="387"/>
      <c r="K11" s="388"/>
      <c r="L11" s="388"/>
      <c r="M11" s="388"/>
      <c r="N11" s="388"/>
      <c r="O11" s="387"/>
      <c r="P11" s="388"/>
      <c r="Q11" s="388"/>
      <c r="R11" s="388"/>
      <c r="S11" s="388"/>
      <c r="T11" s="387"/>
      <c r="U11" s="388"/>
      <c r="V11" s="388"/>
      <c r="W11" s="388"/>
      <c r="X11" s="388"/>
      <c r="Y11" s="387"/>
      <c r="Z11" s="388"/>
      <c r="AA11" s="388"/>
      <c r="AB11" s="388"/>
      <c r="AC11" s="388"/>
      <c r="AD11" s="387"/>
      <c r="AE11" s="388"/>
      <c r="AF11" s="388"/>
      <c r="AG11" s="388"/>
      <c r="AH11" s="388"/>
      <c r="AI11" s="387"/>
      <c r="AJ11" s="388"/>
      <c r="AK11" s="388"/>
      <c r="AL11" s="388"/>
      <c r="AM11" s="388"/>
      <c r="AN11" s="387"/>
      <c r="AO11" s="388"/>
      <c r="AP11" s="388"/>
      <c r="AQ11" s="388"/>
      <c r="AR11" s="388"/>
      <c r="AS11" s="387"/>
      <c r="AT11" s="388"/>
      <c r="AU11" s="388"/>
      <c r="AV11" s="388"/>
      <c r="AW11" s="388"/>
      <c r="AX11" s="387"/>
      <c r="AY11" s="388"/>
      <c r="AZ11" s="388"/>
      <c r="BA11" s="388"/>
      <c r="BB11" s="388"/>
      <c r="BC11" s="387"/>
      <c r="BD11" s="388"/>
      <c r="BE11" s="388"/>
      <c r="BF11" s="388"/>
      <c r="BG11" s="388"/>
      <c r="BH11" s="387"/>
      <c r="BI11" s="388"/>
      <c r="BJ11" s="388"/>
      <c r="BK11" s="388"/>
      <c r="BL11" s="388"/>
      <c r="BM11" s="387"/>
      <c r="BN11" s="388"/>
      <c r="BO11" s="388"/>
      <c r="BP11" s="388"/>
      <c r="BQ11" s="388"/>
      <c r="BR11" s="387"/>
      <c r="BS11" s="388"/>
      <c r="BT11" s="388"/>
      <c r="BU11" s="388"/>
      <c r="BV11" s="388"/>
      <c r="BW11" s="387"/>
      <c r="BX11" s="388"/>
      <c r="BY11" s="388"/>
      <c r="BZ11" s="388"/>
      <c r="CA11" s="388"/>
      <c r="CB11" s="387"/>
      <c r="CC11" s="388"/>
      <c r="CD11" s="388"/>
      <c r="CE11" s="388"/>
      <c r="CF11" s="388"/>
      <c r="CG11" s="387"/>
      <c r="CH11" s="388"/>
      <c r="CI11" s="388"/>
      <c r="CJ11" s="388"/>
      <c r="CK11" s="388"/>
      <c r="CL11" s="387"/>
      <c r="CM11" s="388"/>
      <c r="CN11" s="388"/>
      <c r="CO11" s="388"/>
      <c r="CP11" s="388"/>
      <c r="CQ11" s="387"/>
      <c r="CR11" s="388"/>
      <c r="CS11" s="388"/>
      <c r="CT11" s="388"/>
      <c r="CU11" s="388"/>
      <c r="CV11" s="387"/>
      <c r="CW11" s="388"/>
      <c r="CX11" s="388"/>
      <c r="CY11" s="388"/>
      <c r="CZ11" s="388"/>
      <c r="DA11" s="387"/>
      <c r="DB11" s="388"/>
      <c r="DC11" s="388"/>
      <c r="DD11" s="388"/>
      <c r="DE11" s="388"/>
      <c r="DF11" s="387"/>
      <c r="DG11" s="388"/>
      <c r="DH11" s="388"/>
      <c r="DI11" s="388"/>
      <c r="DJ11" s="388"/>
      <c r="DK11" s="387"/>
      <c r="DL11" s="388"/>
      <c r="DM11" s="388"/>
      <c r="DN11" s="388"/>
      <c r="DO11" s="388"/>
      <c r="DP11" s="387"/>
      <c r="DQ11" s="388"/>
      <c r="DR11" s="388"/>
      <c r="DS11" s="388"/>
      <c r="DT11" s="388"/>
      <c r="DU11" s="387"/>
      <c r="DV11" s="388"/>
      <c r="DW11" s="388"/>
      <c r="DX11" s="388"/>
      <c r="DY11" s="388"/>
      <c r="DZ11" s="387"/>
      <c r="EA11" s="388"/>
      <c r="EB11" s="388"/>
      <c r="EC11" s="388"/>
      <c r="ED11" s="388"/>
      <c r="EE11" s="387"/>
      <c r="EF11" s="388"/>
      <c r="EG11" s="388"/>
      <c r="EH11" s="388"/>
      <c r="EI11" s="388"/>
      <c r="EJ11" s="387"/>
      <c r="EK11" s="388"/>
      <c r="EL11" s="388"/>
      <c r="EM11" s="388"/>
      <c r="EN11" s="388"/>
      <c r="EO11" s="13"/>
      <c r="ER11" s="14"/>
      <c r="ES11" s="14"/>
    </row>
    <row r="12" spans="4:150" s="14" customFormat="1" x14ac:dyDescent="0.2">
      <c r="D12" s="93" t="s">
        <v>342</v>
      </c>
      <c r="E12" s="180"/>
      <c r="G12" s="446">
        <f>SUM(G13:G16)</f>
        <v>514767000</v>
      </c>
      <c r="H12" s="446"/>
      <c r="I12" s="446"/>
      <c r="J12" s="447"/>
      <c r="K12" s="446"/>
      <c r="L12" s="446">
        <f>SUM(L13:L16)</f>
        <v>38350619</v>
      </c>
      <c r="M12" s="446"/>
      <c r="N12" s="446"/>
      <c r="O12" s="447"/>
      <c r="P12" s="446"/>
      <c r="Q12" s="446">
        <f>SUM(Q13:Q16)</f>
        <v>45031287.743999995</v>
      </c>
      <c r="R12" s="446"/>
      <c r="S12" s="446"/>
      <c r="T12" s="447"/>
      <c r="U12" s="446"/>
      <c r="V12" s="446">
        <f>SUM(V13:V16)</f>
        <v>49600848</v>
      </c>
      <c r="W12" s="446"/>
      <c r="X12" s="446"/>
      <c r="Y12" s="447"/>
      <c r="Z12" s="446"/>
      <c r="AA12" s="446">
        <f>SUM(AA13:AA16)</f>
        <v>69933031</v>
      </c>
      <c r="AB12" s="446"/>
      <c r="AC12" s="446"/>
      <c r="AD12" s="447"/>
      <c r="AE12" s="446"/>
      <c r="AF12" s="446">
        <f>SUM(AF13:AF16)</f>
        <v>44319358</v>
      </c>
      <c r="AG12" s="446"/>
      <c r="AH12" s="446"/>
      <c r="AI12" s="447"/>
      <c r="AJ12" s="446"/>
      <c r="AK12" s="446">
        <f>SUM(AK13:AK16)</f>
        <v>61486843</v>
      </c>
      <c r="AL12" s="446"/>
      <c r="AM12" s="446"/>
      <c r="AN12" s="447"/>
      <c r="AO12" s="446"/>
      <c r="AP12" s="446">
        <f>SUM(AP13:AP16)</f>
        <v>59931421</v>
      </c>
      <c r="AQ12" s="446"/>
      <c r="AR12" s="446"/>
      <c r="AS12" s="447"/>
      <c r="AT12" s="446"/>
      <c r="AU12" s="446">
        <f>SUM(AU13:AU16)</f>
        <v>46634910</v>
      </c>
      <c r="AV12" s="446"/>
      <c r="AW12" s="446"/>
      <c r="AX12" s="447"/>
      <c r="AY12" s="446"/>
      <c r="AZ12" s="446">
        <f>SUM(AZ13:AZ16)</f>
        <v>52191398</v>
      </c>
      <c r="BA12" s="446"/>
      <c r="BB12" s="446"/>
      <c r="BC12" s="447"/>
      <c r="BD12" s="446"/>
      <c r="BE12" s="446">
        <f>SUM(BE13:BE16)</f>
        <v>39060638</v>
      </c>
      <c r="BF12" s="446"/>
      <c r="BG12" s="446"/>
      <c r="BH12" s="447"/>
      <c r="BI12" s="446"/>
      <c r="BJ12" s="446">
        <f>SUM(BJ13:BJ16)</f>
        <v>0</v>
      </c>
      <c r="BK12" s="446"/>
      <c r="BL12" s="446"/>
      <c r="BM12" s="447"/>
      <c r="BN12" s="446"/>
      <c r="BO12" s="446">
        <f>SUM(BO13:BO16)</f>
        <v>0</v>
      </c>
      <c r="BP12" s="446"/>
      <c r="BQ12" s="446"/>
      <c r="BR12" s="447"/>
      <c r="BS12" s="446"/>
      <c r="BT12" s="446">
        <f>SUM(BT13:BT16)</f>
        <v>506540353.74399996</v>
      </c>
      <c r="BU12" s="446"/>
      <c r="BV12" s="446"/>
      <c r="BW12" s="447"/>
      <c r="BX12" s="446"/>
      <c r="BY12" s="446">
        <f>SUM(BY13:BY16)</f>
        <v>335517549</v>
      </c>
      <c r="BZ12" s="446"/>
      <c r="CA12" s="446"/>
      <c r="CB12" s="447"/>
      <c r="CC12" s="446"/>
      <c r="CD12" s="446">
        <f>SUM(CD13:CD16)</f>
        <v>20725876</v>
      </c>
      <c r="CE12" s="446"/>
      <c r="CF12" s="446"/>
      <c r="CG12" s="447"/>
      <c r="CH12" s="446"/>
      <c r="CI12" s="446">
        <f>SUM(CI13:CI16)</f>
        <v>26579251</v>
      </c>
      <c r="CJ12" s="446"/>
      <c r="CK12" s="446"/>
      <c r="CL12" s="447"/>
      <c r="CM12" s="446"/>
      <c r="CN12" s="446">
        <f>SUM(CN13:CN16)</f>
        <v>21124207</v>
      </c>
      <c r="CO12" s="446"/>
      <c r="CP12" s="446"/>
      <c r="CQ12" s="447"/>
      <c r="CR12" s="446"/>
      <c r="CS12" s="446">
        <f>SUM(CS13:CS16)</f>
        <v>24760828</v>
      </c>
      <c r="CT12" s="446"/>
      <c r="CU12" s="446"/>
      <c r="CV12" s="447"/>
      <c r="CW12" s="446"/>
      <c r="CX12" s="446">
        <f>SUM(CX13:CX16)</f>
        <v>30904734</v>
      </c>
      <c r="CY12" s="446"/>
      <c r="CZ12" s="446"/>
      <c r="DA12" s="447"/>
      <c r="DB12" s="446"/>
      <c r="DC12" s="446">
        <f>SUM(DC13:DC16)</f>
        <v>32089447</v>
      </c>
      <c r="DD12" s="446"/>
      <c r="DE12" s="446"/>
      <c r="DF12" s="447"/>
      <c r="DG12" s="446"/>
      <c r="DH12" s="446">
        <f>SUM(DH13:DH16)</f>
        <v>33970885</v>
      </c>
      <c r="DI12" s="446"/>
      <c r="DJ12" s="446"/>
      <c r="DK12" s="447"/>
      <c r="DL12" s="446"/>
      <c r="DM12" s="446">
        <f>SUM(DM13:DM16)</f>
        <v>34588835</v>
      </c>
      <c r="DN12" s="446"/>
      <c r="DO12" s="446"/>
      <c r="DP12" s="447"/>
      <c r="DQ12" s="446"/>
      <c r="DR12" s="446">
        <f>SUM(DR13:DR16)</f>
        <v>26476333</v>
      </c>
      <c r="DS12" s="446"/>
      <c r="DT12" s="446"/>
      <c r="DU12" s="447"/>
      <c r="DV12" s="446"/>
      <c r="DW12" s="446">
        <f>SUM(DW13:DW16)</f>
        <v>21562772</v>
      </c>
      <c r="DX12" s="446"/>
      <c r="DY12" s="446"/>
      <c r="DZ12" s="447"/>
      <c r="EA12" s="446"/>
      <c r="EB12" s="446">
        <f>SUM(EB13:EB16)</f>
        <v>32267535</v>
      </c>
      <c r="EC12" s="446"/>
      <c r="ED12" s="446"/>
      <c r="EE12" s="447"/>
      <c r="EF12" s="446"/>
      <c r="EG12" s="446">
        <f>SUM(EG13:EG16)</f>
        <v>30466846</v>
      </c>
      <c r="EH12" s="446"/>
      <c r="EI12" s="446"/>
      <c r="EJ12" s="447"/>
      <c r="EK12" s="446"/>
      <c r="EL12" s="446">
        <f>SUM(EL13:EL16)</f>
        <v>272783168</v>
      </c>
      <c r="EM12" s="446"/>
      <c r="EN12" s="446"/>
      <c r="EO12" s="93"/>
      <c r="ET12" s="448"/>
    </row>
    <row r="13" spans="4:150" x14ac:dyDescent="0.2">
      <c r="D13" s="13" t="s">
        <v>343</v>
      </c>
      <c r="F13" s="374"/>
      <c r="G13" s="449">
        <v>462500000</v>
      </c>
      <c r="H13" s="450"/>
      <c r="I13" s="451"/>
      <c r="J13" s="452"/>
      <c r="K13" s="453"/>
      <c r="L13" s="449">
        <f>+L19+L52+L57+L62+L68+L74+L79+L85+L90+L95+L100+L105+L110+L115+L120+L126+L132+L138+L143+L184+L198+L148+L173+L22+L28+L46+L34+L153+L158+L163+L168+L40</f>
        <v>32408976</v>
      </c>
      <c r="M13" s="450"/>
      <c r="N13" s="451"/>
      <c r="O13" s="452"/>
      <c r="P13" s="453"/>
      <c r="Q13" s="449">
        <f>+Q19+Q52+Q57+Q62+Q68+Q74+Q79+Q85+Q90+Q95+Q100+Q105+Q110+Q115+Q120+Q126+Q132+Q138+Q143+Q184+Q198+Q148+Q173+Q22+Q28+Q46+Q34+Q153+Q158+Q163+Q168+Q40</f>
        <v>40737984.292999998</v>
      </c>
      <c r="R13" s="450"/>
      <c r="S13" s="451"/>
      <c r="T13" s="452"/>
      <c r="U13" s="453"/>
      <c r="V13" s="449">
        <f>+V19+V52+V57+V62+V68+V74+V79+V85+V90+V95+V100+V105+V110+V115+V120+V126+V132+V138+V143+V184+V198+V148+V173+V22+V28+V46+V34+V153+V158+V163+V168+V40</f>
        <v>41826856</v>
      </c>
      <c r="W13" s="450"/>
      <c r="X13" s="451"/>
      <c r="Y13" s="452"/>
      <c r="Z13" s="453"/>
      <c r="AA13" s="449">
        <f>+AA19+AA52+AA57+AA62+AA68+AA74+AA79+AA85+AA90+AA95+AA100+AA105+AA110+AA115+AA120+AA126+AA132+AA138+AA143+AA184+AA198+AA148+AA173+AA22+AA28+AA46+AA34+AA153+AA158+AA163+AA168+AA40</f>
        <v>59773525</v>
      </c>
      <c r="AB13" s="450"/>
      <c r="AC13" s="451"/>
      <c r="AD13" s="452"/>
      <c r="AE13" s="453"/>
      <c r="AF13" s="449">
        <f>+AF19+AF52+AF57+AF62+AF68+AF74+AF79+AF85+AF90+AF95+AF100+AF105+AF110+AF115+AF120+AF126+AF132+AF138+AF143+AF184+AF198+AF148+AF173+AF22+AF28+AF46+AF34+AF153+AF158+AF163+AF168+AF40</f>
        <v>35573638</v>
      </c>
      <c r="AG13" s="450"/>
      <c r="AH13" s="451"/>
      <c r="AI13" s="452"/>
      <c r="AJ13" s="453"/>
      <c r="AK13" s="449">
        <f>+AK19+AK52+AK57+AK62+AK68+AK74+AK79+AK85+AK90+AK95+AK100+AK105+AK110+AK115+AK120+AK126+AK132+AK138+AK143+AK184+AK198+AK148+AK173+AK22+AK28+AK46+AK34+AK153+AK158+AK163+AK168+AK40</f>
        <v>47078533</v>
      </c>
      <c r="AL13" s="450"/>
      <c r="AM13" s="451"/>
      <c r="AN13" s="452"/>
      <c r="AO13" s="453"/>
      <c r="AP13" s="449">
        <f>+AP19+AP52+AP57+AP62+AP68+AP74+AP79+AP85+AP90+AP95+AP100+AP105+AP110+AP115+AP120+AP126+AP132+AP138+AP143+AP184+AP198+AP148+AP173+AP22+AP28+AP46+AP34+AP153+AP158+AP163+AP168+AP40</f>
        <v>49799971</v>
      </c>
      <c r="AQ13" s="450"/>
      <c r="AR13" s="451"/>
      <c r="AS13" s="452"/>
      <c r="AT13" s="453"/>
      <c r="AU13" s="449">
        <f>+AU19+AU52+AU57+AU62+AU68+AU74+AU79+AU85+AU90+AU95+AU100+AU105+AU110+AU115+AU120+AU126+AU132+AU138+AU143+AU184+AU198+AU148+AU173+AU22+AU28+AU46+AU34+AU153+AU158+AU163+AU168+AU40</f>
        <v>37061635</v>
      </c>
      <c r="AV13" s="450"/>
      <c r="AW13" s="451"/>
      <c r="AX13" s="452"/>
      <c r="AY13" s="453"/>
      <c r="AZ13" s="449">
        <f>+AZ19+AZ52+AZ57+AZ62+AZ68+AZ74+AZ79+AZ85+AZ90+AZ95+AZ100+AZ105+AZ110+AZ115+AZ120+AZ126+AZ132+AZ138+AZ143+AZ184+AZ198+AZ148+AZ173+AZ22+AZ28+AZ46+AZ34+AZ153+AZ158+AZ163+AZ168+AZ40</f>
        <v>44964861</v>
      </c>
      <c r="BA13" s="450"/>
      <c r="BB13" s="451"/>
      <c r="BC13" s="452"/>
      <c r="BD13" s="453"/>
      <c r="BE13" s="449">
        <f>+BE19+BE52+BE57+BE62+BE68+BE74+BE79+BE85+BE90+BE95+BE100+BE105+BE110+BE115+BE120+BE126+BE132+BE138+BE143+BE184+BE198+BE148+BE173+BE22+BE28+BE46+BE34+BE153+BE158+BE163+BE168+BE40</f>
        <v>34563245</v>
      </c>
      <c r="BF13" s="450"/>
      <c r="BG13" s="451"/>
      <c r="BH13" s="452"/>
      <c r="BI13" s="453"/>
      <c r="BJ13" s="449">
        <f>+BJ19+BJ52+BJ57+BJ62+BJ68+BJ74+BJ79+BJ85+BJ90+BJ95+BJ100+BJ105+BJ110+BJ115+BJ120+BJ126+BJ132+BJ138+BJ143+BJ184+BJ198+BJ148+BJ173+BJ22+BJ28+BJ46+BJ34+BJ153+BJ158+BJ163+BJ168+BJ40</f>
        <v>0</v>
      </c>
      <c r="BK13" s="450"/>
      <c r="BL13" s="451"/>
      <c r="BM13" s="452"/>
      <c r="BN13" s="453"/>
      <c r="BO13" s="449">
        <f>+BO19+BO52+BO57+BO62+BO68+BO74+BO79+BO85+BO90+BO95+BO100+BO105+BO110+BO115+BO120+BO126+BO132+BO138+BO143+BO184+BO198+BO148+BO173+BO22+BO28+BO46+BO34+BO153+BO158+BO163+BO168+BO40</f>
        <v>0</v>
      </c>
      <c r="BP13" s="450"/>
      <c r="BQ13" s="451"/>
      <c r="BR13" s="452"/>
      <c r="BS13" s="453"/>
      <c r="BT13" s="449">
        <f>+BT19+BT52+BT57+BT62+BT68+BT74+BT79+BT85+BT90+BT95+BT100+BT105+BT110+BT115+BT120+BT126+BT132+BT138+BT143+BT184+BT198+BT148+BT173+BT22+BT28+BT46+BT34+BT153+BT158+BT163+BT168+BT40</f>
        <v>423789224.29299998</v>
      </c>
      <c r="BU13" s="450"/>
      <c r="BV13" s="451"/>
      <c r="BW13" s="452"/>
      <c r="BX13" s="453"/>
      <c r="BY13" s="449">
        <f>+BY19+BY52+BY57+BY62+BY68+BY74+BY79+BY85+BY90+BY95+BY100+BY105+BY110+BY115+BY120+BY126+BY132+BY138+BY143+BY184+BY198+BY148+BY173+BY22+BY28+BY46+BY34+BY153+BY158+BY163+BY168+BY40</f>
        <v>293250059</v>
      </c>
      <c r="BZ13" s="450"/>
      <c r="CA13" s="451"/>
      <c r="CB13" s="452"/>
      <c r="CC13" s="453"/>
      <c r="CD13" s="449">
        <f>+CD19+CD52+CD57+CD62+CD68+CD74+CD79+CD85+CD90+CD95+CD100+CD105+CD110+CD115+CD120+CD126+CD132+CD138+CD143+CD184+CD198+CD148+CD173+CD22+CD28+CD46+CD34+CD153+CD158+CD163+CD168+CD40</f>
        <v>18959941</v>
      </c>
      <c r="CE13" s="450"/>
      <c r="CF13" s="451"/>
      <c r="CG13" s="452"/>
      <c r="CH13" s="453"/>
      <c r="CI13" s="449">
        <f>+CI19+CI52+CI57+CI62+CI68+CI74+CI79+CI85+CI90+CI95+CI100+CI105+CI110+CI115+CI120+CI126+CI132+CI138+CI143+CI184+CI198+CI148+CI173+CI22+CI28+CI46+CI34+CI153+CI158+CI163+CI168+CI40</f>
        <v>23896823</v>
      </c>
      <c r="CJ13" s="450"/>
      <c r="CK13" s="451"/>
      <c r="CL13" s="452"/>
      <c r="CM13" s="453"/>
      <c r="CN13" s="449">
        <f>+CN19+CN52+CN57+CN62+CN68+CN74+CN79+CN85+CN90+CN95+CN100+CN105+CN110+CN115+CN120+CN126+CN132+CN138+CN143+CN184+CN198+CN148+CN173+CN22+CN28+CN46+CN34+CN153+CN158+CN163+CN168+CN40</f>
        <v>18463838</v>
      </c>
      <c r="CO13" s="450"/>
      <c r="CP13" s="451"/>
      <c r="CQ13" s="452"/>
      <c r="CR13" s="453"/>
      <c r="CS13" s="449">
        <f>+CS19+CS52+CS57+CS62+CS68+CS74+CS79+CS85+CS90+CS95+CS100+CS105+CS110+CS115+CS120+CS126+CS132+CS138+CS143+CS184+CS198+CS148+CS173+CS22+CS28+CS46+CS34+CS153+CS158+CS163+CS168+CS40</f>
        <v>21885248</v>
      </c>
      <c r="CT13" s="450"/>
      <c r="CU13" s="451"/>
      <c r="CV13" s="452"/>
      <c r="CW13" s="453"/>
      <c r="CX13" s="449">
        <f>+CX19+CX52+CX57+CX62+CX68+CX74+CX79+CX85+CX90+CX95+CX100+CX105+CX110+CX115+CX120+CX126+CX132+CX138+CX143+CX184+CX198+CX148+CX173+CX22+CX28+CX46+CX34+CX153+CX158+CX163+CX168+CX40</f>
        <v>28048130</v>
      </c>
      <c r="CY13" s="450"/>
      <c r="CZ13" s="451"/>
      <c r="DA13" s="452"/>
      <c r="DB13" s="453"/>
      <c r="DC13" s="449">
        <f>+DC19+DC52+DC57+DC62+DC68+DC74+DC79+DC85+DC90+DC95+DC100+DC105+DC110+DC115+DC120+DC126+DC132+DC138+DC143+DC184+DC198+DC148+DC173+DC22+DC28+DC46+DC34+DC153+DC158+DC163+DC168+DC40</f>
        <v>28282304</v>
      </c>
      <c r="DD13" s="450"/>
      <c r="DE13" s="451"/>
      <c r="DF13" s="452"/>
      <c r="DG13" s="453"/>
      <c r="DH13" s="449">
        <f>+DH19+DH52+DH57+DH62+DH68+DH74+DH79+DH85+DH90+DH95+DH100+DH105+DH110+DH115+DH120+DH126+DH132+DH138+DH143+DH184+DH198+DH148+DH173+DH22+DH28+DH46+DH34+DH153+DH158+DH163+DH168+DH40</f>
        <v>29086988</v>
      </c>
      <c r="DI13" s="450"/>
      <c r="DJ13" s="451"/>
      <c r="DK13" s="452"/>
      <c r="DL13" s="453"/>
      <c r="DM13" s="449">
        <f>+DM19+DM52+DM57+DM62+DM68+DM74+DM79+DM85+DM90+DM95+DM100+DM105+DM110+DM115+DM120+DM126+DM132+DM138+DM143+DM184+DM198+DM148+DM173+DM22+DM28+DM46+DM34+DM153+DM158+DM163+DM168+DM40</f>
        <v>29883343</v>
      </c>
      <c r="DN13" s="450"/>
      <c r="DO13" s="451"/>
      <c r="DP13" s="452"/>
      <c r="DQ13" s="453"/>
      <c r="DR13" s="449">
        <f>+DR19+DR52+DR57+DR62+DR68+DR74+DR79+DR85+DR90+DR95+DR100+DR105+DR110+DR115+DR120+DR126+DR132+DR138+DR143+DR184+DR198+DR148+DR173+DR22+DR28+DR46+DR34+DR153+DR158+DR163+DR168+DR40</f>
        <v>23116933</v>
      </c>
      <c r="DS13" s="450"/>
      <c r="DT13" s="451"/>
      <c r="DU13" s="452"/>
      <c r="DV13" s="453"/>
      <c r="DW13" s="449">
        <f>+DW19+DW52+DW57+DW62+DW68+DW74+DW79+DW85+DW90+DW95+DW100+DW105+DW110+DW115+DW120+DW126+DW132+DW138+DW143+DW184+DW198+DW148+DW173+DW22+DW28+DW46+DW34+DW153+DW158+DW163+DW168+DW40</f>
        <v>18604025</v>
      </c>
      <c r="DX13" s="450"/>
      <c r="DY13" s="451"/>
      <c r="DZ13" s="452"/>
      <c r="EA13" s="453"/>
      <c r="EB13" s="449">
        <f>+EB19+EB52+EB57+EB62+EB68+EB74+EB79+EB85+EB90+EB95+EB100+EB105+EB110+EB115+EB120+EB126+EB132+EB138+EB143+EB184+EB198+EB148+EB173+EB22+EB28+EB46+EB34+EB153+EB158+EB163+EB168+EB40</f>
        <v>28287081</v>
      </c>
      <c r="EC13" s="450"/>
      <c r="ED13" s="451"/>
      <c r="EE13" s="452"/>
      <c r="EF13" s="453"/>
      <c r="EG13" s="449">
        <f>+EG19+EG52+EG57+EG62+EG68+EG74+EG79+EG85+EG90+EG95+EG100+EG105+EG110+EG115+EG120+EG126+EG132+EG138+EG143+EG184+EG198+EG148+EG173+EG22+EG28+EG46+EG34+EG153+EG158+EG163+EG168+EG40</f>
        <v>24735405</v>
      </c>
      <c r="EH13" s="450"/>
      <c r="EI13" s="451"/>
      <c r="EJ13" s="452"/>
      <c r="EK13" s="453"/>
      <c r="EL13" s="449">
        <f>+EL19+EL52+EL57+EL62+EL68+EL74+EL79+EL85+EL90+EL95+EL100+EL105+EL110+EL115+EL120+EL126+EL132+EL138+EL143+EL184+EL198+EL148+EL173+EL22+EL28+EL46+EL34+EL153+EL158+EL163+EL168+EL40</f>
        <v>240227573</v>
      </c>
      <c r="EM13" s="450"/>
      <c r="EN13" s="451"/>
      <c r="EO13" s="13"/>
      <c r="ER13" s="14"/>
      <c r="ES13" s="14"/>
      <c r="ET13" s="454"/>
    </row>
    <row r="14" spans="4:150" x14ac:dyDescent="0.2">
      <c r="D14" s="13" t="s">
        <v>307</v>
      </c>
      <c r="F14" s="198"/>
      <c r="G14" s="451">
        <v>52267000</v>
      </c>
      <c r="H14" s="455"/>
      <c r="I14" s="451"/>
      <c r="J14" s="452"/>
      <c r="K14" s="452"/>
      <c r="L14" s="451">
        <f>+L53+L58+L63+L69+L75+L80+L86+L91+L96+L101+L106+L111+L116+L121+L127+L133+L139+L144+L149+L174+L23+L29+L47+L35+L154+L159+L164+L169+L41</f>
        <v>4299769</v>
      </c>
      <c r="M14" s="455"/>
      <c r="N14" s="451"/>
      <c r="O14" s="452"/>
      <c r="P14" s="452"/>
      <c r="Q14" s="451">
        <f>+Q53+Q58+Q63+Q69+Q75+Q80+Q86+Q91+Q96+Q101+Q106+Q111+Q116+Q121+Q127+Q133+Q139+Q144+Q149+Q174+Q23+Q29+Q47+Q35+Q154+Q159+Q164+Q169+Q41</f>
        <v>4058204</v>
      </c>
      <c r="R14" s="455"/>
      <c r="S14" s="451"/>
      <c r="T14" s="452"/>
      <c r="U14" s="452"/>
      <c r="V14" s="451">
        <f>+V53+V58+V63+V69+V75+V80+V86+V91+V96+V101+V106+V111+V116+V121+V127+V133+V139+V144+V149+V174+V23+V29+V47+V35+V154+V159+V164+V169+V41</f>
        <v>6085389</v>
      </c>
      <c r="W14" s="455"/>
      <c r="X14" s="451"/>
      <c r="Y14" s="452"/>
      <c r="Z14" s="452"/>
      <c r="AA14" s="451">
        <f>+AA53+AA58+AA63+AA69+AA75+AA80+AA86+AA91+AA96+AA101+AA106+AA111+AA116+AA121+AA127+AA133+AA139+AA144+AA149+AA174+AA23+AA29+AA47+AA35+AA154+AA159+AA164+AA169+AA41</f>
        <v>8992564</v>
      </c>
      <c r="AB14" s="455"/>
      <c r="AC14" s="451"/>
      <c r="AD14" s="452"/>
      <c r="AE14" s="452"/>
      <c r="AF14" s="451">
        <f>+AF53+AF58+AF63+AF69+AF75+AF80+AF86+AF91+AF96+AF101+AF106+AF111+AF116+AF121+AF127+AF133+AF139+AF144+AF149+AF174+AF23+AF29+AF47+AF35+AF154+AF159+AF164+AF169+AF41</f>
        <v>6877121</v>
      </c>
      <c r="AG14" s="455"/>
      <c r="AH14" s="451"/>
      <c r="AI14" s="452"/>
      <c r="AJ14" s="452"/>
      <c r="AK14" s="451">
        <f>+AK53+AK58+AK63+AK69+AK75+AK80+AK86+AK91+AK96+AK101+AK106+AK111+AK116+AK121+AK127+AK133+AK139+AK144+AK149+AK174+AK23+AK29+AK47+AK35+AK154+AK159+AK164+AK169+AK41</f>
        <v>10836667</v>
      </c>
      <c r="AL14" s="455"/>
      <c r="AM14" s="451"/>
      <c r="AN14" s="452"/>
      <c r="AO14" s="452"/>
      <c r="AP14" s="451">
        <f>+AP53+AP58+AP63+AP69+AP75+AP80+AP86+AP91+AP96+AP101+AP106+AP111+AP116+AP121+AP127+AP133+AP139+AP144+AP149+AP174+AP23+AP29+AP47+AP35+AP154+AP159+AP164+AP169+AP41</f>
        <v>9026146</v>
      </c>
      <c r="AQ14" s="455"/>
      <c r="AR14" s="451"/>
      <c r="AS14" s="452"/>
      <c r="AT14" s="452"/>
      <c r="AU14" s="451">
        <f>+AU53+AU58+AU63+AU69+AU75+AU80+AU86+AU91+AU96+AU101+AU106+AU111+AU116+AU121+AU127+AU133+AU139+AU144+AU149+AU174+AU23+AU29+AU47+AU35+AU154+AU159+AU164+AU169+AU41</f>
        <v>7195171</v>
      </c>
      <c r="AV14" s="455"/>
      <c r="AW14" s="451"/>
      <c r="AX14" s="452"/>
      <c r="AY14" s="452"/>
      <c r="AZ14" s="451">
        <f>+AZ53+AZ58+AZ63+AZ69+AZ75+AZ80+AZ86+AZ91+AZ96+AZ101+AZ106+AZ111+AZ116+AZ121+AZ127+AZ133+AZ139+AZ144+AZ149+AZ174+AZ23+AZ29+AZ47+AZ35+AZ154+AZ159+AZ164+AZ169+AZ41</f>
        <v>6333842</v>
      </c>
      <c r="BA14" s="455"/>
      <c r="BB14" s="451"/>
      <c r="BC14" s="452"/>
      <c r="BD14" s="452"/>
      <c r="BE14" s="451">
        <f>+BE53+BE58+BE63+BE69+BE75+BE80+BE86+BE91+BE96+BE101+BE106+BE111+BE116+BE121+BE127+BE133+BE139+BE144+BE149+BE174+BE23+BE29+BE47+BE35+BE154+BE159+BE164+BE169+BE41</f>
        <v>3989426</v>
      </c>
      <c r="BF14" s="455"/>
      <c r="BG14" s="451"/>
      <c r="BH14" s="452"/>
      <c r="BI14" s="452"/>
      <c r="BJ14" s="451">
        <f>+BJ53+BJ58+BJ63+BJ69+BJ75+BJ80+BJ86+BJ91+BJ96+BJ101+BJ106+BJ111+BJ116+BJ121+BJ127+BJ133+BJ139+BJ144+BJ149+BJ174+BJ23+BJ29+BJ47+BJ35+BJ154+BJ159+BJ164+BJ169+BJ41</f>
        <v>0</v>
      </c>
      <c r="BK14" s="455"/>
      <c r="BL14" s="451"/>
      <c r="BM14" s="452"/>
      <c r="BN14" s="452"/>
      <c r="BO14" s="451">
        <f>+BO53+BO58+BO63+BO69+BO75+BO80+BO86+BO91+BO96+BO101+BO106+BO111+BO116+BO121+BO127+BO133+BO139+BO144+BO149+BO174+BO23+BO29+BO47+BO35+BO154+BO159+BO164+BO169+BO41</f>
        <v>0</v>
      </c>
      <c r="BP14" s="455"/>
      <c r="BQ14" s="451"/>
      <c r="BR14" s="452"/>
      <c r="BS14" s="452"/>
      <c r="BT14" s="451">
        <f>+BT53+BT58+BT63+BT69+BT75+BT80+BT86+BT91+BT96+BT101+BT106+BT111+BT116+BT121+BT127+BT133+BT139+BT144+BT149+BT174+BT23+BT29+BT47+BT35+BT154+BT159+BT164+BT169+BT41</f>
        <v>67694299</v>
      </c>
      <c r="BU14" s="455"/>
      <c r="BV14" s="451"/>
      <c r="BW14" s="452"/>
      <c r="BX14" s="452"/>
      <c r="BY14" s="451">
        <f>+BY53+BY58+BY63+BY69+BY75+BY80+BY86+BY91+BY96+BY101+BY106+BY111+BY116+BY121+BY127+BY133+BY139+BY144+BY149+BY174+BY23+BY29+BY47+BY35+BY154+BY159+BY164+BY169+BY41</f>
        <v>29779023</v>
      </c>
      <c r="BZ14" s="455"/>
      <c r="CA14" s="451"/>
      <c r="CB14" s="452"/>
      <c r="CC14" s="452"/>
      <c r="CD14" s="451">
        <f>+CD53+CD58+CD63+CD69+CD75+CD80+CD86+CD91+CD96+CD101+CD106+CD111+CD116+CD121+CD127+CD133+CD139+CD144+CD149+CD174+CD23+CD29+CD47+CD35+CD154+CD159+CD164+CD169+CD41</f>
        <v>1256954</v>
      </c>
      <c r="CE14" s="455"/>
      <c r="CF14" s="451"/>
      <c r="CG14" s="452"/>
      <c r="CH14" s="452"/>
      <c r="CI14" s="451">
        <f>+CI53+CI58+CI63+CI69+CI75+CI80+CI86+CI91+CI96+CI101+CI106+CI111+CI116+CI121+CI127+CI133+CI139+CI144+CI149+CI174+CI23+CI29+CI47+CI35+CI154+CI159+CI164+CI169+CI41</f>
        <v>1652532</v>
      </c>
      <c r="CJ14" s="455"/>
      <c r="CK14" s="451"/>
      <c r="CL14" s="452"/>
      <c r="CM14" s="452"/>
      <c r="CN14" s="451">
        <f>+CN53+CN58+CN63+CN69+CN75+CN80+CN86+CN91+CN96+CN101+CN106+CN111+CN116+CN121+CN127+CN133+CN139+CN144+CN149+CN174+CN23+CN29+CN47+CN35+CN154+CN159+CN164+CN169+CN41</f>
        <v>1668026</v>
      </c>
      <c r="CO14" s="455"/>
      <c r="CP14" s="451"/>
      <c r="CQ14" s="452"/>
      <c r="CR14" s="452"/>
      <c r="CS14" s="451">
        <f>+CS53+CS58+CS63+CS69+CS75+CS80+CS86+CS91+CS96+CS101+CS106+CS111+CS116+CS121+CS127+CS133+CS139+CS144+CS149+CS174+CS23+CS29+CS47+CS35+CS154+CS159+CS164+CS169+CS41</f>
        <v>1721005</v>
      </c>
      <c r="CT14" s="455"/>
      <c r="CU14" s="451"/>
      <c r="CV14" s="452"/>
      <c r="CW14" s="452"/>
      <c r="CX14" s="451">
        <f>+CX53+CX58+CX63+CX69+CX75+CX80+CX86+CX91+CX96+CX101+CX106+CX111+CX116+CX121+CX127+CX133+CX139+CX144+CX149+CX174+CX23+CX29+CX47+CX35+CX154+CX159+CX164+CX169+CX41</f>
        <v>2422421</v>
      </c>
      <c r="CY14" s="455"/>
      <c r="CZ14" s="451"/>
      <c r="DA14" s="452"/>
      <c r="DB14" s="452"/>
      <c r="DC14" s="451">
        <f>+DC53+DC58+DC63+DC69+DC75+DC80+DC86+DC91+DC96+DC101+DC106+DC111+DC116+DC121+DC127+DC133+DC139+DC144+DC149+DC174+DC23+DC29+DC47+DC35+DC154+DC159+DC164+DC169+DC41</f>
        <v>2517677</v>
      </c>
      <c r="DD14" s="455"/>
      <c r="DE14" s="451"/>
      <c r="DF14" s="452"/>
      <c r="DG14" s="452"/>
      <c r="DH14" s="451">
        <f>+DH53+DH58+DH63+DH69+DH75+DH80+DH86+DH91+DH96+DH101+DH106+DH111+DH116+DH121+DH127+DH133+DH139+DH144+DH149+DH174+DH23+DH29+DH47+DH35+DH154+DH159+DH164+DH169+DH41</f>
        <v>2852893</v>
      </c>
      <c r="DI14" s="455"/>
      <c r="DJ14" s="451"/>
      <c r="DK14" s="452"/>
      <c r="DL14" s="452"/>
      <c r="DM14" s="451">
        <f>+DM53+DM58+DM63+DM69+DM75+DM80+DM86+DM91+DM96+DM101+DM106+DM111+DM116+DM121+DM127+DM133+DM139+DM144+DM149+DM174+DM23+DM29+DM47+DM35+DM154+DM159+DM164+DM169+DM41</f>
        <v>3497342</v>
      </c>
      <c r="DN14" s="455"/>
      <c r="DO14" s="451"/>
      <c r="DP14" s="452"/>
      <c r="DQ14" s="452"/>
      <c r="DR14" s="451">
        <f>+DR53+DR58+DR63+DR69+DR75+DR80+DR86+DR91+DR96+DR101+DR106+DR111+DR116+DR121+DR127+DR133+DR139+DR144+DR149+DR174+DR23+DR29+DR47+DR35+DR154+DR159+DR164+DR169+DR41</f>
        <v>2287072</v>
      </c>
      <c r="DS14" s="455"/>
      <c r="DT14" s="451"/>
      <c r="DU14" s="452"/>
      <c r="DV14" s="452"/>
      <c r="DW14" s="451">
        <f>+DW53+DW58+DW63+DW69+DW75+DW80+DW86+DW91+DW96+DW101+DW106+DW111+DW116+DW121+DW127+DW133+DW139+DW144+DW149+DW174+DW23+DW29+DW47+DW35+DW154+DW159+DW164+DW169+DW41</f>
        <v>2282238</v>
      </c>
      <c r="DX14" s="455"/>
      <c r="DY14" s="451"/>
      <c r="DZ14" s="452"/>
      <c r="EA14" s="452"/>
      <c r="EB14" s="451">
        <f>+EB53+EB58+EB63+EB69+EB75+EB80+EB86+EB91+EB96+EB101+EB106+EB111+EB116+EB121+EB127+EB133+EB139+EB144+EB149+EB174+EB23+EB29+EB47+EB35+EB154+EB159+EB164+EB169+EB41</f>
        <v>2868557</v>
      </c>
      <c r="EC14" s="455"/>
      <c r="ED14" s="451"/>
      <c r="EE14" s="452"/>
      <c r="EF14" s="452"/>
      <c r="EG14" s="451">
        <f>+EG53+EG58+EG63+EG69+EG75+EG80+EG86+EG91+EG96+EG101+EG106+EG111+EG116+EG121+EG127+EG133+EG139+EG144+EG149+EG174+EG23+EG29+EG47+EG35+EG154+EG159+EG164+EG169+EG41</f>
        <v>4752306</v>
      </c>
      <c r="EH14" s="455"/>
      <c r="EI14" s="451"/>
      <c r="EJ14" s="452"/>
      <c r="EK14" s="452"/>
      <c r="EL14" s="451">
        <f>+EL53+EL58+EL63+EL69+EL75+EL80+EL86+EL91+EL96+EL101+EL106+EL111+EL116+EL121+EL127+EL133+EL139+EL144+EL149+EL174+EL23+EL29+EL47+EL35+EL154+EL159+EL164+EL169+EL41</f>
        <v>22158160</v>
      </c>
      <c r="EM14" s="455"/>
      <c r="EN14" s="451"/>
      <c r="EO14" s="13"/>
      <c r="ER14" s="14"/>
      <c r="ES14" s="14"/>
      <c r="ET14" s="454"/>
    </row>
    <row r="15" spans="4:150" x14ac:dyDescent="0.2">
      <c r="D15" s="13" t="s">
        <v>344</v>
      </c>
      <c r="F15" s="198"/>
      <c r="G15" s="383">
        <v>0</v>
      </c>
      <c r="H15" s="189"/>
      <c r="J15" s="198"/>
      <c r="K15" s="198"/>
      <c r="L15" s="451">
        <f>+L54+L59+L64+L70+L76+L81+L87+L92+L97+L102+L107+L112+L117+L122+L128+L134+L140+L145+L150+L175+L24+L30+L48+L36+L155+L160+L165+L170+L42</f>
        <v>-376261</v>
      </c>
      <c r="M15" s="455"/>
      <c r="N15" s="451"/>
      <c r="O15" s="452"/>
      <c r="P15" s="452"/>
      <c r="Q15" s="451">
        <f>+Q54+Q59+Q64+Q70+Q76+Q81+Q87+Q92+Q97+Q102+Q107+Q112+Q117+Q122+Q128+Q134+Q140+Q145+Q150+Q175+Q24+Q30+Q48+Q36+Q155+Q160+Q165+Q170+Q42</f>
        <v>-1466989</v>
      </c>
      <c r="R15" s="455"/>
      <c r="S15" s="451"/>
      <c r="T15" s="452"/>
      <c r="U15" s="452"/>
      <c r="V15" s="451">
        <f>+V54+V59+V64+V70+V76+V81+V87+V92+V97+V102+V107+V112+V117+V122+V128+V134+V140+V145+V150+V175+V24+V30+V48+V36+V155+V160+V165+V170+V42</f>
        <v>-764417</v>
      </c>
      <c r="W15" s="455"/>
      <c r="X15" s="451"/>
      <c r="Y15" s="452"/>
      <c r="Z15" s="452"/>
      <c r="AA15" s="451">
        <f>+AA54+AA59+AA64+AA70+AA76+AA81+AA87+AA92+AA97+AA102+AA107+AA112+AA117+AA122+AA128+AA134+AA140+AA145+AA150+AA175+AA24+AA30+AA48+AA36+AA155+AA160+AA165+AA170+AA42</f>
        <v>-2780721</v>
      </c>
      <c r="AB15" s="455"/>
      <c r="AC15" s="451"/>
      <c r="AD15" s="452"/>
      <c r="AE15" s="452"/>
      <c r="AF15" s="451">
        <f>+AF54+AF59+AF64+AF70+AF76+AF81+AF87+AF92+AF97+AF102+AF107+AF112+AF117+AF122+AF128+AF134+AF140+AF145+AF150+AF175+AF24+AF30+AF48+AF36+AF155+AF160+AF165+AF170+AF42</f>
        <v>-1213553</v>
      </c>
      <c r="AG15" s="455"/>
      <c r="AH15" s="451"/>
      <c r="AI15" s="452"/>
      <c r="AJ15" s="452"/>
      <c r="AK15" s="451">
        <f>+AK54+AK59+AK64+AK70+AK76+AK81+AK87+AK92+AK97+AK102+AK107+AK112+AK117+AK122+AK128+AK134+AK140+AK145+AK150+AK175+AK24+AK30+AK48+AK36+AK155+AK160+AK165+AK170+AK42</f>
        <v>-716835</v>
      </c>
      <c r="AL15" s="455"/>
      <c r="AM15" s="451"/>
      <c r="AN15" s="452"/>
      <c r="AO15" s="452"/>
      <c r="AP15" s="451">
        <f>+AP54+AP59+AP64+AP70+AP76+AP81+AP87+AP92+AP97+AP102+AP107+AP112+AP117+AP122+AP128+AP134+AP140+AP145+AP150+AP175+AP24+AP30+AP48+AP36+AP155+AP160+AP165+AP170+AP42</f>
        <v>-2010551</v>
      </c>
      <c r="AQ15" s="455"/>
      <c r="AR15" s="451"/>
      <c r="AS15" s="452"/>
      <c r="AT15" s="452"/>
      <c r="AU15" s="451">
        <f>+AU54+AU59+AU64+AU70+AU76+AU81+AU87+AU92+AU97+AU102+AU107+AU112+AU117+AU122+AU128+AU134+AU140+AU145+AU150+AU175+AU24+AU30+AU48+AU36+AU155+AU160+AU165+AU170+AU42</f>
        <v>-777625</v>
      </c>
      <c r="AV15" s="455"/>
      <c r="AW15" s="451"/>
      <c r="AX15" s="452"/>
      <c r="AY15" s="452"/>
      <c r="AZ15" s="451">
        <f>+AZ54+AZ59+AZ64+AZ70+AZ76+AZ81+AZ87+AZ92+AZ97+AZ102+AZ107+AZ112+AZ117+AZ122+AZ128+AZ134+AZ140+AZ145+AZ150+AZ175+AZ24+AZ30+AZ48+AZ36+AZ155+AZ160+AZ165+AZ170+AZ42</f>
        <v>-2213621</v>
      </c>
      <c r="BA15" s="455"/>
      <c r="BB15" s="451"/>
      <c r="BC15" s="452"/>
      <c r="BD15" s="452"/>
      <c r="BE15" s="451">
        <f>+BE54+BE59+BE64+BE70+BE76+BE81+BE87+BE92+BE97+BE102+BE107+BE112+BE117+BE122+BE128+BE134+BE140+BE145+BE150+BE175+BE24+BE30+BE48+BE36+BE155+BE160+BE165+BE170+BE42</f>
        <v>-1216723</v>
      </c>
      <c r="BF15" s="455"/>
      <c r="BG15" s="451"/>
      <c r="BH15" s="452"/>
      <c r="BI15" s="452"/>
      <c r="BJ15" s="451">
        <f>+BJ54+BJ59+BJ64+BJ70+BJ76+BJ81+BJ87+BJ92+BJ97+BJ102+BJ107+BJ112+BJ117+BJ122+BJ128+BJ134+BJ140+BJ145+BJ150+BJ175+BJ24+BJ30+BJ48+BJ36+BJ155+BJ160+BJ165+BJ170+BJ42</f>
        <v>0</v>
      </c>
      <c r="BK15" s="455"/>
      <c r="BL15" s="451"/>
      <c r="BM15" s="452"/>
      <c r="BN15" s="452"/>
      <c r="BO15" s="451">
        <f>+BO54+BO59+BO64+BO70+BO76+BO81+BO87+BO92+BO97+BO102+BO107+BO112+BO117+BO122+BO128+BO134+BO140+BO145+BO150+BO175+BO24+BO30+BO48+BO36+BO155+BO160+BO165+BO170+BO42</f>
        <v>0</v>
      </c>
      <c r="BP15" s="455"/>
      <c r="BQ15" s="451"/>
      <c r="BR15" s="452"/>
      <c r="BS15" s="452"/>
      <c r="BT15" s="451">
        <f>+BT54+BT59+BT64+BT70+BT76+BT81+BT87+BT92+BT97+BT102+BT107+BT112+BT117+BT122+BT128+BT134+BT140+BT145+BT150+BT175+BT24+BT30+BT48+BT36+BT155+BT160+BT165+BT170+BT42</f>
        <v>-13537296</v>
      </c>
      <c r="BU15" s="455"/>
      <c r="BV15" s="451"/>
      <c r="BW15" s="452"/>
      <c r="BX15" s="452"/>
      <c r="BY15" s="451">
        <f>+BY54+BY59+BY64+BY70+BY76+BY81+BY87+BY92+BY97+BY102+BY107+BY112+BY117+BY122+BY128+BY134+BY140+BY145+BY150+BY175+BY24+BY30+BY48+BY36+BY155+BY160+BY165+BY170+BY42</f>
        <v>-3462654</v>
      </c>
      <c r="BZ15" s="189"/>
      <c r="CB15" s="198"/>
      <c r="CC15" s="198"/>
      <c r="CD15" s="451">
        <f>+CD54+CD59+CD64+CD70+CD76+CD81+CD87+CD92+CD97+CD102+CD107+CD112+CD117+CD122+CD128+CD134+CD140+CD145+CD150+CD175+CD24+CD30+CD48+CD36+CD155+CD160+CD165+CD170+CD42</f>
        <v>-236014</v>
      </c>
      <c r="CE15" s="455"/>
      <c r="CF15" s="451"/>
      <c r="CG15" s="452"/>
      <c r="CH15" s="452"/>
      <c r="CI15" s="451">
        <f>+CI54+CI59+CI64+CI70+CI76+CI81+CI87+CI92+CI97+CI102+CI107+CI112+CI117+CI122+CI128+CI134+CI140+CI145+CI150+CI175+CI24+CI30+CI48+CI36+CI155+CI160+CI165+CI170+CI42</f>
        <v>-324359</v>
      </c>
      <c r="CJ15" s="455"/>
      <c r="CK15" s="451"/>
      <c r="CL15" s="452"/>
      <c r="CM15" s="452"/>
      <c r="CN15" s="451">
        <f>+CN54+CN59+CN64+CN70+CN76+CN81+CN87+CN92+CN97+CN102+CN107+CN112+CN117+CN122+CN128+CN134+CN140+CN145+CN150+CN175+CN24+CN30+CN48+CN36+CN155+CN160+CN165+CN170+CN42</f>
        <v>-183896</v>
      </c>
      <c r="CO15" s="455"/>
      <c r="CP15" s="451"/>
      <c r="CQ15" s="452"/>
      <c r="CR15" s="452"/>
      <c r="CS15" s="451">
        <f>+CS54+CS59+CS64+CS70+CS76+CS81+CS87+CS92+CS97+CS102+CS107+CS112+CS117+CS122+CS128+CS134+CS140+CS145+CS150+CS175+CS24+CS30+CS48+CS36+CS155+CS160+CS165+CS170+CS42</f>
        <v>-236661</v>
      </c>
      <c r="CT15" s="455"/>
      <c r="CU15" s="451"/>
      <c r="CV15" s="452"/>
      <c r="CW15" s="452"/>
      <c r="CX15" s="451">
        <f>+CX54+CX59+CX64+CX70+CX76+CX81+CX87+CX92+CX97+CX102+CX107+CX112+CX117+CX122+CX128+CX134+CX140+CX145+CX150+CX175+CX24+CX30+CX48+CX36+CX155+CX160+CX165+CX170+CX42</f>
        <v>-513408</v>
      </c>
      <c r="CY15" s="455"/>
      <c r="CZ15" s="451"/>
      <c r="DA15" s="452"/>
      <c r="DB15" s="452"/>
      <c r="DC15" s="451">
        <f>+DC54+DC59+DC64+DC70+DC76+DC81+DC87+DC92+DC97+DC102+DC107+DC112+DC117+DC122+DC128+DC134+DC140+DC145+DC150+DC175+DC24+DC30+DC48+DC36+DC155+DC160+DC165+DC170+DC42</f>
        <v>-241446</v>
      </c>
      <c r="DD15" s="455"/>
      <c r="DE15" s="451"/>
      <c r="DF15" s="452"/>
      <c r="DG15" s="452"/>
      <c r="DH15" s="451">
        <f>+DH54+DH59+DH64+DH70+DH76+DH81+DH87+DH92+DH97+DH102+DH107+DH112+DH117+DH122+DH128+DH134+DH140+DH145+DH150+DH175+DH24+DH30+DH48+DH36+DH155+DH160+DH165+DH170+DH42</f>
        <v>-54544</v>
      </c>
      <c r="DI15" s="455"/>
      <c r="DJ15" s="451"/>
      <c r="DK15" s="452"/>
      <c r="DL15" s="452"/>
      <c r="DM15" s="451">
        <f>+DM54+DM59+DM64+DM70+DM76+DM81+DM87+DM92+DM97+DM102+DM107+DM112+DM117+DM122+DM128+DM134+DM140+DM145+DM150+DM175+DM24+DM30+DM48+DM36+DM155+DM160+DM165+DM170+DM42</f>
        <v>-368953</v>
      </c>
      <c r="DN15" s="455"/>
      <c r="DO15" s="451"/>
      <c r="DP15" s="452"/>
      <c r="DQ15" s="452"/>
      <c r="DR15" s="451">
        <f>+DR54+DR59+DR64+DR70+DR76+DR81+DR87+DR92+DR97+DR102+DR107+DR112+DR117+DR122+DR128+DR134+DR140+DR145+DR150+DR175+DR24+DR30+DR48+DR36+DR155+DR160+DR165+DR170+DR42</f>
        <v>-133270</v>
      </c>
      <c r="DS15" s="455"/>
      <c r="DT15" s="451"/>
      <c r="DU15" s="452"/>
      <c r="DV15" s="452"/>
      <c r="DW15" s="451">
        <f>+DW54+DW59+DW64+DW70+DW76+DW81+DW87+DW92+DW97+DW102+DW107+DW112+DW117+DW122+DW128+DW134+DW140+DW145+DW150+DW175+DW24+DW30+DW48+DW36+DW155+DW160+DW165+DW170+DW42</f>
        <v>-279324</v>
      </c>
      <c r="DX15" s="455"/>
      <c r="DY15" s="451"/>
      <c r="DZ15" s="452"/>
      <c r="EA15" s="452"/>
      <c r="EB15" s="451">
        <f>+EB54+EB59+EB64+EB70+EB76+EB81+EB87+EB92+EB97+EB102+EB107+EB112+EB117+EB122+EB128+EB134+EB140+EB145+EB150+EB175+EB24+EB30+EB48+EB36+EB155+EB160+EB165+EB170+EB42</f>
        <v>-508862</v>
      </c>
      <c r="EC15" s="455"/>
      <c r="ED15" s="451"/>
      <c r="EE15" s="452"/>
      <c r="EF15" s="452"/>
      <c r="EG15" s="451">
        <f>+EG54+EG59+EG64+EG70+EG76+EG81+EG87+EG92+EG97+EG102+EG107+EG112+EG117+EG122+EG128+EG134+EG140+EG145+EG150+EG175+EG24+EG30+EG48+EG36+EG155+EG160+EG165+EG170+EG42</f>
        <v>-381917</v>
      </c>
      <c r="EH15" s="455"/>
      <c r="EI15" s="451"/>
      <c r="EJ15" s="452"/>
      <c r="EK15" s="452"/>
      <c r="EL15" s="451">
        <f>+EL54+EL59+EL64+EL70+EL76+EL81+EL87+EL92+EL97+EL102+EL107+EL112+EL117+EL122+EL128+EL134+EL140+EL145+EL150+EL175+EL24+EL30+EL48+EL36+EL155+EL160+EL165+EL170+EL42</f>
        <v>-2571875</v>
      </c>
      <c r="EM15" s="455"/>
      <c r="EN15" s="451"/>
      <c r="EO15" s="13"/>
      <c r="ER15" s="14"/>
      <c r="ES15" s="14"/>
      <c r="ET15" s="454"/>
    </row>
    <row r="16" spans="4:150" x14ac:dyDescent="0.2">
      <c r="D16" s="13" t="s">
        <v>345</v>
      </c>
      <c r="F16" s="385"/>
      <c r="G16" s="386">
        <v>0</v>
      </c>
      <c r="H16" s="212"/>
      <c r="J16" s="198"/>
      <c r="K16" s="385"/>
      <c r="L16" s="201">
        <f>+L65+L71+L82+L123+L129+L135+L25+L31+L49+L37+L43</f>
        <v>2018135</v>
      </c>
      <c r="M16" s="212"/>
      <c r="O16" s="198"/>
      <c r="P16" s="385"/>
      <c r="Q16" s="201">
        <f>+Q65+Q71+Q82+Q123+Q129+Q135+Q25+Q31+Q49+Q37+Q43</f>
        <v>1702088.4509999999</v>
      </c>
      <c r="R16" s="212"/>
      <c r="T16" s="198"/>
      <c r="U16" s="385"/>
      <c r="V16" s="201">
        <f>+V65+V71+V82+V123+V129+V135+V25+V31+V49+V37+V43</f>
        <v>2453020</v>
      </c>
      <c r="W16" s="212"/>
      <c r="Y16" s="198"/>
      <c r="Z16" s="385"/>
      <c r="AA16" s="201">
        <f>+AA65+AA71+AA82+AA123+AA129+AA135+AA25+AA31+AA49+AA37+AA43</f>
        <v>3947663</v>
      </c>
      <c r="AB16" s="212"/>
      <c r="AD16" s="198"/>
      <c r="AE16" s="385"/>
      <c r="AF16" s="201">
        <f>+AF65+AF71+AF82+AF123+AF129+AF135+AF25+AF31+AF49+AF37+AF43</f>
        <v>3082152</v>
      </c>
      <c r="AG16" s="212"/>
      <c r="AI16" s="198"/>
      <c r="AJ16" s="385"/>
      <c r="AK16" s="201">
        <f>+AK65+AK71+AK82+AK123+AK129+AK135+AK25+AK31+AK49+AK37+AK43</f>
        <v>4288478</v>
      </c>
      <c r="AL16" s="212"/>
      <c r="AN16" s="198"/>
      <c r="AO16" s="385"/>
      <c r="AP16" s="201">
        <f>+AP65+AP71+AP82+AP123+AP129+AP135+AP25+AP31+AP49+AP37+AP43</f>
        <v>3115855</v>
      </c>
      <c r="AQ16" s="212"/>
      <c r="AS16" s="198"/>
      <c r="AT16" s="385"/>
      <c r="AU16" s="201">
        <f>+AU65+AU71+AU82+AU123+AU129+AU135+AU25+AU31+AU49+AU37+AU43</f>
        <v>3155729</v>
      </c>
      <c r="AV16" s="212"/>
      <c r="AX16" s="198"/>
      <c r="AY16" s="385"/>
      <c r="AZ16" s="201">
        <f>+AZ65+AZ71+AZ82+AZ123+AZ129+AZ135+AZ25+AZ31+AZ49+AZ37+AZ43</f>
        <v>3106316</v>
      </c>
      <c r="BA16" s="212"/>
      <c r="BC16" s="198"/>
      <c r="BD16" s="385"/>
      <c r="BE16" s="201">
        <f>+BE65+BE71+BE82+BE123+BE129+BE135+BE25+BE31+BE49+BE37+BE43</f>
        <v>1724690</v>
      </c>
      <c r="BF16" s="212"/>
      <c r="BH16" s="198"/>
      <c r="BI16" s="385"/>
      <c r="BJ16" s="201">
        <f>+BJ65+BJ71+BJ82+BJ123+BJ129+BJ135+BJ25+BJ31+BJ49+BJ37+BJ43</f>
        <v>0</v>
      </c>
      <c r="BK16" s="212"/>
      <c r="BM16" s="198"/>
      <c r="BN16" s="385"/>
      <c r="BO16" s="201">
        <f>+BO65+BO71+BO82+BO123+BO129+BO135+BO25+BO31+BO49+BO37+BO43</f>
        <v>0</v>
      </c>
      <c r="BP16" s="212"/>
      <c r="BR16" s="198"/>
      <c r="BS16" s="385"/>
      <c r="BT16" s="201">
        <f>+BT65+BT71+BT82+BT123+BT129+BT135+BT25+BT31+BT49+BT37+BT43</f>
        <v>28594126.450999998</v>
      </c>
      <c r="BU16" s="212"/>
      <c r="BW16" s="198"/>
      <c r="BX16" s="385"/>
      <c r="BY16" s="201">
        <f>+BY65+BY71+BY82+BY123+BY129+BY135+BY25+BY31+BY49+BY37+BY43</f>
        <v>15951121</v>
      </c>
      <c r="BZ16" s="212"/>
      <c r="CB16" s="198"/>
      <c r="CC16" s="385"/>
      <c r="CD16" s="201">
        <f>+CD65+CD71+CD82+CD123+CD129+CD135+CD25+CD31+CD49+CD37+CD43</f>
        <v>744995</v>
      </c>
      <c r="CE16" s="212"/>
      <c r="CG16" s="198"/>
      <c r="CH16" s="385"/>
      <c r="CI16" s="201">
        <f>+CI65+CI71+CI82+CI123+CI129+CI135+CI25+CI31+CI49+CI37+CI43</f>
        <v>1354255</v>
      </c>
      <c r="CJ16" s="212"/>
      <c r="CL16" s="198"/>
      <c r="CM16" s="385"/>
      <c r="CN16" s="201">
        <f>+CN65+CN71+CN82+CN123+CN129+CN135+CN25+CN31+CN49+CN37+CN43</f>
        <v>1176239</v>
      </c>
      <c r="CO16" s="212"/>
      <c r="CQ16" s="198"/>
      <c r="CR16" s="385"/>
      <c r="CS16" s="201">
        <f>+CS65+CS71+CS82+CS123+CS129+CS135+CS25+CS31+CS49+CS37+CS43</f>
        <v>1391236</v>
      </c>
      <c r="CT16" s="212"/>
      <c r="CV16" s="198"/>
      <c r="CW16" s="385"/>
      <c r="CX16" s="201">
        <f>+CX65+CX71+CX82+CX123+CX129+CX135+CX25+CX31+CX49+CX37+CX43</f>
        <v>947591</v>
      </c>
      <c r="CY16" s="212"/>
      <c r="DA16" s="198"/>
      <c r="DB16" s="385"/>
      <c r="DC16" s="201">
        <f>+DC65+DC71+DC82+DC123+DC129+DC135+DC25+DC31+DC49+DC37+DC43</f>
        <v>1530912</v>
      </c>
      <c r="DD16" s="212"/>
      <c r="DF16" s="198"/>
      <c r="DG16" s="385"/>
      <c r="DH16" s="201">
        <f>+DH65+DH71+DH82+DH123+DH129+DH135+DH25+DH31+DH49+DH37+DH43</f>
        <v>2085548</v>
      </c>
      <c r="DI16" s="212"/>
      <c r="DK16" s="198"/>
      <c r="DL16" s="385"/>
      <c r="DM16" s="201">
        <f>+DM65+DM71+DM82+DM123+DM129+DM135+DM25+DM31+DM49+DM37+DM43</f>
        <v>1577103</v>
      </c>
      <c r="DN16" s="212"/>
      <c r="DP16" s="198"/>
      <c r="DQ16" s="385"/>
      <c r="DR16" s="201">
        <f>+DR65+DR71+DR82+DR123+DR129+DR135+DR25+DR31+DR49+DR37+DR43</f>
        <v>1205598</v>
      </c>
      <c r="DS16" s="212"/>
      <c r="DU16" s="198"/>
      <c r="DV16" s="385"/>
      <c r="DW16" s="201">
        <f>+DW65+DW71+DW82+DW123+DW129+DW135+DW25+DW31+DW49+DW37+DW43</f>
        <v>955833</v>
      </c>
      <c r="DX16" s="212"/>
      <c r="DZ16" s="198"/>
      <c r="EA16" s="385"/>
      <c r="EB16" s="201">
        <f>+EB65+EB71+EB82+EB123+EB129+EB135+EB25+EB31+EB49+EB37+EB43</f>
        <v>1620759</v>
      </c>
      <c r="EC16" s="212"/>
      <c r="EE16" s="198"/>
      <c r="EF16" s="385"/>
      <c r="EG16" s="201">
        <f>+EG65+EG71+EG82+EG123+EG129+EG135+EG25+EG31+EG49+EG37+EG43</f>
        <v>1361052</v>
      </c>
      <c r="EH16" s="212"/>
      <c r="EJ16" s="198"/>
      <c r="EK16" s="385"/>
      <c r="EL16" s="201">
        <f>+EL65+EL71+EL82+EL123+EL129+EL135+EL25+EL31+EL49+EL37+EL43</f>
        <v>12969310</v>
      </c>
      <c r="EM16" s="212"/>
      <c r="EO16" s="13"/>
      <c r="ER16" s="14"/>
      <c r="ES16" s="14"/>
    </row>
    <row r="17" spans="4:149" x14ac:dyDescent="0.2">
      <c r="D17" s="13"/>
      <c r="G17" s="451"/>
      <c r="H17" s="451"/>
      <c r="I17" s="451"/>
      <c r="J17" s="452"/>
      <c r="K17" s="451"/>
      <c r="L17" s="451"/>
      <c r="M17" s="451"/>
      <c r="N17" s="451"/>
      <c r="O17" s="452"/>
      <c r="P17" s="451"/>
      <c r="Q17" s="451"/>
      <c r="R17" s="451"/>
      <c r="S17" s="451"/>
      <c r="T17" s="452"/>
      <c r="U17" s="451"/>
      <c r="V17" s="451"/>
      <c r="W17" s="451"/>
      <c r="X17" s="451"/>
      <c r="Y17" s="452"/>
      <c r="Z17" s="451"/>
      <c r="AA17" s="451"/>
      <c r="AB17" s="451"/>
      <c r="AC17" s="451"/>
      <c r="AD17" s="452"/>
      <c r="AE17" s="451"/>
      <c r="AF17" s="451"/>
      <c r="AG17" s="451"/>
      <c r="AH17" s="451"/>
      <c r="AI17" s="452"/>
      <c r="AJ17" s="451"/>
      <c r="AK17" s="451"/>
      <c r="AL17" s="451"/>
      <c r="AM17" s="451"/>
      <c r="AN17" s="452"/>
      <c r="AO17" s="451"/>
      <c r="AP17" s="451"/>
      <c r="AQ17" s="451"/>
      <c r="AR17" s="451"/>
      <c r="AS17" s="452"/>
      <c r="AT17" s="451"/>
      <c r="AU17" s="451"/>
      <c r="AV17" s="451"/>
      <c r="AW17" s="451"/>
      <c r="AX17" s="452"/>
      <c r="AY17" s="451"/>
      <c r="AZ17" s="451"/>
      <c r="BA17" s="451"/>
      <c r="BB17" s="451"/>
      <c r="BC17" s="452"/>
      <c r="BD17" s="451"/>
      <c r="BE17" s="451"/>
      <c r="BF17" s="451"/>
      <c r="BG17" s="451"/>
      <c r="BH17" s="452"/>
      <c r="BI17" s="451"/>
      <c r="BJ17" s="451"/>
      <c r="BK17" s="451"/>
      <c r="BL17" s="451"/>
      <c r="BM17" s="452"/>
      <c r="BN17" s="451"/>
      <c r="BO17" s="451"/>
      <c r="BP17" s="451"/>
      <c r="BQ17" s="451"/>
      <c r="BR17" s="452"/>
      <c r="BS17" s="451"/>
      <c r="BT17" s="451"/>
      <c r="BU17" s="451"/>
      <c r="BV17" s="451"/>
      <c r="BW17" s="452"/>
      <c r="BX17" s="451"/>
      <c r="BY17" s="451"/>
      <c r="BZ17" s="451"/>
      <c r="CA17" s="451"/>
      <c r="CB17" s="452"/>
      <c r="CC17" s="451"/>
      <c r="CD17" s="451"/>
      <c r="CE17" s="451"/>
      <c r="CF17" s="451"/>
      <c r="CG17" s="452"/>
      <c r="CH17" s="451"/>
      <c r="CI17" s="451"/>
      <c r="CJ17" s="451"/>
      <c r="CK17" s="451"/>
      <c r="CL17" s="452"/>
      <c r="CM17" s="451"/>
      <c r="CN17" s="451"/>
      <c r="CO17" s="451"/>
      <c r="CP17" s="451"/>
      <c r="CQ17" s="452"/>
      <c r="CR17" s="451"/>
      <c r="CS17" s="451"/>
      <c r="CT17" s="451"/>
      <c r="CU17" s="451"/>
      <c r="CV17" s="452"/>
      <c r="CW17" s="451"/>
      <c r="CX17" s="451"/>
      <c r="CY17" s="451"/>
      <c r="CZ17" s="451"/>
      <c r="DA17" s="452"/>
      <c r="DB17" s="451"/>
      <c r="DC17" s="451"/>
      <c r="DD17" s="451"/>
      <c r="DE17" s="451"/>
      <c r="DF17" s="452"/>
      <c r="DG17" s="451"/>
      <c r="DH17" s="451"/>
      <c r="DI17" s="451"/>
      <c r="DJ17" s="451"/>
      <c r="DK17" s="452"/>
      <c r="DL17" s="451"/>
      <c r="DM17" s="451"/>
      <c r="DN17" s="451"/>
      <c r="DO17" s="451"/>
      <c r="DP17" s="452"/>
      <c r="DQ17" s="451"/>
      <c r="DR17" s="451"/>
      <c r="DS17" s="451"/>
      <c r="DT17" s="451"/>
      <c r="DU17" s="452"/>
      <c r="DV17" s="451"/>
      <c r="DW17" s="451"/>
      <c r="DX17" s="451"/>
      <c r="DY17" s="451"/>
      <c r="DZ17" s="452"/>
      <c r="EA17" s="451"/>
      <c r="EB17" s="451"/>
      <c r="EC17" s="451"/>
      <c r="ED17" s="451"/>
      <c r="EE17" s="452"/>
      <c r="EF17" s="451"/>
      <c r="EG17" s="451"/>
      <c r="EH17" s="451"/>
      <c r="EI17" s="451"/>
      <c r="EJ17" s="452"/>
      <c r="EK17" s="451"/>
      <c r="EL17" s="451"/>
      <c r="EM17" s="451"/>
      <c r="EN17" s="451"/>
      <c r="EO17" s="13"/>
      <c r="ER17" s="14"/>
      <c r="ES17" s="14"/>
    </row>
    <row r="18" spans="4:149" ht="12.75" customHeight="1" x14ac:dyDescent="0.2">
      <c r="D18" s="13" t="s">
        <v>346</v>
      </c>
      <c r="G18" s="451">
        <f>SUM(G19:G19)</f>
        <v>0</v>
      </c>
      <c r="H18" s="451"/>
      <c r="I18" s="451"/>
      <c r="J18" s="452"/>
      <c r="K18" s="451"/>
      <c r="L18" s="451">
        <f>SUM(L19:L19)</f>
        <v>2634484</v>
      </c>
      <c r="M18" s="451"/>
      <c r="N18" s="451"/>
      <c r="O18" s="452"/>
      <c r="P18" s="451"/>
      <c r="Q18" s="451">
        <f>SUM(Q19:Q19)</f>
        <v>1723199.2930000001</v>
      </c>
      <c r="R18" s="451"/>
      <c r="S18" s="451"/>
      <c r="T18" s="452"/>
      <c r="U18" s="451"/>
      <c r="V18" s="451">
        <f>SUM(V19:V19)</f>
        <v>575828</v>
      </c>
      <c r="W18" s="451"/>
      <c r="X18" s="451"/>
      <c r="Y18" s="452"/>
      <c r="Z18" s="451"/>
      <c r="AA18" s="451">
        <f>SUM(AA19:AA19)</f>
        <v>349368</v>
      </c>
      <c r="AB18" s="451"/>
      <c r="AC18" s="451"/>
      <c r="AD18" s="452"/>
      <c r="AE18" s="451"/>
      <c r="AF18" s="451">
        <f>SUM(AF19:AF19)</f>
        <v>358206</v>
      </c>
      <c r="AG18" s="451"/>
      <c r="AH18" s="451"/>
      <c r="AI18" s="452"/>
      <c r="AJ18" s="451"/>
      <c r="AK18" s="451">
        <f>SUM(AK19:AK19)</f>
        <v>536365</v>
      </c>
      <c r="AL18" s="451"/>
      <c r="AM18" s="451"/>
      <c r="AN18" s="452"/>
      <c r="AO18" s="451"/>
      <c r="AP18" s="451">
        <f>SUM(AP19:AP19)</f>
        <v>368566</v>
      </c>
      <c r="AQ18" s="451"/>
      <c r="AR18" s="451"/>
      <c r="AS18" s="452"/>
      <c r="AT18" s="451"/>
      <c r="AU18" s="451">
        <f>SUM(AU19:AU19)</f>
        <v>392181</v>
      </c>
      <c r="AV18" s="451"/>
      <c r="AW18" s="451"/>
      <c r="AX18" s="452"/>
      <c r="AY18" s="451"/>
      <c r="AZ18" s="451">
        <f>SUM(AZ19:AZ19)</f>
        <v>341082</v>
      </c>
      <c r="BA18" s="451"/>
      <c r="BB18" s="451"/>
      <c r="BC18" s="452"/>
      <c r="BD18" s="451"/>
      <c r="BE18" s="451">
        <f>SUM(BE19:BE19)</f>
        <v>337948</v>
      </c>
      <c r="BF18" s="451"/>
      <c r="BG18" s="451"/>
      <c r="BH18" s="452"/>
      <c r="BI18" s="451"/>
      <c r="BJ18" s="451">
        <f>SUM(BJ19:BJ19)</f>
        <v>0</v>
      </c>
      <c r="BK18" s="451"/>
      <c r="BL18" s="451"/>
      <c r="BM18" s="452"/>
      <c r="BN18" s="451"/>
      <c r="BO18" s="451">
        <f>SUM(BO19:BO19)</f>
        <v>0</v>
      </c>
      <c r="BP18" s="451"/>
      <c r="BQ18" s="451"/>
      <c r="BR18" s="452"/>
      <c r="BS18" s="451"/>
      <c r="BT18" s="451">
        <f>SUM(BT19:BT19)</f>
        <v>7617227.2929999996</v>
      </c>
      <c r="BU18" s="451"/>
      <c r="BV18" s="451"/>
      <c r="BW18" s="452"/>
      <c r="BX18" s="451"/>
      <c r="BY18" s="451">
        <f>SUM(BY19:BY19)</f>
        <v>3567262</v>
      </c>
      <c r="BZ18" s="451"/>
      <c r="CA18" s="451"/>
      <c r="CB18" s="452"/>
      <c r="CC18" s="451"/>
      <c r="CD18" s="451">
        <f>SUM(CD19:CD19)</f>
        <v>278881</v>
      </c>
      <c r="CE18" s="451"/>
      <c r="CF18" s="451"/>
      <c r="CG18" s="452"/>
      <c r="CH18" s="451"/>
      <c r="CI18" s="451">
        <f>SUM(CI19:CI19)</f>
        <v>240457</v>
      </c>
      <c r="CJ18" s="451"/>
      <c r="CK18" s="451"/>
      <c r="CL18" s="452"/>
      <c r="CM18" s="451"/>
      <c r="CN18" s="451">
        <f>SUM(CN19:CN19)</f>
        <v>260968</v>
      </c>
      <c r="CO18" s="451"/>
      <c r="CP18" s="451"/>
      <c r="CQ18" s="452"/>
      <c r="CR18" s="451"/>
      <c r="CS18" s="451">
        <f>SUM(CS19:CS19)</f>
        <v>254592</v>
      </c>
      <c r="CT18" s="451"/>
      <c r="CU18" s="451"/>
      <c r="CV18" s="452"/>
      <c r="CW18" s="451"/>
      <c r="CX18" s="451">
        <f>SUM(CX19:CX19)</f>
        <v>286143</v>
      </c>
      <c r="CY18" s="451"/>
      <c r="CZ18" s="451"/>
      <c r="DA18" s="452"/>
      <c r="DB18" s="451"/>
      <c r="DC18" s="451">
        <f>SUM(DC19:DC19)</f>
        <v>475908</v>
      </c>
      <c r="DD18" s="451"/>
      <c r="DE18" s="451"/>
      <c r="DF18" s="452"/>
      <c r="DG18" s="451"/>
      <c r="DH18" s="451">
        <f>SUM(DH19:DH19)</f>
        <v>320337</v>
      </c>
      <c r="DI18" s="451"/>
      <c r="DJ18" s="451"/>
      <c r="DK18" s="452"/>
      <c r="DL18" s="451"/>
      <c r="DM18" s="451">
        <f>SUM(DM19:DM19)</f>
        <v>279732</v>
      </c>
      <c r="DN18" s="451"/>
      <c r="DO18" s="451"/>
      <c r="DP18" s="452"/>
      <c r="DQ18" s="451"/>
      <c r="DR18" s="451">
        <f>SUM(DR19:DR19)</f>
        <v>238735</v>
      </c>
      <c r="DS18" s="451"/>
      <c r="DT18" s="451"/>
      <c r="DU18" s="452"/>
      <c r="DV18" s="451"/>
      <c r="DW18" s="451">
        <f>SUM(DW19:DW19)</f>
        <v>304939</v>
      </c>
      <c r="DX18" s="451"/>
      <c r="DY18" s="451"/>
      <c r="DZ18" s="452"/>
      <c r="EA18" s="451"/>
      <c r="EB18" s="451">
        <f>SUM(EB19:EB19)</f>
        <v>254776</v>
      </c>
      <c r="EC18" s="451"/>
      <c r="ED18" s="451"/>
      <c r="EE18" s="452"/>
      <c r="EF18" s="451"/>
      <c r="EG18" s="451">
        <f>SUM(EG19:EG19)</f>
        <v>371794</v>
      </c>
      <c r="EH18" s="451"/>
      <c r="EI18" s="451"/>
      <c r="EJ18" s="452"/>
      <c r="EK18" s="451"/>
      <c r="EL18" s="451">
        <f>SUM(EL19:EL19)</f>
        <v>2940692</v>
      </c>
      <c r="EM18" s="451"/>
      <c r="EN18" s="451"/>
      <c r="EO18" s="13"/>
      <c r="ER18" s="14"/>
      <c r="ES18" s="14"/>
    </row>
    <row r="19" spans="4:149" x14ac:dyDescent="0.2">
      <c r="D19" s="384" t="s">
        <v>347</v>
      </c>
      <c r="E19" s="452"/>
      <c r="F19" s="456"/>
      <c r="G19" s="457">
        <v>0</v>
      </c>
      <c r="H19" s="458"/>
      <c r="I19" s="451"/>
      <c r="J19" s="452"/>
      <c r="K19" s="459"/>
      <c r="L19" s="457">
        <v>2634484</v>
      </c>
      <c r="M19" s="458"/>
      <c r="N19" s="451"/>
      <c r="O19" s="452"/>
      <c r="P19" s="459"/>
      <c r="Q19" s="460">
        <v>1723199.2930000001</v>
      </c>
      <c r="R19" s="458"/>
      <c r="S19" s="451"/>
      <c r="T19" s="452"/>
      <c r="U19" s="459"/>
      <c r="V19" s="460">
        <v>575828</v>
      </c>
      <c r="W19" s="458"/>
      <c r="X19" s="451"/>
      <c r="Y19" s="452"/>
      <c r="Z19" s="459"/>
      <c r="AA19" s="460">
        <v>349368</v>
      </c>
      <c r="AB19" s="458"/>
      <c r="AC19" s="451"/>
      <c r="AD19" s="452"/>
      <c r="AE19" s="459"/>
      <c r="AF19" s="460">
        <v>358206</v>
      </c>
      <c r="AG19" s="458"/>
      <c r="AH19" s="451"/>
      <c r="AI19" s="452"/>
      <c r="AJ19" s="459"/>
      <c r="AK19" s="460">
        <v>536365</v>
      </c>
      <c r="AL19" s="458"/>
      <c r="AM19" s="451"/>
      <c r="AN19" s="452"/>
      <c r="AO19" s="459"/>
      <c r="AP19" s="460">
        <v>368566</v>
      </c>
      <c r="AQ19" s="458"/>
      <c r="AR19" s="451"/>
      <c r="AS19" s="452"/>
      <c r="AT19" s="459"/>
      <c r="AU19" s="460">
        <v>392181</v>
      </c>
      <c r="AV19" s="458"/>
      <c r="AW19" s="451"/>
      <c r="AX19" s="452"/>
      <c r="AY19" s="459"/>
      <c r="AZ19" s="460">
        <v>341082</v>
      </c>
      <c r="BA19" s="458"/>
      <c r="BB19" s="451"/>
      <c r="BC19" s="452"/>
      <c r="BD19" s="459"/>
      <c r="BE19" s="460">
        <v>337948</v>
      </c>
      <c r="BF19" s="458"/>
      <c r="BG19" s="451"/>
      <c r="BH19" s="452"/>
      <c r="BI19" s="459"/>
      <c r="BJ19" s="460">
        <v>0</v>
      </c>
      <c r="BK19" s="458"/>
      <c r="BL19" s="451"/>
      <c r="BM19" s="452"/>
      <c r="BN19" s="459"/>
      <c r="BO19" s="460">
        <v>0</v>
      </c>
      <c r="BP19" s="458"/>
      <c r="BQ19" s="451"/>
      <c r="BR19" s="452"/>
      <c r="BS19" s="459"/>
      <c r="BT19" s="457">
        <f>SUM(L19:BO19)</f>
        <v>7617227.2929999996</v>
      </c>
      <c r="BU19" s="458"/>
      <c r="BV19" s="451"/>
      <c r="BW19" s="452"/>
      <c r="BX19" s="459"/>
      <c r="BY19" s="457">
        <v>3567262</v>
      </c>
      <c r="BZ19" s="458"/>
      <c r="CA19" s="451"/>
      <c r="CB19" s="452"/>
      <c r="CC19" s="459"/>
      <c r="CD19" s="457">
        <v>278881</v>
      </c>
      <c r="CE19" s="458"/>
      <c r="CF19" s="451"/>
      <c r="CG19" s="452"/>
      <c r="CH19" s="459"/>
      <c r="CI19" s="460">
        <v>240457</v>
      </c>
      <c r="CJ19" s="458"/>
      <c r="CK19" s="451"/>
      <c r="CL19" s="452"/>
      <c r="CM19" s="459"/>
      <c r="CN19" s="460">
        <v>260968</v>
      </c>
      <c r="CO19" s="458"/>
      <c r="CP19" s="451"/>
      <c r="CQ19" s="452"/>
      <c r="CR19" s="459"/>
      <c r="CS19" s="460">
        <v>254592</v>
      </c>
      <c r="CT19" s="458"/>
      <c r="CU19" s="451"/>
      <c r="CV19" s="452"/>
      <c r="CW19" s="459"/>
      <c r="CX19" s="460">
        <v>286143</v>
      </c>
      <c r="CY19" s="458"/>
      <c r="CZ19" s="451"/>
      <c r="DA19" s="452"/>
      <c r="DB19" s="459"/>
      <c r="DC19" s="460">
        <v>475908</v>
      </c>
      <c r="DD19" s="458"/>
      <c r="DE19" s="451"/>
      <c r="DF19" s="452"/>
      <c r="DG19" s="459"/>
      <c r="DH19" s="460">
        <v>320337</v>
      </c>
      <c r="DI19" s="458"/>
      <c r="DJ19" s="451"/>
      <c r="DK19" s="452"/>
      <c r="DL19" s="459"/>
      <c r="DM19" s="460">
        <v>279732</v>
      </c>
      <c r="DN19" s="458"/>
      <c r="DO19" s="451"/>
      <c r="DP19" s="452"/>
      <c r="DQ19" s="459"/>
      <c r="DR19" s="460">
        <v>238735</v>
      </c>
      <c r="DS19" s="458"/>
      <c r="DT19" s="451"/>
      <c r="DU19" s="452"/>
      <c r="DV19" s="459"/>
      <c r="DW19" s="460">
        <v>304939</v>
      </c>
      <c r="DX19" s="458"/>
      <c r="DY19" s="451"/>
      <c r="DZ19" s="452"/>
      <c r="EA19" s="459"/>
      <c r="EB19" s="460">
        <v>254776</v>
      </c>
      <c r="EC19" s="458"/>
      <c r="ED19" s="451"/>
      <c r="EE19" s="452"/>
      <c r="EF19" s="459"/>
      <c r="EG19" s="460">
        <v>371794</v>
      </c>
      <c r="EH19" s="458"/>
      <c r="EI19" s="451"/>
      <c r="EJ19" s="452"/>
      <c r="EK19" s="459"/>
      <c r="EL19" s="457">
        <f>SUM(CD19:DW19)</f>
        <v>2940692</v>
      </c>
      <c r="EM19" s="458"/>
      <c r="EN19" s="451"/>
      <c r="EO19" s="13"/>
      <c r="ER19" s="14"/>
      <c r="ES19" s="14"/>
    </row>
    <row r="20" spans="4:149" x14ac:dyDescent="0.2">
      <c r="D20" s="461"/>
      <c r="E20" s="452"/>
      <c r="G20" s="451"/>
      <c r="H20" s="451"/>
      <c r="I20" s="451"/>
      <c r="J20" s="452"/>
      <c r="K20" s="451"/>
      <c r="L20" s="451"/>
      <c r="M20" s="451"/>
      <c r="N20" s="451"/>
      <c r="O20" s="452"/>
      <c r="P20" s="451"/>
      <c r="Q20" s="451"/>
      <c r="R20" s="451"/>
      <c r="S20" s="451"/>
      <c r="T20" s="452"/>
      <c r="U20" s="451"/>
      <c r="V20" s="451"/>
      <c r="W20" s="451"/>
      <c r="X20" s="451"/>
      <c r="Y20" s="452"/>
      <c r="Z20" s="451"/>
      <c r="AA20" s="451"/>
      <c r="AB20" s="451"/>
      <c r="AC20" s="451"/>
      <c r="AD20" s="452"/>
      <c r="AE20" s="451"/>
      <c r="AF20" s="451"/>
      <c r="AG20" s="451"/>
      <c r="AH20" s="451"/>
      <c r="AI20" s="452"/>
      <c r="AJ20" s="451"/>
      <c r="AK20" s="451"/>
      <c r="AL20" s="451"/>
      <c r="AM20" s="451"/>
      <c r="AN20" s="452"/>
      <c r="AO20" s="451"/>
      <c r="AP20" s="451"/>
      <c r="AQ20" s="451"/>
      <c r="AR20" s="451"/>
      <c r="AS20" s="452"/>
      <c r="AT20" s="451"/>
      <c r="AU20" s="451"/>
      <c r="AV20" s="451"/>
      <c r="AW20" s="451"/>
      <c r="AX20" s="452"/>
      <c r="AY20" s="451"/>
      <c r="AZ20" s="451"/>
      <c r="BA20" s="451"/>
      <c r="BB20" s="451"/>
      <c r="BC20" s="452"/>
      <c r="BD20" s="451"/>
      <c r="BE20" s="451"/>
      <c r="BF20" s="451"/>
      <c r="BG20" s="451"/>
      <c r="BH20" s="452"/>
      <c r="BI20" s="451"/>
      <c r="BJ20" s="451"/>
      <c r="BK20" s="451"/>
      <c r="BL20" s="451"/>
      <c r="BM20" s="452"/>
      <c r="BN20" s="451"/>
      <c r="BO20" s="451"/>
      <c r="BP20" s="451"/>
      <c r="BQ20" s="451"/>
      <c r="BR20" s="452"/>
      <c r="BS20" s="451"/>
      <c r="BT20" s="451"/>
      <c r="BU20" s="451"/>
      <c r="BV20" s="451"/>
      <c r="BW20" s="452"/>
      <c r="BX20" s="451"/>
      <c r="BY20" s="451"/>
      <c r="BZ20" s="451"/>
      <c r="CA20" s="451"/>
      <c r="CB20" s="452"/>
      <c r="CC20" s="451"/>
      <c r="CD20" s="451"/>
      <c r="CE20" s="451"/>
      <c r="CF20" s="451"/>
      <c r="CG20" s="452"/>
      <c r="CH20" s="451"/>
      <c r="CI20" s="451"/>
      <c r="CJ20" s="451"/>
      <c r="CK20" s="451"/>
      <c r="CL20" s="452"/>
      <c r="CM20" s="451"/>
      <c r="CN20" s="451"/>
      <c r="CO20" s="451"/>
      <c r="CP20" s="451"/>
      <c r="CQ20" s="452"/>
      <c r="CR20" s="451"/>
      <c r="CS20" s="451"/>
      <c r="CT20" s="451"/>
      <c r="CU20" s="451"/>
      <c r="CV20" s="452"/>
      <c r="CW20" s="451"/>
      <c r="CX20" s="451"/>
      <c r="CY20" s="451"/>
      <c r="CZ20" s="451"/>
      <c r="DA20" s="452"/>
      <c r="DB20" s="451"/>
      <c r="DC20" s="451"/>
      <c r="DD20" s="451"/>
      <c r="DE20" s="451"/>
      <c r="DF20" s="452"/>
      <c r="DG20" s="451"/>
      <c r="DH20" s="451"/>
      <c r="DI20" s="451"/>
      <c r="DJ20" s="451"/>
      <c r="DK20" s="452"/>
      <c r="DL20" s="451"/>
      <c r="DM20" s="451"/>
      <c r="DN20" s="451"/>
      <c r="DO20" s="451"/>
      <c r="DP20" s="452"/>
      <c r="DQ20" s="451"/>
      <c r="DR20" s="451"/>
      <c r="DS20" s="451"/>
      <c r="DT20" s="451"/>
      <c r="DU20" s="452"/>
      <c r="DV20" s="451"/>
      <c r="DW20" s="451"/>
      <c r="DX20" s="451"/>
      <c r="DY20" s="451"/>
      <c r="DZ20" s="452"/>
      <c r="EA20" s="451"/>
      <c r="EB20" s="451"/>
      <c r="EC20" s="451"/>
      <c r="ED20" s="451"/>
      <c r="EE20" s="452"/>
      <c r="EF20" s="451"/>
      <c r="EG20" s="451"/>
      <c r="EH20" s="451"/>
      <c r="EI20" s="451"/>
      <c r="EJ20" s="452"/>
      <c r="EK20" s="451"/>
      <c r="EL20" s="451"/>
      <c r="EM20" s="451"/>
      <c r="EN20" s="451"/>
      <c r="EO20" s="13"/>
      <c r="ER20" s="14"/>
      <c r="ES20" s="14"/>
    </row>
    <row r="21" spans="4:149" ht="12.75" customHeight="1" x14ac:dyDescent="0.2">
      <c r="D21" s="13" t="s">
        <v>348</v>
      </c>
      <c r="E21" s="452"/>
      <c r="G21" s="451">
        <f>SUM(G22:G25)</f>
        <v>0</v>
      </c>
      <c r="H21" s="451"/>
      <c r="I21" s="451"/>
      <c r="J21" s="452"/>
      <c r="K21" s="451"/>
      <c r="L21" s="451">
        <f>SUM(L22:L25)</f>
        <v>1042197</v>
      </c>
      <c r="M21" s="451"/>
      <c r="N21" s="451"/>
      <c r="O21" s="452"/>
      <c r="P21" s="451"/>
      <c r="Q21" s="451">
        <f>SUM(Q22:Q25)</f>
        <v>1058402</v>
      </c>
      <c r="R21" s="451"/>
      <c r="S21" s="451"/>
      <c r="T21" s="452"/>
      <c r="U21" s="451"/>
      <c r="V21" s="451">
        <f>SUM(V22:V25)</f>
        <v>2103455</v>
      </c>
      <c r="W21" s="451"/>
      <c r="X21" s="451"/>
      <c r="Y21" s="452"/>
      <c r="Z21" s="451"/>
      <c r="AA21" s="451">
        <f>SUM(AA22:AA25)</f>
        <v>2696004</v>
      </c>
      <c r="AB21" s="451"/>
      <c r="AC21" s="451"/>
      <c r="AD21" s="452"/>
      <c r="AE21" s="451"/>
      <c r="AF21" s="451">
        <f>SUM(AF22:AF25)</f>
        <v>3471351</v>
      </c>
      <c r="AG21" s="451"/>
      <c r="AH21" s="451"/>
      <c r="AI21" s="452"/>
      <c r="AJ21" s="451"/>
      <c r="AK21" s="451">
        <f>SUM(AK22:AK25)</f>
        <v>2609265</v>
      </c>
      <c r="AL21" s="451"/>
      <c r="AM21" s="451"/>
      <c r="AN21" s="452"/>
      <c r="AO21" s="451"/>
      <c r="AP21" s="451">
        <f>SUM(AP22:AP25)</f>
        <v>1241741</v>
      </c>
      <c r="AQ21" s="451"/>
      <c r="AR21" s="451"/>
      <c r="AS21" s="452"/>
      <c r="AT21" s="451"/>
      <c r="AU21" s="451">
        <f>SUM(AU22:AU25)</f>
        <v>1223103</v>
      </c>
      <c r="AV21" s="451"/>
      <c r="AW21" s="451"/>
      <c r="AX21" s="452"/>
      <c r="AY21" s="451"/>
      <c r="AZ21" s="451">
        <f>SUM(AZ22:AZ25)</f>
        <v>2240063</v>
      </c>
      <c r="BA21" s="451"/>
      <c r="BB21" s="451"/>
      <c r="BC21" s="452"/>
      <c r="BD21" s="451"/>
      <c r="BE21" s="451">
        <f>SUM(BE22:BE25)</f>
        <v>3007073</v>
      </c>
      <c r="BF21" s="451"/>
      <c r="BG21" s="451"/>
      <c r="BH21" s="452"/>
      <c r="BI21" s="451"/>
      <c r="BJ21" s="451">
        <f>SUM(BJ22:BJ25)</f>
        <v>0</v>
      </c>
      <c r="BK21" s="451"/>
      <c r="BL21" s="451"/>
      <c r="BM21" s="452"/>
      <c r="BN21" s="451"/>
      <c r="BO21" s="451">
        <f>SUM(BO22:BO25)</f>
        <v>0</v>
      </c>
      <c r="BP21" s="451"/>
      <c r="BQ21" s="451"/>
      <c r="BR21" s="452"/>
      <c r="BS21" s="451"/>
      <c r="BT21" s="451">
        <f>SUM(BT22:BT25)</f>
        <v>20692654</v>
      </c>
      <c r="BU21" s="451"/>
      <c r="BV21" s="451"/>
      <c r="BW21" s="452"/>
      <c r="BX21" s="451"/>
      <c r="BY21" s="451">
        <f>SUM(BY22:BY25)</f>
        <v>11961510</v>
      </c>
      <c r="BZ21" s="451"/>
      <c r="CA21" s="451"/>
      <c r="CB21" s="452"/>
      <c r="CC21" s="451"/>
      <c r="CD21" s="451">
        <f>SUM(CD22:CD25)</f>
        <v>852104</v>
      </c>
      <c r="CE21" s="451"/>
      <c r="CF21" s="451"/>
      <c r="CG21" s="452"/>
      <c r="CH21" s="451"/>
      <c r="CI21" s="451">
        <f>SUM(CI22:CI25)</f>
        <v>747025</v>
      </c>
      <c r="CJ21" s="451"/>
      <c r="CK21" s="451"/>
      <c r="CL21" s="452"/>
      <c r="CM21" s="451"/>
      <c r="CN21" s="451">
        <f>SUM(CN22:CN25)</f>
        <v>841254</v>
      </c>
      <c r="CO21" s="451"/>
      <c r="CP21" s="451"/>
      <c r="CQ21" s="452"/>
      <c r="CR21" s="451"/>
      <c r="CS21" s="451">
        <f>SUM(CS22:CS25)</f>
        <v>717377</v>
      </c>
      <c r="CT21" s="451"/>
      <c r="CU21" s="451"/>
      <c r="CV21" s="452"/>
      <c r="CW21" s="451"/>
      <c r="CX21" s="451">
        <f>SUM(CX22:CX25)</f>
        <v>1066256</v>
      </c>
      <c r="CY21" s="451"/>
      <c r="CZ21" s="451"/>
      <c r="DA21" s="452"/>
      <c r="DB21" s="451"/>
      <c r="DC21" s="451">
        <f>SUM(DC22:DC25)</f>
        <v>1082818</v>
      </c>
      <c r="DD21" s="451"/>
      <c r="DE21" s="451"/>
      <c r="DF21" s="452"/>
      <c r="DG21" s="451"/>
      <c r="DH21" s="451">
        <f>SUM(DH22:DH25)</f>
        <v>1806847</v>
      </c>
      <c r="DI21" s="451"/>
      <c r="DJ21" s="451"/>
      <c r="DK21" s="452"/>
      <c r="DL21" s="451"/>
      <c r="DM21" s="451">
        <f>SUM(DM22:DM25)</f>
        <v>472966</v>
      </c>
      <c r="DN21" s="451"/>
      <c r="DO21" s="451"/>
      <c r="DP21" s="452"/>
      <c r="DQ21" s="451"/>
      <c r="DR21" s="451">
        <f>SUM(DR22:DR25)</f>
        <v>1305236</v>
      </c>
      <c r="DS21" s="451"/>
      <c r="DT21" s="451"/>
      <c r="DU21" s="452"/>
      <c r="DV21" s="451"/>
      <c r="DW21" s="451">
        <f>SUM(DW22:DW25)</f>
        <v>452852</v>
      </c>
      <c r="DX21" s="451"/>
      <c r="DY21" s="451"/>
      <c r="DZ21" s="452"/>
      <c r="EA21" s="451"/>
      <c r="EB21" s="451">
        <f>SUM(EB22:EB25)</f>
        <v>2075040</v>
      </c>
      <c r="EC21" s="451"/>
      <c r="ED21" s="451"/>
      <c r="EE21" s="452"/>
      <c r="EF21" s="451"/>
      <c r="EG21" s="451">
        <f>SUM(EG22:EG25)</f>
        <v>541735</v>
      </c>
      <c r="EH21" s="451"/>
      <c r="EI21" s="451"/>
      <c r="EJ21" s="452"/>
      <c r="EK21" s="451"/>
      <c r="EL21" s="451">
        <f>SUM(EL22:EL25)</f>
        <v>9344735</v>
      </c>
      <c r="EM21" s="451"/>
      <c r="EN21" s="451"/>
      <c r="EO21" s="13"/>
      <c r="ER21" s="14"/>
      <c r="ES21" s="14"/>
    </row>
    <row r="22" spans="4:149" ht="12.75" customHeight="1" x14ac:dyDescent="0.2">
      <c r="D22" s="13" t="s">
        <v>347</v>
      </c>
      <c r="E22" s="462"/>
      <c r="F22" s="374"/>
      <c r="G22" s="449">
        <v>0</v>
      </c>
      <c r="H22" s="450"/>
      <c r="I22" s="451"/>
      <c r="J22" s="452"/>
      <c r="K22" s="453"/>
      <c r="L22" s="449">
        <f>710000-92043</f>
        <v>617957</v>
      </c>
      <c r="M22" s="450"/>
      <c r="N22" s="451"/>
      <c r="O22" s="452"/>
      <c r="P22" s="453"/>
      <c r="Q22" s="449">
        <f>715000-81485</f>
        <v>633515</v>
      </c>
      <c r="R22" s="450"/>
      <c r="S22" s="451"/>
      <c r="T22" s="452"/>
      <c r="U22" s="453"/>
      <c r="V22" s="449">
        <f>1415000-155031</f>
        <v>1259969</v>
      </c>
      <c r="W22" s="450"/>
      <c r="X22" s="451"/>
      <c r="Y22" s="452"/>
      <c r="Z22" s="453"/>
      <c r="AA22" s="449">
        <f>1815000-207034</f>
        <v>1607966</v>
      </c>
      <c r="AB22" s="450"/>
      <c r="AC22" s="451"/>
      <c r="AD22" s="452"/>
      <c r="AE22" s="453"/>
      <c r="AF22" s="449">
        <f>2350000-217256</f>
        <v>2132744</v>
      </c>
      <c r="AG22" s="450"/>
      <c r="AH22" s="451"/>
      <c r="AI22" s="452"/>
      <c r="AJ22" s="453"/>
      <c r="AK22" s="449">
        <f>1770000-89469</f>
        <v>1680531</v>
      </c>
      <c r="AL22" s="450"/>
      <c r="AM22" s="451"/>
      <c r="AN22" s="452"/>
      <c r="AO22" s="453"/>
      <c r="AP22" s="449">
        <f>835000-51703</f>
        <v>783297</v>
      </c>
      <c r="AQ22" s="450"/>
      <c r="AR22" s="451"/>
      <c r="AS22" s="452"/>
      <c r="AT22" s="453"/>
      <c r="AU22" s="449">
        <f>815000-38172</f>
        <v>776828</v>
      </c>
      <c r="AV22" s="450"/>
      <c r="AW22" s="451"/>
      <c r="AX22" s="452"/>
      <c r="AY22" s="453"/>
      <c r="AZ22" s="449">
        <f>1490000-42009</f>
        <v>1447991</v>
      </c>
      <c r="BA22" s="450"/>
      <c r="BB22" s="451"/>
      <c r="BC22" s="452"/>
      <c r="BD22" s="453"/>
      <c r="BE22" s="449">
        <f>1995000-55951</f>
        <v>1939049</v>
      </c>
      <c r="BF22" s="450"/>
      <c r="BG22" s="451"/>
      <c r="BH22" s="452"/>
      <c r="BI22" s="453"/>
      <c r="BJ22" s="449">
        <v>0</v>
      </c>
      <c r="BK22" s="450"/>
      <c r="BL22" s="451"/>
      <c r="BM22" s="452"/>
      <c r="BN22" s="453"/>
      <c r="BO22" s="449">
        <v>0</v>
      </c>
      <c r="BP22" s="450"/>
      <c r="BQ22" s="451"/>
      <c r="BR22" s="452"/>
      <c r="BS22" s="453"/>
      <c r="BT22" s="449">
        <f>SUM(L22:BO22)</f>
        <v>12879847</v>
      </c>
      <c r="BU22" s="450"/>
      <c r="BV22" s="451"/>
      <c r="BW22" s="452"/>
      <c r="BX22" s="453"/>
      <c r="BY22" s="449">
        <v>7519847</v>
      </c>
      <c r="BZ22" s="450"/>
      <c r="CA22" s="451"/>
      <c r="CB22" s="452"/>
      <c r="CC22" s="453"/>
      <c r="CD22" s="449">
        <f>605000-50815</f>
        <v>554185</v>
      </c>
      <c r="CE22" s="450"/>
      <c r="CF22" s="451"/>
      <c r="CG22" s="452"/>
      <c r="CH22" s="453"/>
      <c r="CI22" s="449">
        <f>530000-34099</f>
        <v>495901</v>
      </c>
      <c r="CJ22" s="450"/>
      <c r="CK22" s="451"/>
      <c r="CL22" s="452"/>
      <c r="CM22" s="453"/>
      <c r="CN22" s="449">
        <f>590000-45983</f>
        <v>544017</v>
      </c>
      <c r="CO22" s="450"/>
      <c r="CP22" s="451"/>
      <c r="CQ22" s="452"/>
      <c r="CR22" s="453"/>
      <c r="CS22" s="449">
        <f>500000-36643</f>
        <v>463357</v>
      </c>
      <c r="CT22" s="450"/>
      <c r="CU22" s="451"/>
      <c r="CV22" s="452"/>
      <c r="CW22" s="453"/>
      <c r="CX22" s="449">
        <f>740000-63052</f>
        <v>676948</v>
      </c>
      <c r="CY22" s="450"/>
      <c r="CZ22" s="451"/>
      <c r="DA22" s="452"/>
      <c r="DB22" s="453"/>
      <c r="DC22" s="449">
        <f>750000-66943</f>
        <v>683057</v>
      </c>
      <c r="DD22" s="450"/>
      <c r="DE22" s="451"/>
      <c r="DF22" s="452"/>
      <c r="DG22" s="453"/>
      <c r="DH22" s="449">
        <f>1245000-108105</f>
        <v>1136895</v>
      </c>
      <c r="DI22" s="450"/>
      <c r="DJ22" s="451"/>
      <c r="DK22" s="452"/>
      <c r="DL22" s="453"/>
      <c r="DM22" s="449">
        <f>325000-32227</f>
        <v>292773</v>
      </c>
      <c r="DN22" s="450"/>
      <c r="DO22" s="451"/>
      <c r="DP22" s="452"/>
      <c r="DQ22" s="453"/>
      <c r="DR22" s="449">
        <f>895000-94943</f>
        <v>800057</v>
      </c>
      <c r="DS22" s="450"/>
      <c r="DT22" s="451"/>
      <c r="DU22" s="452"/>
      <c r="DV22" s="453"/>
      <c r="DW22" s="449">
        <f>310000-33028</f>
        <v>276972</v>
      </c>
      <c r="DX22" s="450"/>
      <c r="DY22" s="451"/>
      <c r="DZ22" s="452"/>
      <c r="EA22" s="453"/>
      <c r="EB22" s="449">
        <f>1420000-146176</f>
        <v>1273824</v>
      </c>
      <c r="EC22" s="450"/>
      <c r="ED22" s="451"/>
      <c r="EE22" s="452"/>
      <c r="EF22" s="453"/>
      <c r="EG22" s="449">
        <f>370000-48139</f>
        <v>321861</v>
      </c>
      <c r="EH22" s="450"/>
      <c r="EI22" s="451"/>
      <c r="EJ22" s="452"/>
      <c r="EK22" s="453"/>
      <c r="EL22" s="449">
        <f>SUM(CD22:DW22)</f>
        <v>5924162</v>
      </c>
      <c r="EM22" s="450"/>
      <c r="EN22" s="451"/>
      <c r="EO22" s="13"/>
      <c r="ER22" s="14"/>
      <c r="ES22" s="14"/>
    </row>
    <row r="23" spans="4:149" ht="12.75" customHeight="1" x14ac:dyDescent="0.2">
      <c r="D23" s="13" t="s">
        <v>349</v>
      </c>
      <c r="E23" s="452"/>
      <c r="F23" s="198"/>
      <c r="G23" s="451">
        <v>0</v>
      </c>
      <c r="H23" s="455"/>
      <c r="I23" s="451"/>
      <c r="J23" s="452"/>
      <c r="K23" s="452"/>
      <c r="L23" s="451">
        <v>92043</v>
      </c>
      <c r="M23" s="455"/>
      <c r="N23" s="451"/>
      <c r="O23" s="452"/>
      <c r="P23" s="452"/>
      <c r="Q23" s="451">
        <v>81485</v>
      </c>
      <c r="R23" s="455"/>
      <c r="S23" s="451"/>
      <c r="T23" s="452"/>
      <c r="U23" s="452"/>
      <c r="V23" s="451">
        <v>155031</v>
      </c>
      <c r="W23" s="455"/>
      <c r="X23" s="451"/>
      <c r="Y23" s="452"/>
      <c r="Z23" s="452"/>
      <c r="AA23" s="451">
        <v>207034</v>
      </c>
      <c r="AB23" s="455"/>
      <c r="AC23" s="451"/>
      <c r="AD23" s="452"/>
      <c r="AE23" s="452"/>
      <c r="AF23" s="451">
        <v>217256</v>
      </c>
      <c r="AG23" s="455"/>
      <c r="AH23" s="451"/>
      <c r="AI23" s="452"/>
      <c r="AJ23" s="452"/>
      <c r="AK23" s="451">
        <v>89469</v>
      </c>
      <c r="AL23" s="455"/>
      <c r="AM23" s="451"/>
      <c r="AN23" s="452"/>
      <c r="AO23" s="452"/>
      <c r="AP23" s="451">
        <v>51703</v>
      </c>
      <c r="AQ23" s="455"/>
      <c r="AR23" s="451"/>
      <c r="AS23" s="452"/>
      <c r="AT23" s="452"/>
      <c r="AU23" s="451">
        <v>38172</v>
      </c>
      <c r="AV23" s="455"/>
      <c r="AW23" s="451"/>
      <c r="AX23" s="452"/>
      <c r="AY23" s="452"/>
      <c r="AZ23" s="451">
        <v>42009</v>
      </c>
      <c r="BA23" s="455"/>
      <c r="BB23" s="451"/>
      <c r="BC23" s="452"/>
      <c r="BD23" s="452"/>
      <c r="BE23" s="451">
        <v>55951</v>
      </c>
      <c r="BF23" s="455"/>
      <c r="BG23" s="451"/>
      <c r="BH23" s="452"/>
      <c r="BI23" s="452"/>
      <c r="BJ23" s="451">
        <v>0</v>
      </c>
      <c r="BK23" s="455"/>
      <c r="BL23" s="451"/>
      <c r="BM23" s="452"/>
      <c r="BN23" s="452"/>
      <c r="BO23" s="451">
        <v>0</v>
      </c>
      <c r="BP23" s="455"/>
      <c r="BQ23" s="451"/>
      <c r="BR23" s="452"/>
      <c r="BS23" s="452"/>
      <c r="BT23" s="451">
        <f>SUM(L23:BO23)</f>
        <v>1030153</v>
      </c>
      <c r="BU23" s="455"/>
      <c r="BV23" s="451"/>
      <c r="BW23" s="452"/>
      <c r="BX23" s="452"/>
      <c r="BY23" s="451">
        <v>760153</v>
      </c>
      <c r="BZ23" s="455"/>
      <c r="CA23" s="451"/>
      <c r="CB23" s="452"/>
      <c r="CC23" s="452"/>
      <c r="CD23" s="451">
        <v>50815</v>
      </c>
      <c r="CE23" s="455"/>
      <c r="CF23" s="451"/>
      <c r="CG23" s="452"/>
      <c r="CH23" s="452"/>
      <c r="CI23" s="451">
        <v>34099</v>
      </c>
      <c r="CJ23" s="455"/>
      <c r="CK23" s="451"/>
      <c r="CL23" s="452"/>
      <c r="CM23" s="452"/>
      <c r="CN23" s="451">
        <v>45983</v>
      </c>
      <c r="CO23" s="455"/>
      <c r="CP23" s="451"/>
      <c r="CQ23" s="452"/>
      <c r="CR23" s="452"/>
      <c r="CS23" s="451">
        <v>36643</v>
      </c>
      <c r="CT23" s="455"/>
      <c r="CU23" s="451"/>
      <c r="CV23" s="452"/>
      <c r="CW23" s="452"/>
      <c r="CX23" s="451">
        <v>63052</v>
      </c>
      <c r="CY23" s="455"/>
      <c r="CZ23" s="451"/>
      <c r="DA23" s="452"/>
      <c r="DB23" s="452"/>
      <c r="DC23" s="451">
        <v>66943</v>
      </c>
      <c r="DD23" s="455"/>
      <c r="DE23" s="451"/>
      <c r="DF23" s="452"/>
      <c r="DG23" s="452"/>
      <c r="DH23" s="451">
        <v>108105</v>
      </c>
      <c r="DI23" s="455"/>
      <c r="DJ23" s="451"/>
      <c r="DK23" s="452"/>
      <c r="DL23" s="452"/>
      <c r="DM23" s="451">
        <v>32227</v>
      </c>
      <c r="DN23" s="455"/>
      <c r="DO23" s="451"/>
      <c r="DP23" s="452"/>
      <c r="DQ23" s="452"/>
      <c r="DR23" s="451">
        <v>94943</v>
      </c>
      <c r="DS23" s="455"/>
      <c r="DT23" s="451"/>
      <c r="DU23" s="452"/>
      <c r="DV23" s="452"/>
      <c r="DW23" s="451">
        <v>33028</v>
      </c>
      <c r="DX23" s="455"/>
      <c r="DY23" s="451"/>
      <c r="DZ23" s="452"/>
      <c r="EA23" s="452"/>
      <c r="EB23" s="451">
        <v>146176</v>
      </c>
      <c r="EC23" s="455"/>
      <c r="ED23" s="451"/>
      <c r="EE23" s="452"/>
      <c r="EF23" s="452"/>
      <c r="EG23" s="451">
        <v>48139</v>
      </c>
      <c r="EH23" s="455"/>
      <c r="EI23" s="451"/>
      <c r="EJ23" s="452"/>
      <c r="EK23" s="452"/>
      <c r="EL23" s="451">
        <f>SUM(CD23:DW23)</f>
        <v>565838</v>
      </c>
      <c r="EM23" s="455"/>
      <c r="EN23" s="451"/>
      <c r="EO23" s="13"/>
      <c r="ER23" s="14"/>
      <c r="ES23" s="14"/>
    </row>
    <row r="24" spans="4:149" ht="12.75" customHeight="1" x14ac:dyDescent="0.2">
      <c r="D24" s="13" t="s">
        <v>350</v>
      </c>
      <c r="E24" s="452"/>
      <c r="F24" s="198"/>
      <c r="G24" s="451">
        <v>0</v>
      </c>
      <c r="H24" s="455"/>
      <c r="I24" s="451"/>
      <c r="J24" s="452"/>
      <c r="K24" s="452"/>
      <c r="L24" s="451">
        <v>0</v>
      </c>
      <c r="M24" s="455"/>
      <c r="N24" s="451"/>
      <c r="O24" s="452"/>
      <c r="P24" s="452"/>
      <c r="Q24" s="451">
        <v>0</v>
      </c>
      <c r="R24" s="455"/>
      <c r="S24" s="451"/>
      <c r="T24" s="452"/>
      <c r="U24" s="452"/>
      <c r="V24" s="451">
        <v>0</v>
      </c>
      <c r="W24" s="455"/>
      <c r="X24" s="451"/>
      <c r="Y24" s="452"/>
      <c r="Z24" s="452"/>
      <c r="AA24" s="451">
        <v>0</v>
      </c>
      <c r="AB24" s="455"/>
      <c r="AC24" s="451"/>
      <c r="AD24" s="452"/>
      <c r="AE24" s="452"/>
      <c r="AF24" s="451">
        <v>0</v>
      </c>
      <c r="AG24" s="455"/>
      <c r="AH24" s="451"/>
      <c r="AI24" s="452"/>
      <c r="AJ24" s="452"/>
      <c r="AK24" s="451">
        <v>0</v>
      </c>
      <c r="AL24" s="455"/>
      <c r="AM24" s="451"/>
      <c r="AN24" s="452"/>
      <c r="AO24" s="452"/>
      <c r="AP24" s="451">
        <v>0</v>
      </c>
      <c r="AQ24" s="455"/>
      <c r="AR24" s="451"/>
      <c r="AS24" s="452"/>
      <c r="AT24" s="452"/>
      <c r="AU24" s="451">
        <v>0</v>
      </c>
      <c r="AV24" s="455"/>
      <c r="AW24" s="451"/>
      <c r="AX24" s="452"/>
      <c r="AY24" s="452"/>
      <c r="AZ24" s="451">
        <v>0</v>
      </c>
      <c r="BA24" s="455"/>
      <c r="BB24" s="451"/>
      <c r="BC24" s="452"/>
      <c r="BD24" s="452"/>
      <c r="BE24" s="451">
        <v>0</v>
      </c>
      <c r="BF24" s="455"/>
      <c r="BG24" s="451"/>
      <c r="BH24" s="452"/>
      <c r="BI24" s="452"/>
      <c r="BJ24" s="451">
        <v>0</v>
      </c>
      <c r="BK24" s="455"/>
      <c r="BL24" s="451"/>
      <c r="BM24" s="452"/>
      <c r="BN24" s="452"/>
      <c r="BO24" s="451">
        <v>0</v>
      </c>
      <c r="BP24" s="455"/>
      <c r="BQ24" s="451"/>
      <c r="BR24" s="452"/>
      <c r="BS24" s="452"/>
      <c r="BT24" s="451">
        <f>SUM(L24:BO24)</f>
        <v>0</v>
      </c>
      <c r="BU24" s="455"/>
      <c r="BV24" s="451"/>
      <c r="BW24" s="452"/>
      <c r="BX24" s="452"/>
      <c r="BY24" s="451">
        <v>0</v>
      </c>
      <c r="BZ24" s="455"/>
      <c r="CA24" s="451"/>
      <c r="CB24" s="452"/>
      <c r="CC24" s="452"/>
      <c r="CD24" s="451">
        <v>0</v>
      </c>
      <c r="CE24" s="455"/>
      <c r="CF24" s="451"/>
      <c r="CG24" s="452"/>
      <c r="CH24" s="452"/>
      <c r="CI24" s="451">
        <v>0</v>
      </c>
      <c r="CJ24" s="455"/>
      <c r="CK24" s="451"/>
      <c r="CL24" s="452"/>
      <c r="CM24" s="452"/>
      <c r="CN24" s="451">
        <v>0</v>
      </c>
      <c r="CO24" s="455"/>
      <c r="CP24" s="451"/>
      <c r="CQ24" s="452"/>
      <c r="CR24" s="452"/>
      <c r="CS24" s="451">
        <v>0</v>
      </c>
      <c r="CT24" s="455"/>
      <c r="CU24" s="451"/>
      <c r="CV24" s="452"/>
      <c r="CW24" s="452"/>
      <c r="CX24" s="451">
        <v>0</v>
      </c>
      <c r="CY24" s="455"/>
      <c r="CZ24" s="451"/>
      <c r="DA24" s="452"/>
      <c r="DB24" s="452"/>
      <c r="DC24" s="451">
        <v>0</v>
      </c>
      <c r="DD24" s="455"/>
      <c r="DE24" s="451"/>
      <c r="DF24" s="452"/>
      <c r="DG24" s="452"/>
      <c r="DH24" s="451">
        <v>0</v>
      </c>
      <c r="DI24" s="455"/>
      <c r="DJ24" s="451"/>
      <c r="DK24" s="452"/>
      <c r="DL24" s="452"/>
      <c r="DM24" s="451">
        <v>0</v>
      </c>
      <c r="DN24" s="455"/>
      <c r="DO24" s="451"/>
      <c r="DP24" s="452"/>
      <c r="DQ24" s="452"/>
      <c r="DR24" s="451">
        <v>0</v>
      </c>
      <c r="DS24" s="455"/>
      <c r="DT24" s="451"/>
      <c r="DU24" s="452"/>
      <c r="DV24" s="452"/>
      <c r="DW24" s="451">
        <v>0</v>
      </c>
      <c r="DX24" s="455"/>
      <c r="DY24" s="451"/>
      <c r="DZ24" s="452"/>
      <c r="EA24" s="452"/>
      <c r="EB24" s="451">
        <v>0</v>
      </c>
      <c r="EC24" s="455"/>
      <c r="ED24" s="451"/>
      <c r="EE24" s="452"/>
      <c r="EF24" s="452"/>
      <c r="EG24" s="451">
        <v>0</v>
      </c>
      <c r="EH24" s="455"/>
      <c r="EI24" s="451"/>
      <c r="EJ24" s="452"/>
      <c r="EK24" s="452"/>
      <c r="EL24" s="451">
        <f>SUM(CD24:DW24)</f>
        <v>0</v>
      </c>
      <c r="EM24" s="455"/>
      <c r="EN24" s="451"/>
      <c r="EO24" s="13"/>
      <c r="ER24" s="14"/>
      <c r="ES24" s="14"/>
    </row>
    <row r="25" spans="4:149" ht="12.75" customHeight="1" x14ac:dyDescent="0.2">
      <c r="D25" s="13" t="s">
        <v>351</v>
      </c>
      <c r="E25" s="452"/>
      <c r="F25" s="385"/>
      <c r="G25" s="463">
        <v>0</v>
      </c>
      <c r="H25" s="464"/>
      <c r="I25" s="451"/>
      <c r="J25" s="452"/>
      <c r="K25" s="465"/>
      <c r="L25" s="463">
        <v>332197</v>
      </c>
      <c r="M25" s="464"/>
      <c r="N25" s="451"/>
      <c r="O25" s="452"/>
      <c r="P25" s="465"/>
      <c r="Q25" s="463">
        <v>343402</v>
      </c>
      <c r="R25" s="464"/>
      <c r="S25" s="451"/>
      <c r="T25" s="452"/>
      <c r="U25" s="465"/>
      <c r="V25" s="463">
        <v>688455</v>
      </c>
      <c r="W25" s="464"/>
      <c r="X25" s="451"/>
      <c r="Y25" s="452"/>
      <c r="Z25" s="465"/>
      <c r="AA25" s="463">
        <v>881004</v>
      </c>
      <c r="AB25" s="464"/>
      <c r="AC25" s="451"/>
      <c r="AD25" s="452"/>
      <c r="AE25" s="465"/>
      <c r="AF25" s="463">
        <v>1121351</v>
      </c>
      <c r="AG25" s="464"/>
      <c r="AH25" s="451"/>
      <c r="AI25" s="452"/>
      <c r="AJ25" s="465"/>
      <c r="AK25" s="463">
        <v>839265</v>
      </c>
      <c r="AL25" s="464"/>
      <c r="AM25" s="451"/>
      <c r="AN25" s="452"/>
      <c r="AO25" s="465"/>
      <c r="AP25" s="463">
        <v>406741</v>
      </c>
      <c r="AQ25" s="464"/>
      <c r="AR25" s="451"/>
      <c r="AS25" s="452"/>
      <c r="AT25" s="465"/>
      <c r="AU25" s="463">
        <v>408103</v>
      </c>
      <c r="AV25" s="464"/>
      <c r="AW25" s="451"/>
      <c r="AX25" s="452"/>
      <c r="AY25" s="465"/>
      <c r="AZ25" s="463">
        <v>750063</v>
      </c>
      <c r="BA25" s="464"/>
      <c r="BB25" s="451"/>
      <c r="BC25" s="452"/>
      <c r="BD25" s="465"/>
      <c r="BE25" s="463">
        <v>1012073</v>
      </c>
      <c r="BF25" s="464"/>
      <c r="BG25" s="451"/>
      <c r="BH25" s="452"/>
      <c r="BI25" s="465"/>
      <c r="BJ25" s="463">
        <v>0</v>
      </c>
      <c r="BK25" s="464"/>
      <c r="BL25" s="451"/>
      <c r="BM25" s="452"/>
      <c r="BN25" s="465"/>
      <c r="BO25" s="463">
        <v>0</v>
      </c>
      <c r="BP25" s="464"/>
      <c r="BQ25" s="451"/>
      <c r="BR25" s="452"/>
      <c r="BS25" s="465"/>
      <c r="BT25" s="463">
        <f>SUM(L25:BO25)</f>
        <v>6782654</v>
      </c>
      <c r="BU25" s="464"/>
      <c r="BV25" s="451"/>
      <c r="BW25" s="452"/>
      <c r="BX25" s="465"/>
      <c r="BY25" s="463">
        <v>3681510</v>
      </c>
      <c r="BZ25" s="464"/>
      <c r="CA25" s="451"/>
      <c r="CB25" s="452"/>
      <c r="CC25" s="465"/>
      <c r="CD25" s="463">
        <v>247104</v>
      </c>
      <c r="CE25" s="464"/>
      <c r="CF25" s="451"/>
      <c r="CG25" s="452"/>
      <c r="CH25" s="465"/>
      <c r="CI25" s="463">
        <v>217025</v>
      </c>
      <c r="CJ25" s="464"/>
      <c r="CK25" s="451"/>
      <c r="CL25" s="452"/>
      <c r="CM25" s="465"/>
      <c r="CN25" s="463">
        <v>251254</v>
      </c>
      <c r="CO25" s="464"/>
      <c r="CP25" s="451"/>
      <c r="CQ25" s="452"/>
      <c r="CR25" s="465"/>
      <c r="CS25" s="463">
        <v>217377</v>
      </c>
      <c r="CT25" s="464"/>
      <c r="CU25" s="451"/>
      <c r="CV25" s="452"/>
      <c r="CW25" s="465"/>
      <c r="CX25" s="463">
        <v>326256</v>
      </c>
      <c r="CY25" s="464"/>
      <c r="CZ25" s="451"/>
      <c r="DA25" s="452"/>
      <c r="DB25" s="465"/>
      <c r="DC25" s="463">
        <v>332818</v>
      </c>
      <c r="DD25" s="464"/>
      <c r="DE25" s="451"/>
      <c r="DF25" s="452"/>
      <c r="DG25" s="465"/>
      <c r="DH25" s="463">
        <v>561847</v>
      </c>
      <c r="DI25" s="464"/>
      <c r="DJ25" s="451"/>
      <c r="DK25" s="452"/>
      <c r="DL25" s="465"/>
      <c r="DM25" s="463">
        <v>147966</v>
      </c>
      <c r="DN25" s="464"/>
      <c r="DO25" s="451"/>
      <c r="DP25" s="452"/>
      <c r="DQ25" s="465"/>
      <c r="DR25" s="463">
        <v>410236</v>
      </c>
      <c r="DS25" s="464"/>
      <c r="DT25" s="451"/>
      <c r="DU25" s="452"/>
      <c r="DV25" s="465"/>
      <c r="DW25" s="463">
        <v>142852</v>
      </c>
      <c r="DX25" s="464"/>
      <c r="DY25" s="451"/>
      <c r="DZ25" s="452"/>
      <c r="EA25" s="465"/>
      <c r="EB25" s="463">
        <v>655040</v>
      </c>
      <c r="EC25" s="464"/>
      <c r="ED25" s="451"/>
      <c r="EE25" s="452"/>
      <c r="EF25" s="465"/>
      <c r="EG25" s="463">
        <v>171735</v>
      </c>
      <c r="EH25" s="464"/>
      <c r="EI25" s="451"/>
      <c r="EJ25" s="452"/>
      <c r="EK25" s="466"/>
      <c r="EL25" s="463">
        <f>SUM(CD25:DW25)</f>
        <v>2854735</v>
      </c>
      <c r="EM25" s="467"/>
      <c r="EN25" s="451"/>
      <c r="EO25" s="13"/>
      <c r="ER25" s="14"/>
      <c r="ES25" s="14"/>
    </row>
    <row r="26" spans="4:149" x14ac:dyDescent="0.2">
      <c r="D26" s="13"/>
      <c r="E26" s="452"/>
      <c r="G26" s="451"/>
      <c r="H26" s="451"/>
      <c r="I26" s="451"/>
      <c r="J26" s="452"/>
      <c r="K26" s="451"/>
      <c r="L26" s="451"/>
      <c r="M26" s="451"/>
      <c r="N26" s="451"/>
      <c r="O26" s="452"/>
      <c r="P26" s="451"/>
      <c r="Q26" s="451"/>
      <c r="R26" s="451"/>
      <c r="S26" s="451"/>
      <c r="T26" s="452"/>
      <c r="U26" s="451"/>
      <c r="V26" s="451"/>
      <c r="W26" s="451"/>
      <c r="X26" s="451"/>
      <c r="Y26" s="452"/>
      <c r="Z26" s="451"/>
      <c r="AA26" s="451"/>
      <c r="AB26" s="451"/>
      <c r="AC26" s="451"/>
      <c r="AD26" s="452"/>
      <c r="AE26" s="451"/>
      <c r="AF26" s="451"/>
      <c r="AG26" s="451"/>
      <c r="AH26" s="451"/>
      <c r="AI26" s="452"/>
      <c r="AJ26" s="451"/>
      <c r="AK26" s="451"/>
      <c r="AL26" s="451"/>
      <c r="AM26" s="451"/>
      <c r="AN26" s="452"/>
      <c r="AO26" s="451"/>
      <c r="AP26" s="451"/>
      <c r="AQ26" s="451"/>
      <c r="AR26" s="451"/>
      <c r="AS26" s="452"/>
      <c r="AT26" s="451"/>
      <c r="AU26" s="451"/>
      <c r="AV26" s="451"/>
      <c r="AW26" s="451"/>
      <c r="AX26" s="452"/>
      <c r="AY26" s="451"/>
      <c r="AZ26" s="451"/>
      <c r="BA26" s="451"/>
      <c r="BB26" s="451"/>
      <c r="BC26" s="452"/>
      <c r="BD26" s="451"/>
      <c r="BE26" s="451"/>
      <c r="BF26" s="451"/>
      <c r="BG26" s="451"/>
      <c r="BH26" s="452"/>
      <c r="BI26" s="451"/>
      <c r="BJ26" s="451"/>
      <c r="BK26" s="451"/>
      <c r="BL26" s="451"/>
      <c r="BM26" s="452"/>
      <c r="BN26" s="451"/>
      <c r="BO26" s="451"/>
      <c r="BP26" s="451"/>
      <c r="BQ26" s="451"/>
      <c r="BR26" s="452"/>
      <c r="BS26" s="451"/>
      <c r="BT26" s="451"/>
      <c r="BU26" s="451"/>
      <c r="BV26" s="451"/>
      <c r="BW26" s="452"/>
      <c r="BX26" s="451"/>
      <c r="BY26" s="451"/>
      <c r="BZ26" s="451"/>
      <c r="CA26" s="451"/>
      <c r="CB26" s="452"/>
      <c r="CC26" s="451"/>
      <c r="CD26" s="451"/>
      <c r="CE26" s="451"/>
      <c r="CF26" s="451"/>
      <c r="CG26" s="452"/>
      <c r="CH26" s="451"/>
      <c r="CI26" s="451"/>
      <c r="CJ26" s="451"/>
      <c r="CK26" s="451"/>
      <c r="CL26" s="452"/>
      <c r="CM26" s="451"/>
      <c r="CN26" s="451"/>
      <c r="CO26" s="451"/>
      <c r="CP26" s="451"/>
      <c r="CQ26" s="452"/>
      <c r="CR26" s="451"/>
      <c r="CS26" s="451"/>
      <c r="CT26" s="451"/>
      <c r="CU26" s="451"/>
      <c r="CV26" s="452"/>
      <c r="CW26" s="451"/>
      <c r="CX26" s="451"/>
      <c r="CY26" s="451"/>
      <c r="CZ26" s="451"/>
      <c r="DA26" s="452"/>
      <c r="DB26" s="451"/>
      <c r="DC26" s="451"/>
      <c r="DD26" s="451"/>
      <c r="DE26" s="451"/>
      <c r="DF26" s="452"/>
      <c r="DG26" s="451"/>
      <c r="DH26" s="451"/>
      <c r="DI26" s="451"/>
      <c r="DJ26" s="451"/>
      <c r="DK26" s="452"/>
      <c r="DL26" s="451"/>
      <c r="DM26" s="451"/>
      <c r="DN26" s="451"/>
      <c r="DO26" s="451"/>
      <c r="DP26" s="452"/>
      <c r="DQ26" s="451"/>
      <c r="DR26" s="451"/>
      <c r="DS26" s="451"/>
      <c r="DT26" s="451"/>
      <c r="DU26" s="452"/>
      <c r="DV26" s="451"/>
      <c r="DW26" s="451"/>
      <c r="DX26" s="451"/>
      <c r="DY26" s="451"/>
      <c r="DZ26" s="452"/>
      <c r="EA26" s="451"/>
      <c r="EB26" s="451"/>
      <c r="EC26" s="451"/>
      <c r="ED26" s="451"/>
      <c r="EE26" s="452"/>
      <c r="EF26" s="451"/>
      <c r="EG26" s="451"/>
      <c r="EH26" s="451"/>
      <c r="EI26" s="451"/>
      <c r="EJ26" s="452"/>
      <c r="EK26" s="451"/>
      <c r="EL26" s="451"/>
      <c r="EM26" s="451"/>
      <c r="EN26" s="451"/>
      <c r="EO26" s="13"/>
      <c r="ER26" s="14"/>
      <c r="ES26" s="14"/>
    </row>
    <row r="27" spans="4:149" ht="12.75" customHeight="1" x14ac:dyDescent="0.2">
      <c r="D27" s="13" t="s">
        <v>352</v>
      </c>
      <c r="E27" s="452"/>
      <c r="G27" s="451">
        <f>SUM(G28:G31)</f>
        <v>0</v>
      </c>
      <c r="H27" s="451"/>
      <c r="I27" s="451"/>
      <c r="J27" s="452"/>
      <c r="K27" s="451"/>
      <c r="L27" s="451">
        <f>SUM(L28:L31)</f>
        <v>785463</v>
      </c>
      <c r="M27" s="451"/>
      <c r="N27" s="451"/>
      <c r="O27" s="452"/>
      <c r="P27" s="451"/>
      <c r="Q27" s="451">
        <f>SUM(Q28:Q31)</f>
        <v>1376442.4509999999</v>
      </c>
      <c r="R27" s="451"/>
      <c r="S27" s="451"/>
      <c r="T27" s="452"/>
      <c r="U27" s="451"/>
      <c r="V27" s="451">
        <f>SUM(V28:V31)</f>
        <v>2570775</v>
      </c>
      <c r="W27" s="451"/>
      <c r="X27" s="451"/>
      <c r="Y27" s="452"/>
      <c r="Z27" s="451"/>
      <c r="AA27" s="451">
        <f>SUM(AA28:AA31)</f>
        <v>3551900</v>
      </c>
      <c r="AB27" s="451"/>
      <c r="AC27" s="451"/>
      <c r="AD27" s="452"/>
      <c r="AE27" s="451"/>
      <c r="AF27" s="451">
        <f>SUM(AF28:AF31)</f>
        <v>893093</v>
      </c>
      <c r="AG27" s="451"/>
      <c r="AH27" s="451"/>
      <c r="AI27" s="452"/>
      <c r="AJ27" s="451"/>
      <c r="AK27" s="451">
        <f>SUM(AK28:AK31)</f>
        <v>4673396</v>
      </c>
      <c r="AL27" s="451"/>
      <c r="AM27" s="451"/>
      <c r="AN27" s="452"/>
      <c r="AO27" s="451"/>
      <c r="AP27" s="451">
        <f>SUM(AP28:AP31)</f>
        <v>2503075</v>
      </c>
      <c r="AQ27" s="451"/>
      <c r="AR27" s="451"/>
      <c r="AS27" s="452"/>
      <c r="AT27" s="451"/>
      <c r="AU27" s="451">
        <f>SUM(AU28:AU31)</f>
        <v>2153351</v>
      </c>
      <c r="AV27" s="451"/>
      <c r="AW27" s="451"/>
      <c r="AX27" s="452"/>
      <c r="AY27" s="451"/>
      <c r="AZ27" s="451">
        <f>SUM(AZ28:AZ31)</f>
        <v>2186436</v>
      </c>
      <c r="BA27" s="451"/>
      <c r="BB27" s="451"/>
      <c r="BC27" s="452"/>
      <c r="BD27" s="451"/>
      <c r="BE27" s="451">
        <f>SUM(BE28:BE31)</f>
        <v>482233</v>
      </c>
      <c r="BF27" s="451"/>
      <c r="BG27" s="451"/>
      <c r="BH27" s="452"/>
      <c r="BI27" s="451"/>
      <c r="BJ27" s="451">
        <f>SUM(BJ28:BJ31)</f>
        <v>0</v>
      </c>
      <c r="BK27" s="451"/>
      <c r="BL27" s="451"/>
      <c r="BM27" s="452"/>
      <c r="BN27" s="451"/>
      <c r="BO27" s="451">
        <f>SUM(BO28:BO31)</f>
        <v>0</v>
      </c>
      <c r="BP27" s="451"/>
      <c r="BQ27" s="451"/>
      <c r="BR27" s="452"/>
      <c r="BS27" s="451"/>
      <c r="BT27" s="451">
        <f>SUM(BT28:BT31)</f>
        <v>21176164.450999998</v>
      </c>
      <c r="BU27" s="451"/>
      <c r="BV27" s="451"/>
      <c r="BW27" s="452"/>
      <c r="BX27" s="451"/>
      <c r="BY27" s="451">
        <f>SUM(BY28:BY31)</f>
        <v>10392766</v>
      </c>
      <c r="BZ27" s="451"/>
      <c r="CA27" s="451"/>
      <c r="CB27" s="452"/>
      <c r="CC27" s="451"/>
      <c r="CD27" s="451">
        <f>SUM(CD28:CD31)</f>
        <v>542418</v>
      </c>
      <c r="CE27" s="451"/>
      <c r="CF27" s="451"/>
      <c r="CG27" s="452"/>
      <c r="CH27" s="451"/>
      <c r="CI27" s="451">
        <f>SUM(CI28:CI31)</f>
        <v>691639</v>
      </c>
      <c r="CJ27" s="451"/>
      <c r="CK27" s="451"/>
      <c r="CL27" s="452"/>
      <c r="CM27" s="451"/>
      <c r="CN27" s="451">
        <f>SUM(CN28:CN31)</f>
        <v>1153612</v>
      </c>
      <c r="CO27" s="451"/>
      <c r="CP27" s="451"/>
      <c r="CQ27" s="452"/>
      <c r="CR27" s="451"/>
      <c r="CS27" s="451">
        <f>SUM(CS28:CS31)</f>
        <v>983226</v>
      </c>
      <c r="CT27" s="451"/>
      <c r="CU27" s="451"/>
      <c r="CV27" s="452"/>
      <c r="CW27" s="451"/>
      <c r="CX27" s="451">
        <f>SUM(CX28:CX31)</f>
        <v>532805</v>
      </c>
      <c r="CY27" s="451"/>
      <c r="CZ27" s="451"/>
      <c r="DA27" s="452"/>
      <c r="DB27" s="451"/>
      <c r="DC27" s="451">
        <f>SUM(DC28:DC31)</f>
        <v>1445658</v>
      </c>
      <c r="DD27" s="451"/>
      <c r="DE27" s="451"/>
      <c r="DF27" s="452"/>
      <c r="DG27" s="451"/>
      <c r="DH27" s="451">
        <f>SUM(DH28:DH31)</f>
        <v>1848510</v>
      </c>
      <c r="DI27" s="451"/>
      <c r="DJ27" s="451"/>
      <c r="DK27" s="452"/>
      <c r="DL27" s="451"/>
      <c r="DM27" s="451">
        <f>SUM(DM28:DM31)</f>
        <v>1375404</v>
      </c>
      <c r="DN27" s="451"/>
      <c r="DO27" s="451"/>
      <c r="DP27" s="452"/>
      <c r="DQ27" s="451"/>
      <c r="DR27" s="451">
        <f>SUM(DR28:DR31)</f>
        <v>481533</v>
      </c>
      <c r="DS27" s="451"/>
      <c r="DT27" s="451"/>
      <c r="DU27" s="452"/>
      <c r="DV27" s="451"/>
      <c r="DW27" s="451">
        <f>SUM(DW28:DW31)</f>
        <v>0</v>
      </c>
      <c r="DX27" s="451"/>
      <c r="DY27" s="451"/>
      <c r="DZ27" s="452"/>
      <c r="EA27" s="451"/>
      <c r="EB27" s="451">
        <f>SUM(EB28:EB31)</f>
        <v>774542</v>
      </c>
      <c r="EC27" s="451"/>
      <c r="ED27" s="451"/>
      <c r="EE27" s="452"/>
      <c r="EF27" s="451"/>
      <c r="EG27" s="451">
        <f>SUM(EG28:EG31)</f>
        <v>563419</v>
      </c>
      <c r="EH27" s="451"/>
      <c r="EI27" s="451"/>
      <c r="EJ27" s="452"/>
      <c r="EK27" s="451"/>
      <c r="EL27" s="451">
        <f>SUM(EL28:EL31)</f>
        <v>9054805</v>
      </c>
      <c r="EM27" s="451"/>
      <c r="EN27" s="451"/>
      <c r="EO27" s="13"/>
      <c r="ER27" s="14"/>
      <c r="ES27" s="14"/>
    </row>
    <row r="28" spans="4:149" ht="12.75" customHeight="1" x14ac:dyDescent="0.2">
      <c r="D28" s="13" t="s">
        <v>347</v>
      </c>
      <c r="E28" s="452"/>
      <c r="F28" s="374"/>
      <c r="G28" s="449">
        <v>0</v>
      </c>
      <c r="H28" s="450"/>
      <c r="I28" s="451"/>
      <c r="J28" s="452"/>
      <c r="K28" s="453"/>
      <c r="L28" s="449">
        <f>535000-248436</f>
        <v>286564</v>
      </c>
      <c r="M28" s="450"/>
      <c r="N28" s="451"/>
      <c r="O28" s="452"/>
      <c r="P28" s="453"/>
      <c r="Q28" s="449">
        <f>930000-392511</f>
        <v>537489</v>
      </c>
      <c r="R28" s="450"/>
      <c r="S28" s="451"/>
      <c r="T28" s="452"/>
      <c r="U28" s="453"/>
      <c r="V28" s="449">
        <f>1730000-716748</f>
        <v>1013252</v>
      </c>
      <c r="W28" s="450"/>
      <c r="X28" s="451"/>
      <c r="Y28" s="452"/>
      <c r="Z28" s="453"/>
      <c r="AA28" s="449">
        <f>2390000-1077832</f>
        <v>1312168</v>
      </c>
      <c r="AB28" s="450"/>
      <c r="AC28" s="451"/>
      <c r="AD28" s="452"/>
      <c r="AE28" s="453"/>
      <c r="AF28" s="449">
        <f>605000-265407</f>
        <v>339593</v>
      </c>
      <c r="AG28" s="450"/>
      <c r="AH28" s="451"/>
      <c r="AI28" s="452"/>
      <c r="AJ28" s="453"/>
      <c r="AK28" s="449">
        <f>3165000-1330925</f>
        <v>1834075</v>
      </c>
      <c r="AL28" s="450"/>
      <c r="AM28" s="451"/>
      <c r="AN28" s="452"/>
      <c r="AO28" s="453"/>
      <c r="AP28" s="449">
        <f>1680000-749012</f>
        <v>930988</v>
      </c>
      <c r="AQ28" s="450"/>
      <c r="AR28" s="451"/>
      <c r="AS28" s="452"/>
      <c r="AT28" s="453"/>
      <c r="AU28" s="449">
        <f>1435000-630623</f>
        <v>804377</v>
      </c>
      <c r="AV28" s="450"/>
      <c r="AW28" s="451"/>
      <c r="AX28" s="452"/>
      <c r="AY28" s="453"/>
      <c r="AZ28" s="449">
        <f>1455000-613374</f>
        <v>841626</v>
      </c>
      <c r="BA28" s="450"/>
      <c r="BB28" s="451"/>
      <c r="BC28" s="452"/>
      <c r="BD28" s="453"/>
      <c r="BE28" s="449">
        <f>320000-125783</f>
        <v>194217</v>
      </c>
      <c r="BF28" s="450"/>
      <c r="BG28" s="451"/>
      <c r="BH28" s="452"/>
      <c r="BI28" s="453"/>
      <c r="BJ28" s="449">
        <v>0</v>
      </c>
      <c r="BK28" s="450"/>
      <c r="BL28" s="451"/>
      <c r="BM28" s="452"/>
      <c r="BN28" s="453"/>
      <c r="BO28" s="449">
        <v>0</v>
      </c>
      <c r="BP28" s="450"/>
      <c r="BQ28" s="451"/>
      <c r="BR28" s="452"/>
      <c r="BS28" s="453"/>
      <c r="BT28" s="449">
        <f>SUM(L28:BO28)</f>
        <v>8094349</v>
      </c>
      <c r="BU28" s="450"/>
      <c r="BV28" s="451"/>
      <c r="BW28" s="452"/>
      <c r="BX28" s="453"/>
      <c r="BY28" s="449">
        <v>5329138</v>
      </c>
      <c r="BZ28" s="450"/>
      <c r="CA28" s="451"/>
      <c r="CB28" s="452"/>
      <c r="CC28" s="453"/>
      <c r="CD28" s="449">
        <f>385000-82755</f>
        <v>302245</v>
      </c>
      <c r="CE28" s="450"/>
      <c r="CF28" s="451"/>
      <c r="CG28" s="452"/>
      <c r="CH28" s="453"/>
      <c r="CI28" s="449">
        <f>490000-96874</f>
        <v>393126</v>
      </c>
      <c r="CJ28" s="450"/>
      <c r="CK28" s="451"/>
      <c r="CL28" s="452"/>
      <c r="CM28" s="453"/>
      <c r="CN28" s="449">
        <f>810000-177882</f>
        <v>632118</v>
      </c>
      <c r="CO28" s="450"/>
      <c r="CP28" s="451"/>
      <c r="CQ28" s="452"/>
      <c r="CR28" s="453"/>
      <c r="CS28" s="449">
        <f>685000-150743</f>
        <v>534257</v>
      </c>
      <c r="CT28" s="450"/>
      <c r="CU28" s="451"/>
      <c r="CV28" s="452"/>
      <c r="CW28" s="453"/>
      <c r="CX28" s="449">
        <f>370000-89582</f>
        <v>280418</v>
      </c>
      <c r="CY28" s="450"/>
      <c r="CZ28" s="451"/>
      <c r="DA28" s="452"/>
      <c r="DB28" s="453"/>
      <c r="DC28" s="449">
        <f>1000000-256392</f>
        <v>743608</v>
      </c>
      <c r="DD28" s="450"/>
      <c r="DE28" s="451"/>
      <c r="DF28" s="452"/>
      <c r="DG28" s="453"/>
      <c r="DH28" s="449">
        <f>1275000-329766</f>
        <v>945234</v>
      </c>
      <c r="DI28" s="450"/>
      <c r="DJ28" s="451"/>
      <c r="DK28" s="452"/>
      <c r="DL28" s="453"/>
      <c r="DM28" s="449">
        <f>945000-279439</f>
        <v>665561</v>
      </c>
      <c r="DN28" s="450"/>
      <c r="DO28" s="451"/>
      <c r="DP28" s="452"/>
      <c r="DQ28" s="453"/>
      <c r="DR28" s="449">
        <f>330000-98786</f>
        <v>231214</v>
      </c>
      <c r="DS28" s="450"/>
      <c r="DT28" s="451"/>
      <c r="DU28" s="452"/>
      <c r="DV28" s="453"/>
      <c r="DW28" s="449">
        <v>0</v>
      </c>
      <c r="DX28" s="450"/>
      <c r="DY28" s="451"/>
      <c r="DZ28" s="452"/>
      <c r="EA28" s="453"/>
      <c r="EB28" s="449">
        <f>530000-164514</f>
        <v>365486</v>
      </c>
      <c r="EC28" s="450"/>
      <c r="ED28" s="451"/>
      <c r="EE28" s="452"/>
      <c r="EF28" s="453"/>
      <c r="EG28" s="449">
        <f>385000-149129</f>
        <v>235871</v>
      </c>
      <c r="EH28" s="450"/>
      <c r="EI28" s="451"/>
      <c r="EJ28" s="452"/>
      <c r="EK28" s="453"/>
      <c r="EL28" s="449">
        <f>SUM(CD28:DW28)</f>
        <v>4727781</v>
      </c>
      <c r="EM28" s="450"/>
      <c r="EN28" s="451"/>
      <c r="EO28" s="13"/>
      <c r="ER28" s="14"/>
      <c r="ES28" s="14"/>
    </row>
    <row r="29" spans="4:149" ht="12.75" customHeight="1" x14ac:dyDescent="0.2">
      <c r="D29" s="13" t="s">
        <v>349</v>
      </c>
      <c r="E29" s="452"/>
      <c r="F29" s="198"/>
      <c r="G29" s="451">
        <v>0</v>
      </c>
      <c r="H29" s="455"/>
      <c r="I29" s="451"/>
      <c r="J29" s="452"/>
      <c r="K29" s="452"/>
      <c r="L29" s="451">
        <v>248436</v>
      </c>
      <c r="M29" s="455"/>
      <c r="N29" s="451"/>
      <c r="O29" s="452"/>
      <c r="P29" s="452"/>
      <c r="Q29" s="451">
        <v>392511</v>
      </c>
      <c r="R29" s="455"/>
      <c r="S29" s="451"/>
      <c r="T29" s="452"/>
      <c r="U29" s="452"/>
      <c r="V29" s="451">
        <v>716748</v>
      </c>
      <c r="W29" s="455"/>
      <c r="X29" s="451"/>
      <c r="Y29" s="452"/>
      <c r="Z29" s="452"/>
      <c r="AA29" s="451">
        <v>1077832</v>
      </c>
      <c r="AB29" s="455"/>
      <c r="AC29" s="451"/>
      <c r="AD29" s="452"/>
      <c r="AE29" s="452"/>
      <c r="AF29" s="451">
        <v>265407</v>
      </c>
      <c r="AG29" s="455"/>
      <c r="AH29" s="451"/>
      <c r="AI29" s="452"/>
      <c r="AJ29" s="452"/>
      <c r="AK29" s="451">
        <v>1330925</v>
      </c>
      <c r="AL29" s="455"/>
      <c r="AM29" s="451"/>
      <c r="AN29" s="452"/>
      <c r="AO29" s="452"/>
      <c r="AP29" s="451">
        <v>749012</v>
      </c>
      <c r="AQ29" s="455"/>
      <c r="AR29" s="451"/>
      <c r="AS29" s="452"/>
      <c r="AT29" s="452"/>
      <c r="AU29" s="451">
        <v>630623</v>
      </c>
      <c r="AV29" s="455"/>
      <c r="AW29" s="451"/>
      <c r="AX29" s="452"/>
      <c r="AY29" s="452"/>
      <c r="AZ29" s="451">
        <v>613374</v>
      </c>
      <c r="BA29" s="455"/>
      <c r="BB29" s="451"/>
      <c r="BC29" s="452"/>
      <c r="BD29" s="452"/>
      <c r="BE29" s="451">
        <v>125783</v>
      </c>
      <c r="BF29" s="455"/>
      <c r="BG29" s="451"/>
      <c r="BH29" s="452"/>
      <c r="BI29" s="452"/>
      <c r="BJ29" s="451">
        <v>0</v>
      </c>
      <c r="BK29" s="455"/>
      <c r="BL29" s="451"/>
      <c r="BM29" s="452"/>
      <c r="BN29" s="452"/>
      <c r="BO29" s="451">
        <v>0</v>
      </c>
      <c r="BP29" s="455"/>
      <c r="BQ29" s="451"/>
      <c r="BR29" s="452"/>
      <c r="BS29" s="452"/>
      <c r="BT29" s="451">
        <f>SUM(L29:BO29)</f>
        <v>6150651</v>
      </c>
      <c r="BU29" s="455"/>
      <c r="BV29" s="451"/>
      <c r="BW29" s="452"/>
      <c r="BX29" s="452"/>
      <c r="BY29" s="451">
        <v>1875862</v>
      </c>
      <c r="BZ29" s="455"/>
      <c r="CA29" s="451"/>
      <c r="CB29" s="452"/>
      <c r="CC29" s="452"/>
      <c r="CD29" s="451">
        <v>82755</v>
      </c>
      <c r="CE29" s="455"/>
      <c r="CF29" s="451"/>
      <c r="CG29" s="452"/>
      <c r="CH29" s="452"/>
      <c r="CI29" s="451">
        <v>96874</v>
      </c>
      <c r="CJ29" s="455"/>
      <c r="CK29" s="451"/>
      <c r="CL29" s="452"/>
      <c r="CM29" s="452"/>
      <c r="CN29" s="451">
        <v>177882</v>
      </c>
      <c r="CO29" s="455"/>
      <c r="CP29" s="451"/>
      <c r="CQ29" s="452"/>
      <c r="CR29" s="452"/>
      <c r="CS29" s="451">
        <v>150743</v>
      </c>
      <c r="CT29" s="455"/>
      <c r="CU29" s="451"/>
      <c r="CV29" s="452"/>
      <c r="CW29" s="452"/>
      <c r="CX29" s="451">
        <v>89582</v>
      </c>
      <c r="CY29" s="455"/>
      <c r="CZ29" s="451"/>
      <c r="DA29" s="452"/>
      <c r="DB29" s="452"/>
      <c r="DC29" s="451">
        <v>256392</v>
      </c>
      <c r="DD29" s="455"/>
      <c r="DE29" s="451"/>
      <c r="DF29" s="452"/>
      <c r="DG29" s="452"/>
      <c r="DH29" s="451">
        <v>329766</v>
      </c>
      <c r="DI29" s="455"/>
      <c r="DJ29" s="451"/>
      <c r="DK29" s="452"/>
      <c r="DL29" s="452"/>
      <c r="DM29" s="451">
        <v>279439</v>
      </c>
      <c r="DN29" s="455"/>
      <c r="DO29" s="451"/>
      <c r="DP29" s="452"/>
      <c r="DQ29" s="452"/>
      <c r="DR29" s="451">
        <v>98786</v>
      </c>
      <c r="DS29" s="455"/>
      <c r="DT29" s="451"/>
      <c r="DU29" s="452"/>
      <c r="DV29" s="452"/>
      <c r="DW29" s="451">
        <v>0</v>
      </c>
      <c r="DX29" s="455"/>
      <c r="DY29" s="451"/>
      <c r="DZ29" s="452"/>
      <c r="EA29" s="452"/>
      <c r="EB29" s="451">
        <v>164514</v>
      </c>
      <c r="EC29" s="455"/>
      <c r="ED29" s="451"/>
      <c r="EE29" s="452"/>
      <c r="EF29" s="452"/>
      <c r="EG29" s="451">
        <v>149129</v>
      </c>
      <c r="EH29" s="455"/>
      <c r="EI29" s="451"/>
      <c r="EJ29" s="452"/>
      <c r="EK29" s="452"/>
      <c r="EL29" s="451">
        <f>SUM(CD29:DW29)</f>
        <v>1562219</v>
      </c>
      <c r="EM29" s="455"/>
      <c r="EN29" s="451"/>
      <c r="EO29" s="13"/>
      <c r="ER29" s="14"/>
      <c r="ES29" s="14"/>
    </row>
    <row r="30" spans="4:149" ht="12.75" customHeight="1" x14ac:dyDescent="0.2">
      <c r="D30" s="13" t="s">
        <v>350</v>
      </c>
      <c r="E30" s="452"/>
      <c r="F30" s="198"/>
      <c r="G30" s="451">
        <v>0</v>
      </c>
      <c r="H30" s="455"/>
      <c r="I30" s="451"/>
      <c r="J30" s="452"/>
      <c r="K30" s="452"/>
      <c r="L30" s="451">
        <v>0</v>
      </c>
      <c r="M30" s="455"/>
      <c r="N30" s="451"/>
      <c r="O30" s="452"/>
      <c r="P30" s="452"/>
      <c r="Q30" s="451">
        <v>0</v>
      </c>
      <c r="R30" s="455"/>
      <c r="S30" s="451"/>
      <c r="T30" s="452"/>
      <c r="U30" s="452"/>
      <c r="V30" s="451">
        <v>0</v>
      </c>
      <c r="W30" s="455"/>
      <c r="X30" s="451"/>
      <c r="Y30" s="452"/>
      <c r="Z30" s="452"/>
      <c r="AA30" s="451">
        <v>0</v>
      </c>
      <c r="AB30" s="455"/>
      <c r="AC30" s="451"/>
      <c r="AD30" s="452"/>
      <c r="AE30" s="452"/>
      <c r="AF30" s="451">
        <v>0</v>
      </c>
      <c r="AG30" s="455"/>
      <c r="AH30" s="451"/>
      <c r="AI30" s="452"/>
      <c r="AJ30" s="452"/>
      <c r="AK30" s="451">
        <v>0</v>
      </c>
      <c r="AL30" s="455"/>
      <c r="AM30" s="451"/>
      <c r="AN30" s="452"/>
      <c r="AO30" s="452"/>
      <c r="AP30" s="451">
        <v>0</v>
      </c>
      <c r="AQ30" s="455"/>
      <c r="AR30" s="451"/>
      <c r="AS30" s="452"/>
      <c r="AT30" s="452"/>
      <c r="AU30" s="451">
        <v>0</v>
      </c>
      <c r="AV30" s="455"/>
      <c r="AW30" s="451"/>
      <c r="AX30" s="452"/>
      <c r="AY30" s="452"/>
      <c r="AZ30" s="451">
        <v>0</v>
      </c>
      <c r="BA30" s="455"/>
      <c r="BB30" s="451"/>
      <c r="BC30" s="452"/>
      <c r="BD30" s="452"/>
      <c r="BE30" s="451">
        <v>0</v>
      </c>
      <c r="BF30" s="455"/>
      <c r="BG30" s="451"/>
      <c r="BH30" s="452"/>
      <c r="BI30" s="452"/>
      <c r="BJ30" s="451">
        <v>0</v>
      </c>
      <c r="BK30" s="455"/>
      <c r="BL30" s="451"/>
      <c r="BM30" s="452"/>
      <c r="BN30" s="452"/>
      <c r="BO30" s="451">
        <v>0</v>
      </c>
      <c r="BP30" s="455"/>
      <c r="BQ30" s="451"/>
      <c r="BR30" s="452"/>
      <c r="BS30" s="452"/>
      <c r="BT30" s="451">
        <f>SUM(L30:BO30)</f>
        <v>0</v>
      </c>
      <c r="BU30" s="455"/>
      <c r="BV30" s="451"/>
      <c r="BW30" s="452"/>
      <c r="BX30" s="452"/>
      <c r="BY30" s="451">
        <v>0</v>
      </c>
      <c r="BZ30" s="455"/>
      <c r="CA30" s="451"/>
      <c r="CB30" s="452"/>
      <c r="CC30" s="452"/>
      <c r="CD30" s="451">
        <v>0</v>
      </c>
      <c r="CE30" s="455"/>
      <c r="CF30" s="451"/>
      <c r="CG30" s="452"/>
      <c r="CH30" s="452"/>
      <c r="CI30" s="451">
        <v>0</v>
      </c>
      <c r="CJ30" s="455"/>
      <c r="CK30" s="451"/>
      <c r="CL30" s="452"/>
      <c r="CM30" s="452"/>
      <c r="CN30" s="451">
        <v>0</v>
      </c>
      <c r="CO30" s="455"/>
      <c r="CP30" s="451"/>
      <c r="CQ30" s="452"/>
      <c r="CR30" s="452"/>
      <c r="CS30" s="451">
        <v>0</v>
      </c>
      <c r="CT30" s="455"/>
      <c r="CU30" s="451"/>
      <c r="CV30" s="452"/>
      <c r="CW30" s="452"/>
      <c r="CX30" s="451">
        <v>0</v>
      </c>
      <c r="CY30" s="455"/>
      <c r="CZ30" s="451"/>
      <c r="DA30" s="452"/>
      <c r="DB30" s="452"/>
      <c r="DC30" s="451">
        <v>0</v>
      </c>
      <c r="DD30" s="455"/>
      <c r="DE30" s="451"/>
      <c r="DF30" s="452"/>
      <c r="DG30" s="452"/>
      <c r="DH30" s="451">
        <v>0</v>
      </c>
      <c r="DI30" s="455"/>
      <c r="DJ30" s="451"/>
      <c r="DK30" s="452"/>
      <c r="DL30" s="452"/>
      <c r="DM30" s="451">
        <v>0</v>
      </c>
      <c r="DN30" s="455"/>
      <c r="DO30" s="451"/>
      <c r="DP30" s="452"/>
      <c r="DQ30" s="452"/>
      <c r="DR30" s="451">
        <v>0</v>
      </c>
      <c r="DS30" s="455"/>
      <c r="DT30" s="451"/>
      <c r="DU30" s="452"/>
      <c r="DV30" s="452"/>
      <c r="DW30" s="451">
        <v>0</v>
      </c>
      <c r="DX30" s="455"/>
      <c r="DY30" s="451"/>
      <c r="DZ30" s="452"/>
      <c r="EA30" s="452"/>
      <c r="EB30" s="451">
        <v>0</v>
      </c>
      <c r="EC30" s="455"/>
      <c r="ED30" s="451"/>
      <c r="EE30" s="452"/>
      <c r="EF30" s="452"/>
      <c r="EG30" s="451">
        <v>0</v>
      </c>
      <c r="EH30" s="455"/>
      <c r="EI30" s="451"/>
      <c r="EJ30" s="452"/>
      <c r="EK30" s="452"/>
      <c r="EL30" s="451">
        <f>SUM(CD30:DW30)</f>
        <v>0</v>
      </c>
      <c r="EM30" s="455"/>
      <c r="EN30" s="451"/>
      <c r="EO30" s="13"/>
      <c r="ER30" s="14"/>
      <c r="ES30" s="14"/>
    </row>
    <row r="31" spans="4:149" ht="12.75" customHeight="1" x14ac:dyDescent="0.2">
      <c r="D31" s="13" t="s">
        <v>351</v>
      </c>
      <c r="E31" s="452"/>
      <c r="F31" s="385"/>
      <c r="G31" s="463">
        <v>0</v>
      </c>
      <c r="H31" s="464"/>
      <c r="I31" s="451"/>
      <c r="J31" s="452"/>
      <c r="K31" s="465"/>
      <c r="L31" s="463">
        <v>250463</v>
      </c>
      <c r="M31" s="464"/>
      <c r="N31" s="451"/>
      <c r="O31" s="452"/>
      <c r="P31" s="465"/>
      <c r="Q31" s="463">
        <v>446442.451</v>
      </c>
      <c r="R31" s="464"/>
      <c r="S31" s="451"/>
      <c r="T31" s="452"/>
      <c r="U31" s="465"/>
      <c r="V31" s="463">
        <v>840775</v>
      </c>
      <c r="W31" s="464"/>
      <c r="X31" s="451"/>
      <c r="Y31" s="452"/>
      <c r="Z31" s="465"/>
      <c r="AA31" s="463">
        <v>1161900</v>
      </c>
      <c r="AB31" s="464"/>
      <c r="AC31" s="451"/>
      <c r="AD31" s="452"/>
      <c r="AE31" s="465"/>
      <c r="AF31" s="463">
        <v>288093</v>
      </c>
      <c r="AG31" s="464"/>
      <c r="AH31" s="451"/>
      <c r="AI31" s="452"/>
      <c r="AJ31" s="465"/>
      <c r="AK31" s="463">
        <v>1508396</v>
      </c>
      <c r="AL31" s="464"/>
      <c r="AM31" s="451"/>
      <c r="AN31" s="452"/>
      <c r="AO31" s="465"/>
      <c r="AP31" s="463">
        <v>823075</v>
      </c>
      <c r="AQ31" s="464"/>
      <c r="AR31" s="451"/>
      <c r="AS31" s="452"/>
      <c r="AT31" s="465"/>
      <c r="AU31" s="463">
        <v>718351</v>
      </c>
      <c r="AV31" s="464"/>
      <c r="AW31" s="451"/>
      <c r="AX31" s="452"/>
      <c r="AY31" s="465"/>
      <c r="AZ31" s="463">
        <v>731436</v>
      </c>
      <c r="BA31" s="464"/>
      <c r="BB31" s="451"/>
      <c r="BC31" s="452"/>
      <c r="BD31" s="465"/>
      <c r="BE31" s="463">
        <v>162233</v>
      </c>
      <c r="BF31" s="464"/>
      <c r="BG31" s="451"/>
      <c r="BH31" s="452"/>
      <c r="BI31" s="465"/>
      <c r="BJ31" s="463">
        <v>0</v>
      </c>
      <c r="BK31" s="464"/>
      <c r="BL31" s="451"/>
      <c r="BM31" s="452"/>
      <c r="BN31" s="465"/>
      <c r="BO31" s="463">
        <v>0</v>
      </c>
      <c r="BP31" s="464"/>
      <c r="BQ31" s="451"/>
      <c r="BR31" s="452"/>
      <c r="BS31" s="465"/>
      <c r="BT31" s="463">
        <f>SUM(L31:BO31)</f>
        <v>6931164.4509999994</v>
      </c>
      <c r="BU31" s="464"/>
      <c r="BV31" s="451"/>
      <c r="BW31" s="452"/>
      <c r="BX31" s="465"/>
      <c r="BY31" s="463">
        <v>3187766</v>
      </c>
      <c r="BZ31" s="464"/>
      <c r="CA31" s="451"/>
      <c r="CB31" s="452"/>
      <c r="CC31" s="465"/>
      <c r="CD31" s="463">
        <v>157418</v>
      </c>
      <c r="CE31" s="464"/>
      <c r="CF31" s="451"/>
      <c r="CG31" s="452"/>
      <c r="CH31" s="465"/>
      <c r="CI31" s="463">
        <v>201639</v>
      </c>
      <c r="CJ31" s="464"/>
      <c r="CK31" s="451"/>
      <c r="CL31" s="452"/>
      <c r="CM31" s="465"/>
      <c r="CN31" s="463">
        <v>343612</v>
      </c>
      <c r="CO31" s="464"/>
      <c r="CP31" s="451"/>
      <c r="CQ31" s="452"/>
      <c r="CR31" s="465"/>
      <c r="CS31" s="463">
        <v>298226</v>
      </c>
      <c r="CT31" s="464"/>
      <c r="CU31" s="451"/>
      <c r="CV31" s="452"/>
      <c r="CW31" s="465"/>
      <c r="CX31" s="463">
        <v>162805</v>
      </c>
      <c r="CY31" s="464"/>
      <c r="CZ31" s="451"/>
      <c r="DA31" s="452"/>
      <c r="DB31" s="465"/>
      <c r="DC31" s="463">
        <v>445658</v>
      </c>
      <c r="DD31" s="464"/>
      <c r="DE31" s="451"/>
      <c r="DF31" s="452"/>
      <c r="DG31" s="465"/>
      <c r="DH31" s="463">
        <v>573510</v>
      </c>
      <c r="DI31" s="464"/>
      <c r="DJ31" s="451"/>
      <c r="DK31" s="452"/>
      <c r="DL31" s="465"/>
      <c r="DM31" s="463">
        <v>430404</v>
      </c>
      <c r="DN31" s="464"/>
      <c r="DO31" s="451"/>
      <c r="DP31" s="452"/>
      <c r="DQ31" s="465"/>
      <c r="DR31" s="463">
        <v>151533</v>
      </c>
      <c r="DS31" s="464"/>
      <c r="DT31" s="451"/>
      <c r="DU31" s="452"/>
      <c r="DV31" s="465"/>
      <c r="DW31" s="463">
        <v>0</v>
      </c>
      <c r="DX31" s="464"/>
      <c r="DY31" s="451"/>
      <c r="DZ31" s="452"/>
      <c r="EA31" s="465"/>
      <c r="EB31" s="463">
        <v>244542</v>
      </c>
      <c r="EC31" s="464"/>
      <c r="ED31" s="451"/>
      <c r="EE31" s="452"/>
      <c r="EF31" s="465"/>
      <c r="EG31" s="463">
        <v>178419</v>
      </c>
      <c r="EH31" s="464"/>
      <c r="EI31" s="451"/>
      <c r="EJ31" s="452"/>
      <c r="EK31" s="465"/>
      <c r="EL31" s="463">
        <f>SUM(CD31:DW31)</f>
        <v>2764805</v>
      </c>
      <c r="EM31" s="464"/>
      <c r="EN31" s="451"/>
      <c r="EO31" s="13"/>
      <c r="ER31" s="14"/>
      <c r="ES31" s="14"/>
    </row>
    <row r="32" spans="4:149" ht="12.75" customHeight="1" x14ac:dyDescent="0.2">
      <c r="D32" s="13"/>
      <c r="E32" s="452"/>
      <c r="G32" s="451"/>
      <c r="H32" s="451"/>
      <c r="I32" s="451"/>
      <c r="J32" s="452"/>
      <c r="K32" s="451"/>
      <c r="L32" s="451"/>
      <c r="M32" s="451"/>
      <c r="N32" s="451"/>
      <c r="O32" s="452"/>
      <c r="P32" s="451"/>
      <c r="Q32" s="451"/>
      <c r="R32" s="451"/>
      <c r="S32" s="451"/>
      <c r="T32" s="452"/>
      <c r="U32" s="451"/>
      <c r="V32" s="451"/>
      <c r="W32" s="451"/>
      <c r="X32" s="451"/>
      <c r="Y32" s="452"/>
      <c r="Z32" s="451"/>
      <c r="AA32" s="451"/>
      <c r="AB32" s="451"/>
      <c r="AC32" s="451"/>
      <c r="AD32" s="452"/>
      <c r="AE32" s="451"/>
      <c r="AF32" s="451"/>
      <c r="AG32" s="451"/>
      <c r="AH32" s="451"/>
      <c r="AI32" s="452"/>
      <c r="AJ32" s="451"/>
      <c r="AK32" s="451"/>
      <c r="AL32" s="451"/>
      <c r="AM32" s="451"/>
      <c r="AN32" s="452"/>
      <c r="AO32" s="451"/>
      <c r="AP32" s="451"/>
      <c r="AQ32" s="451"/>
      <c r="AR32" s="451"/>
      <c r="AS32" s="452"/>
      <c r="AT32" s="451"/>
      <c r="AU32" s="451"/>
      <c r="AV32" s="451"/>
      <c r="AW32" s="451"/>
      <c r="AX32" s="452"/>
      <c r="AY32" s="451"/>
      <c r="AZ32" s="451"/>
      <c r="BA32" s="451"/>
      <c r="BB32" s="451"/>
      <c r="BC32" s="452"/>
      <c r="BD32" s="451"/>
      <c r="BE32" s="451"/>
      <c r="BF32" s="451"/>
      <c r="BG32" s="451"/>
      <c r="BH32" s="452"/>
      <c r="BI32" s="451"/>
      <c r="BJ32" s="451"/>
      <c r="BK32" s="451"/>
      <c r="BL32" s="451"/>
      <c r="BM32" s="452"/>
      <c r="BN32" s="451"/>
      <c r="BO32" s="451"/>
      <c r="BP32" s="451"/>
      <c r="BQ32" s="451"/>
      <c r="BR32" s="452"/>
      <c r="BS32" s="451"/>
      <c r="BT32" s="451"/>
      <c r="BU32" s="451"/>
      <c r="BV32" s="451"/>
      <c r="BW32" s="452"/>
      <c r="BX32" s="451"/>
      <c r="BY32" s="451"/>
      <c r="BZ32" s="451"/>
      <c r="CA32" s="451"/>
      <c r="CB32" s="452"/>
      <c r="CC32" s="451"/>
      <c r="CD32" s="451"/>
      <c r="CE32" s="451"/>
      <c r="CF32" s="451"/>
      <c r="CG32" s="452"/>
      <c r="CH32" s="451"/>
      <c r="CI32" s="451"/>
      <c r="CJ32" s="451"/>
      <c r="CK32" s="451"/>
      <c r="CL32" s="452"/>
      <c r="CM32" s="451"/>
      <c r="CN32" s="451"/>
      <c r="CO32" s="451"/>
      <c r="CP32" s="451"/>
      <c r="CQ32" s="452"/>
      <c r="CR32" s="451"/>
      <c r="CS32" s="451"/>
      <c r="CT32" s="451"/>
      <c r="CU32" s="451"/>
      <c r="CV32" s="452"/>
      <c r="CW32" s="451"/>
      <c r="CX32" s="451"/>
      <c r="CY32" s="451"/>
      <c r="CZ32" s="451"/>
      <c r="DA32" s="452"/>
      <c r="DB32" s="451"/>
      <c r="DC32" s="451"/>
      <c r="DD32" s="451"/>
      <c r="DE32" s="451"/>
      <c r="DF32" s="452"/>
      <c r="DG32" s="451"/>
      <c r="DH32" s="451"/>
      <c r="DI32" s="451"/>
      <c r="DJ32" s="451"/>
      <c r="DK32" s="452"/>
      <c r="DL32" s="451"/>
      <c r="DM32" s="451"/>
      <c r="DN32" s="451"/>
      <c r="DO32" s="451"/>
      <c r="DP32" s="452"/>
      <c r="DQ32" s="451"/>
      <c r="DR32" s="451"/>
      <c r="DS32" s="451"/>
      <c r="DT32" s="451"/>
      <c r="DU32" s="452"/>
      <c r="DV32" s="451"/>
      <c r="DW32" s="451"/>
      <c r="DX32" s="451"/>
      <c r="DY32" s="451"/>
      <c r="DZ32" s="452"/>
      <c r="EA32" s="451"/>
      <c r="EB32" s="451"/>
      <c r="EC32" s="451"/>
      <c r="ED32" s="451"/>
      <c r="EE32" s="452"/>
      <c r="EF32" s="451"/>
      <c r="EG32" s="451"/>
      <c r="EH32" s="451"/>
      <c r="EI32" s="451"/>
      <c r="EJ32" s="452"/>
      <c r="EK32" s="451"/>
      <c r="EL32" s="451"/>
      <c r="EM32" s="451"/>
      <c r="EN32" s="451"/>
      <c r="EO32" s="13"/>
      <c r="ER32" s="14"/>
      <c r="ES32" s="14"/>
    </row>
    <row r="33" spans="4:149" ht="12.75" customHeight="1" x14ac:dyDescent="0.2">
      <c r="D33" s="13" t="s">
        <v>353</v>
      </c>
      <c r="E33" s="452"/>
      <c r="G33" s="451">
        <f>SUM(G34:G37)</f>
        <v>0</v>
      </c>
      <c r="H33" s="451"/>
      <c r="I33" s="451"/>
      <c r="J33" s="452"/>
      <c r="K33" s="451"/>
      <c r="L33" s="451">
        <f>SUM(L34:L37)</f>
        <v>318599</v>
      </c>
      <c r="M33" s="451"/>
      <c r="N33" s="451"/>
      <c r="O33" s="452"/>
      <c r="P33" s="451"/>
      <c r="Q33" s="451">
        <f>SUM(Q34:Q37)</f>
        <v>528391</v>
      </c>
      <c r="R33" s="451"/>
      <c r="S33" s="451"/>
      <c r="T33" s="452"/>
      <c r="U33" s="451"/>
      <c r="V33" s="451">
        <f>SUM(V34:V37)</f>
        <v>861012</v>
      </c>
      <c r="W33" s="451"/>
      <c r="X33" s="451"/>
      <c r="Y33" s="452"/>
      <c r="Z33" s="451"/>
      <c r="AA33" s="451">
        <f>SUM(AA34:AA37)</f>
        <v>3064348</v>
      </c>
      <c r="AB33" s="451"/>
      <c r="AC33" s="451"/>
      <c r="AD33" s="452"/>
      <c r="AE33" s="451"/>
      <c r="AF33" s="451">
        <f>SUM(AF34:AF37)</f>
        <v>3292135</v>
      </c>
      <c r="AG33" s="451"/>
      <c r="AH33" s="451"/>
      <c r="AI33" s="452"/>
      <c r="AJ33" s="451"/>
      <c r="AK33" s="451">
        <f>SUM(AK34:AK37)</f>
        <v>3720536</v>
      </c>
      <c r="AL33" s="451"/>
      <c r="AM33" s="451"/>
      <c r="AN33" s="452"/>
      <c r="AO33" s="451"/>
      <c r="AP33" s="451">
        <f>SUM(AP34:AP37)</f>
        <v>3706561</v>
      </c>
      <c r="AQ33" s="451"/>
      <c r="AR33" s="451"/>
      <c r="AS33" s="452"/>
      <c r="AT33" s="451"/>
      <c r="AU33" s="451">
        <f>SUM(AU34:AU37)</f>
        <v>2192871</v>
      </c>
      <c r="AV33" s="451"/>
      <c r="AW33" s="451"/>
      <c r="AX33" s="452"/>
      <c r="AY33" s="451"/>
      <c r="AZ33" s="451">
        <f>SUM(AZ34:AZ37)</f>
        <v>1770793</v>
      </c>
      <c r="BA33" s="451"/>
      <c r="BB33" s="451"/>
      <c r="BC33" s="452"/>
      <c r="BD33" s="451"/>
      <c r="BE33" s="451">
        <f>SUM(BE34:BE37)</f>
        <v>610750</v>
      </c>
      <c r="BF33" s="451"/>
      <c r="BG33" s="451"/>
      <c r="BH33" s="452"/>
      <c r="BI33" s="451"/>
      <c r="BJ33" s="451">
        <f>SUM(BJ34:BJ37)</f>
        <v>0</v>
      </c>
      <c r="BK33" s="451"/>
      <c r="BL33" s="451"/>
      <c r="BM33" s="452"/>
      <c r="BN33" s="451"/>
      <c r="BO33" s="451">
        <f>SUM(BO34:BO37)</f>
        <v>0</v>
      </c>
      <c r="BP33" s="451"/>
      <c r="BQ33" s="451"/>
      <c r="BR33" s="452"/>
      <c r="BS33" s="451"/>
      <c r="BT33" s="451">
        <f>SUM(BT34:BT37)</f>
        <v>20065996</v>
      </c>
      <c r="BU33" s="451"/>
      <c r="BV33" s="451"/>
      <c r="BW33" s="452"/>
      <c r="BX33" s="451"/>
      <c r="BY33" s="451">
        <f>SUM(BY34:BY37)</f>
        <v>11505214</v>
      </c>
      <c r="BZ33" s="451"/>
      <c r="CA33" s="451"/>
      <c r="CB33" s="452"/>
      <c r="CC33" s="451"/>
      <c r="CD33" s="451">
        <f>SUM(CD34:CD37)</f>
        <v>411537</v>
      </c>
      <c r="CE33" s="451"/>
      <c r="CF33" s="451"/>
      <c r="CG33" s="452"/>
      <c r="CH33" s="451"/>
      <c r="CI33" s="451">
        <f>SUM(CI34:CI37)</f>
        <v>691086</v>
      </c>
      <c r="CJ33" s="451"/>
      <c r="CK33" s="451"/>
      <c r="CL33" s="452"/>
      <c r="CM33" s="451"/>
      <c r="CN33" s="451">
        <f>SUM(CN34:CN37)</f>
        <v>1052878</v>
      </c>
      <c r="CO33" s="451"/>
      <c r="CP33" s="451"/>
      <c r="CQ33" s="452"/>
      <c r="CR33" s="451"/>
      <c r="CS33" s="451">
        <f>SUM(CS34:CS37)</f>
        <v>621958</v>
      </c>
      <c r="CT33" s="451"/>
      <c r="CU33" s="451"/>
      <c r="CV33" s="452"/>
      <c r="CW33" s="451"/>
      <c r="CX33" s="451">
        <f>SUM(CX34:CX37)</f>
        <v>305672</v>
      </c>
      <c r="CY33" s="451"/>
      <c r="CZ33" s="451"/>
      <c r="DA33" s="452"/>
      <c r="DB33" s="451"/>
      <c r="DC33" s="451">
        <f>SUM(DC34:DC37)</f>
        <v>1737471</v>
      </c>
      <c r="DD33" s="451"/>
      <c r="DE33" s="451"/>
      <c r="DF33" s="452"/>
      <c r="DG33" s="451"/>
      <c r="DH33" s="451">
        <f>SUM(DH34:DH37)</f>
        <v>868577</v>
      </c>
      <c r="DI33" s="451"/>
      <c r="DJ33" s="451"/>
      <c r="DK33" s="452"/>
      <c r="DL33" s="451"/>
      <c r="DM33" s="451">
        <f>SUM(DM34:DM37)</f>
        <v>1084077</v>
      </c>
      <c r="DN33" s="451"/>
      <c r="DO33" s="451"/>
      <c r="DP33" s="452"/>
      <c r="DQ33" s="451"/>
      <c r="DR33" s="451">
        <f>SUM(DR34:DR37)</f>
        <v>549747</v>
      </c>
      <c r="DS33" s="451"/>
      <c r="DT33" s="451"/>
      <c r="DU33" s="452"/>
      <c r="DV33" s="451"/>
      <c r="DW33" s="451">
        <f>SUM(DW34:DW37)</f>
        <v>1087699</v>
      </c>
      <c r="DX33" s="451"/>
      <c r="DY33" s="451"/>
      <c r="DZ33" s="452"/>
      <c r="EA33" s="451"/>
      <c r="EB33" s="451">
        <f>SUM(EB34:EB37)</f>
        <v>1425586</v>
      </c>
      <c r="EC33" s="451"/>
      <c r="ED33" s="451"/>
      <c r="EE33" s="452"/>
      <c r="EF33" s="451"/>
      <c r="EG33" s="451">
        <f>SUM(EG34:EG37)</f>
        <v>1668926</v>
      </c>
      <c r="EH33" s="451"/>
      <c r="EI33" s="451"/>
      <c r="EJ33" s="452"/>
      <c r="EK33" s="451"/>
      <c r="EL33" s="451">
        <f>SUM(EL34:EL37)</f>
        <v>8410702</v>
      </c>
      <c r="EM33" s="451"/>
      <c r="EN33" s="451"/>
      <c r="EO33" s="13"/>
      <c r="ER33" s="14"/>
      <c r="ES33" s="14"/>
    </row>
    <row r="34" spans="4:149" ht="12.75" customHeight="1" x14ac:dyDescent="0.2">
      <c r="D34" s="13" t="s">
        <v>347</v>
      </c>
      <c r="E34" s="452"/>
      <c r="F34" s="374"/>
      <c r="G34" s="449">
        <v>0</v>
      </c>
      <c r="H34" s="450"/>
      <c r="I34" s="451"/>
      <c r="J34" s="452"/>
      <c r="K34" s="453"/>
      <c r="L34" s="449">
        <f>230000-98825</f>
        <v>131175</v>
      </c>
      <c r="M34" s="450"/>
      <c r="N34" s="451"/>
      <c r="O34" s="452"/>
      <c r="P34" s="453"/>
      <c r="Q34" s="449">
        <f>380000-140954</f>
        <v>239046</v>
      </c>
      <c r="R34" s="450"/>
      <c r="S34" s="451"/>
      <c r="T34" s="452"/>
      <c r="U34" s="453"/>
      <c r="V34" s="449">
        <f>615000-271529</f>
        <v>343471</v>
      </c>
      <c r="W34" s="450"/>
      <c r="X34" s="451"/>
      <c r="Y34" s="452"/>
      <c r="Z34" s="453"/>
      <c r="AA34" s="449">
        <f>2190000-1062323</f>
        <v>1127677</v>
      </c>
      <c r="AB34" s="450"/>
      <c r="AC34" s="451"/>
      <c r="AD34" s="452"/>
      <c r="AE34" s="453"/>
      <c r="AF34" s="449">
        <f>2365000-1127992</f>
        <v>1237008</v>
      </c>
      <c r="AG34" s="450"/>
      <c r="AH34" s="451"/>
      <c r="AI34" s="452"/>
      <c r="AJ34" s="453"/>
      <c r="AK34" s="449">
        <f>2675000-1194679</f>
        <v>1480321</v>
      </c>
      <c r="AL34" s="450"/>
      <c r="AM34" s="451"/>
      <c r="AN34" s="452"/>
      <c r="AO34" s="453"/>
      <c r="AP34" s="449">
        <f>2640000-1261213</f>
        <v>1378787</v>
      </c>
      <c r="AQ34" s="450"/>
      <c r="AR34" s="451"/>
      <c r="AS34" s="452"/>
      <c r="AT34" s="453"/>
      <c r="AU34" s="449">
        <f>1550000-742738</f>
        <v>807262</v>
      </c>
      <c r="AV34" s="450"/>
      <c r="AW34" s="451"/>
      <c r="AX34" s="452"/>
      <c r="AY34" s="453"/>
      <c r="AZ34" s="449">
        <f>1250000-540698</f>
        <v>709302</v>
      </c>
      <c r="BA34" s="450"/>
      <c r="BB34" s="451"/>
      <c r="BC34" s="452"/>
      <c r="BD34" s="453"/>
      <c r="BE34" s="449">
        <f>430000-183707</f>
        <v>246293</v>
      </c>
      <c r="BF34" s="450"/>
      <c r="BG34" s="451"/>
      <c r="BH34" s="452"/>
      <c r="BI34" s="453"/>
      <c r="BJ34" s="449">
        <v>0</v>
      </c>
      <c r="BK34" s="450"/>
      <c r="BL34" s="451"/>
      <c r="BM34" s="452"/>
      <c r="BN34" s="453"/>
      <c r="BO34" s="449">
        <v>0</v>
      </c>
      <c r="BP34" s="450"/>
      <c r="BQ34" s="451"/>
      <c r="BR34" s="452"/>
      <c r="BS34" s="453"/>
      <c r="BT34" s="449">
        <f>SUM(L34:BO34)</f>
        <v>7700342</v>
      </c>
      <c r="BU34" s="450"/>
      <c r="BV34" s="451"/>
      <c r="BW34" s="452"/>
      <c r="BX34" s="453"/>
      <c r="BY34" s="449">
        <v>6010062</v>
      </c>
      <c r="BZ34" s="450"/>
      <c r="CA34" s="451"/>
      <c r="CB34" s="452"/>
      <c r="CC34" s="453"/>
      <c r="CD34" s="449">
        <f>310000-65709</f>
        <v>244291</v>
      </c>
      <c r="CE34" s="450"/>
      <c r="CF34" s="451"/>
      <c r="CG34" s="452"/>
      <c r="CH34" s="453"/>
      <c r="CI34" s="449">
        <f>520000-92478</f>
        <v>427522</v>
      </c>
      <c r="CJ34" s="450"/>
      <c r="CK34" s="451"/>
      <c r="CL34" s="452"/>
      <c r="CM34" s="453"/>
      <c r="CN34" s="449">
        <f>785000-168092</f>
        <v>616908</v>
      </c>
      <c r="CO34" s="450"/>
      <c r="CP34" s="451"/>
      <c r="CQ34" s="452"/>
      <c r="CR34" s="453"/>
      <c r="CS34" s="449">
        <f>460000-101629</f>
        <v>358371</v>
      </c>
      <c r="CT34" s="450"/>
      <c r="CU34" s="451"/>
      <c r="CV34" s="452"/>
      <c r="CW34" s="453"/>
      <c r="CX34" s="449">
        <f>225000-54516</f>
        <v>170484</v>
      </c>
      <c r="CY34" s="450"/>
      <c r="CZ34" s="451"/>
      <c r="DA34" s="452"/>
      <c r="DB34" s="453"/>
      <c r="DC34" s="449">
        <f>1275000-330226</f>
        <v>944774</v>
      </c>
      <c r="DD34" s="450"/>
      <c r="DE34" s="451"/>
      <c r="DF34" s="452"/>
      <c r="DG34" s="453"/>
      <c r="DH34" s="449">
        <f>635000-167704</f>
        <v>467296</v>
      </c>
      <c r="DI34" s="450"/>
      <c r="DJ34" s="451"/>
      <c r="DK34" s="452"/>
      <c r="DL34" s="453"/>
      <c r="DM34" s="449">
        <f>790000-250392</f>
        <v>539608</v>
      </c>
      <c r="DN34" s="450"/>
      <c r="DO34" s="451"/>
      <c r="DP34" s="452"/>
      <c r="DQ34" s="453"/>
      <c r="DR34" s="449">
        <f>400000-129701</f>
        <v>270299</v>
      </c>
      <c r="DS34" s="450"/>
      <c r="DT34" s="451"/>
      <c r="DU34" s="452"/>
      <c r="DV34" s="453"/>
      <c r="DW34" s="449">
        <f>790000-248565</f>
        <v>541435</v>
      </c>
      <c r="DX34" s="450"/>
      <c r="DY34" s="451"/>
      <c r="DZ34" s="452"/>
      <c r="EA34" s="453"/>
      <c r="EB34" s="449">
        <f>1035000-326159</f>
        <v>708841</v>
      </c>
      <c r="EC34" s="450"/>
      <c r="ED34" s="451"/>
      <c r="EE34" s="452"/>
      <c r="EF34" s="453"/>
      <c r="EG34" s="449">
        <f>1210000-489767</f>
        <v>720233</v>
      </c>
      <c r="EH34" s="450"/>
      <c r="EI34" s="451"/>
      <c r="EJ34" s="452"/>
      <c r="EK34" s="453"/>
      <c r="EL34" s="449">
        <f>SUM(CD34:DW34)</f>
        <v>4580988</v>
      </c>
      <c r="EM34" s="450"/>
      <c r="EN34" s="451"/>
      <c r="EO34" s="13"/>
      <c r="ER34" s="14"/>
      <c r="ES34" s="14"/>
    </row>
    <row r="35" spans="4:149" ht="12.75" customHeight="1" x14ac:dyDescent="0.2">
      <c r="D35" s="13" t="s">
        <v>349</v>
      </c>
      <c r="E35" s="452"/>
      <c r="F35" s="198"/>
      <c r="G35" s="451">
        <v>0</v>
      </c>
      <c r="H35" s="455"/>
      <c r="I35" s="451"/>
      <c r="J35" s="452"/>
      <c r="K35" s="452"/>
      <c r="L35" s="451">
        <v>98825</v>
      </c>
      <c r="M35" s="455"/>
      <c r="N35" s="451"/>
      <c r="O35" s="452"/>
      <c r="P35" s="452"/>
      <c r="Q35" s="451">
        <v>140954</v>
      </c>
      <c r="R35" s="455"/>
      <c r="S35" s="451"/>
      <c r="T35" s="452"/>
      <c r="U35" s="452"/>
      <c r="V35" s="451">
        <v>271529</v>
      </c>
      <c r="W35" s="455"/>
      <c r="X35" s="451"/>
      <c r="Y35" s="452"/>
      <c r="Z35" s="452"/>
      <c r="AA35" s="451">
        <v>1062323</v>
      </c>
      <c r="AB35" s="455"/>
      <c r="AC35" s="451"/>
      <c r="AD35" s="452"/>
      <c r="AE35" s="452"/>
      <c r="AF35" s="451">
        <v>1127992</v>
      </c>
      <c r="AG35" s="455"/>
      <c r="AH35" s="451"/>
      <c r="AI35" s="452"/>
      <c r="AJ35" s="452"/>
      <c r="AK35" s="451">
        <v>1194679</v>
      </c>
      <c r="AL35" s="455"/>
      <c r="AM35" s="451"/>
      <c r="AN35" s="452"/>
      <c r="AO35" s="452"/>
      <c r="AP35" s="451">
        <v>1261213</v>
      </c>
      <c r="AQ35" s="455"/>
      <c r="AR35" s="451"/>
      <c r="AS35" s="452"/>
      <c r="AT35" s="452"/>
      <c r="AU35" s="451">
        <v>742738</v>
      </c>
      <c r="AV35" s="455"/>
      <c r="AW35" s="451"/>
      <c r="AX35" s="452"/>
      <c r="AY35" s="452"/>
      <c r="AZ35" s="451">
        <v>540698</v>
      </c>
      <c r="BA35" s="455"/>
      <c r="BB35" s="451"/>
      <c r="BC35" s="452"/>
      <c r="BD35" s="452"/>
      <c r="BE35" s="451">
        <v>183707</v>
      </c>
      <c r="BF35" s="455"/>
      <c r="BG35" s="451"/>
      <c r="BH35" s="452"/>
      <c r="BI35" s="452"/>
      <c r="BJ35" s="451">
        <v>0</v>
      </c>
      <c r="BK35" s="455"/>
      <c r="BL35" s="451"/>
      <c r="BM35" s="452"/>
      <c r="BN35" s="452"/>
      <c r="BO35" s="451">
        <v>0</v>
      </c>
      <c r="BP35" s="455"/>
      <c r="BQ35" s="451"/>
      <c r="BR35" s="452"/>
      <c r="BS35" s="452"/>
      <c r="BT35" s="451">
        <f>SUM(L35:BO35)</f>
        <v>6624658</v>
      </c>
      <c r="BU35" s="455"/>
      <c r="BV35" s="451"/>
      <c r="BW35" s="452"/>
      <c r="BX35" s="452"/>
      <c r="BY35" s="451">
        <v>2424937</v>
      </c>
      <c r="BZ35" s="455"/>
      <c r="CA35" s="451"/>
      <c r="CB35" s="452"/>
      <c r="CC35" s="452"/>
      <c r="CD35" s="451">
        <v>65709</v>
      </c>
      <c r="CE35" s="455"/>
      <c r="CF35" s="451"/>
      <c r="CG35" s="452"/>
      <c r="CH35" s="452"/>
      <c r="CI35" s="451">
        <v>92477</v>
      </c>
      <c r="CJ35" s="455"/>
      <c r="CK35" s="451"/>
      <c r="CL35" s="452"/>
      <c r="CM35" s="452"/>
      <c r="CN35" s="451">
        <v>168092</v>
      </c>
      <c r="CO35" s="455"/>
      <c r="CP35" s="451"/>
      <c r="CQ35" s="452"/>
      <c r="CR35" s="452"/>
      <c r="CS35" s="451">
        <v>101629</v>
      </c>
      <c r="CT35" s="455"/>
      <c r="CU35" s="451"/>
      <c r="CV35" s="452"/>
      <c r="CW35" s="452"/>
      <c r="CX35" s="451">
        <v>54516</v>
      </c>
      <c r="CY35" s="455"/>
      <c r="CZ35" s="451"/>
      <c r="DA35" s="452"/>
      <c r="DB35" s="452"/>
      <c r="DC35" s="451">
        <v>330226</v>
      </c>
      <c r="DD35" s="455"/>
      <c r="DE35" s="451"/>
      <c r="DF35" s="452"/>
      <c r="DG35" s="452"/>
      <c r="DH35" s="451">
        <v>167704</v>
      </c>
      <c r="DI35" s="455"/>
      <c r="DJ35" s="451"/>
      <c r="DK35" s="452"/>
      <c r="DL35" s="452"/>
      <c r="DM35" s="451">
        <v>250392</v>
      </c>
      <c r="DN35" s="455"/>
      <c r="DO35" s="451"/>
      <c r="DP35" s="452"/>
      <c r="DQ35" s="452"/>
      <c r="DR35" s="451">
        <v>129701</v>
      </c>
      <c r="DS35" s="455"/>
      <c r="DT35" s="451"/>
      <c r="DU35" s="452"/>
      <c r="DV35" s="452"/>
      <c r="DW35" s="451">
        <v>248565</v>
      </c>
      <c r="DX35" s="455"/>
      <c r="DY35" s="451"/>
      <c r="DZ35" s="452"/>
      <c r="EA35" s="452"/>
      <c r="EB35" s="451">
        <v>326159</v>
      </c>
      <c r="EC35" s="455"/>
      <c r="ED35" s="451"/>
      <c r="EE35" s="452"/>
      <c r="EF35" s="452"/>
      <c r="EG35" s="451">
        <v>489767</v>
      </c>
      <c r="EH35" s="455"/>
      <c r="EI35" s="451"/>
      <c r="EJ35" s="452"/>
      <c r="EK35" s="452"/>
      <c r="EL35" s="451">
        <f>SUM(CD35:DW35)</f>
        <v>1609011</v>
      </c>
      <c r="EM35" s="455"/>
      <c r="EN35" s="451"/>
      <c r="EO35" s="13"/>
      <c r="ER35" s="14"/>
      <c r="ES35" s="14"/>
    </row>
    <row r="36" spans="4:149" ht="12.75" customHeight="1" x14ac:dyDescent="0.2">
      <c r="D36" s="13" t="s">
        <v>350</v>
      </c>
      <c r="E36" s="452"/>
      <c r="F36" s="198"/>
      <c r="G36" s="451">
        <v>0</v>
      </c>
      <c r="H36" s="455"/>
      <c r="I36" s="451"/>
      <c r="J36" s="452"/>
      <c r="K36" s="452"/>
      <c r="L36" s="451">
        <v>0</v>
      </c>
      <c r="M36" s="455"/>
      <c r="N36" s="451"/>
      <c r="O36" s="452"/>
      <c r="P36" s="452"/>
      <c r="Q36" s="451">
        <v>0</v>
      </c>
      <c r="R36" s="455"/>
      <c r="S36" s="451"/>
      <c r="T36" s="452"/>
      <c r="U36" s="452"/>
      <c r="V36" s="451">
        <v>0</v>
      </c>
      <c r="W36" s="455"/>
      <c r="X36" s="451"/>
      <c r="Y36" s="452"/>
      <c r="Z36" s="452"/>
      <c r="AA36" s="451">
        <v>0</v>
      </c>
      <c r="AB36" s="455"/>
      <c r="AC36" s="451"/>
      <c r="AD36" s="452"/>
      <c r="AE36" s="452"/>
      <c r="AF36" s="451">
        <v>0</v>
      </c>
      <c r="AG36" s="455"/>
      <c r="AH36" s="451"/>
      <c r="AI36" s="452"/>
      <c r="AJ36" s="452"/>
      <c r="AK36" s="451">
        <v>0</v>
      </c>
      <c r="AL36" s="455"/>
      <c r="AM36" s="451"/>
      <c r="AN36" s="452"/>
      <c r="AO36" s="452"/>
      <c r="AP36" s="451">
        <v>0</v>
      </c>
      <c r="AQ36" s="455"/>
      <c r="AR36" s="451"/>
      <c r="AS36" s="452"/>
      <c r="AT36" s="452"/>
      <c r="AU36" s="451">
        <v>0</v>
      </c>
      <c r="AV36" s="455"/>
      <c r="AW36" s="451"/>
      <c r="AX36" s="452"/>
      <c r="AY36" s="452"/>
      <c r="AZ36" s="451">
        <v>0</v>
      </c>
      <c r="BA36" s="455"/>
      <c r="BB36" s="451"/>
      <c r="BC36" s="452"/>
      <c r="BD36" s="452"/>
      <c r="BE36" s="451">
        <v>0</v>
      </c>
      <c r="BF36" s="455"/>
      <c r="BG36" s="451"/>
      <c r="BH36" s="452"/>
      <c r="BI36" s="452"/>
      <c r="BJ36" s="451">
        <v>0</v>
      </c>
      <c r="BK36" s="455"/>
      <c r="BL36" s="451"/>
      <c r="BM36" s="452"/>
      <c r="BN36" s="452"/>
      <c r="BO36" s="451">
        <v>0</v>
      </c>
      <c r="BP36" s="455"/>
      <c r="BQ36" s="451"/>
      <c r="BR36" s="452"/>
      <c r="BS36" s="452"/>
      <c r="BT36" s="451">
        <f>SUM(L36:BO36)</f>
        <v>0</v>
      </c>
      <c r="BU36" s="455"/>
      <c r="BV36" s="451"/>
      <c r="BW36" s="452"/>
      <c r="BX36" s="452"/>
      <c r="BY36" s="451">
        <v>0</v>
      </c>
      <c r="BZ36" s="455"/>
      <c r="CA36" s="451"/>
      <c r="CB36" s="452"/>
      <c r="CC36" s="452"/>
      <c r="CD36" s="451">
        <v>0</v>
      </c>
      <c r="CE36" s="455"/>
      <c r="CF36" s="451"/>
      <c r="CG36" s="452"/>
      <c r="CH36" s="452"/>
      <c r="CI36" s="451">
        <v>0</v>
      </c>
      <c r="CJ36" s="455"/>
      <c r="CK36" s="451"/>
      <c r="CL36" s="452"/>
      <c r="CM36" s="452"/>
      <c r="CN36" s="451">
        <v>0</v>
      </c>
      <c r="CO36" s="455"/>
      <c r="CP36" s="451"/>
      <c r="CQ36" s="452"/>
      <c r="CR36" s="452"/>
      <c r="CS36" s="451">
        <v>0</v>
      </c>
      <c r="CT36" s="455"/>
      <c r="CU36" s="451"/>
      <c r="CV36" s="452"/>
      <c r="CW36" s="452"/>
      <c r="CX36" s="451">
        <v>0</v>
      </c>
      <c r="CY36" s="455"/>
      <c r="CZ36" s="451"/>
      <c r="DA36" s="452"/>
      <c r="DB36" s="452"/>
      <c r="DC36" s="451">
        <v>0</v>
      </c>
      <c r="DD36" s="455"/>
      <c r="DE36" s="451"/>
      <c r="DF36" s="452"/>
      <c r="DG36" s="452"/>
      <c r="DH36" s="451">
        <v>0</v>
      </c>
      <c r="DI36" s="455"/>
      <c r="DJ36" s="451"/>
      <c r="DK36" s="452"/>
      <c r="DL36" s="452"/>
      <c r="DM36" s="451">
        <v>0</v>
      </c>
      <c r="DN36" s="455"/>
      <c r="DO36" s="451"/>
      <c r="DP36" s="452"/>
      <c r="DQ36" s="452"/>
      <c r="DR36" s="451">
        <v>0</v>
      </c>
      <c r="DS36" s="455"/>
      <c r="DT36" s="451"/>
      <c r="DU36" s="452"/>
      <c r="DV36" s="452"/>
      <c r="DW36" s="451">
        <v>0</v>
      </c>
      <c r="DX36" s="455"/>
      <c r="DY36" s="451"/>
      <c r="DZ36" s="452"/>
      <c r="EA36" s="452"/>
      <c r="EB36" s="451">
        <v>0</v>
      </c>
      <c r="EC36" s="455"/>
      <c r="ED36" s="451"/>
      <c r="EE36" s="452"/>
      <c r="EF36" s="452"/>
      <c r="EG36" s="451">
        <v>0</v>
      </c>
      <c r="EH36" s="455"/>
      <c r="EI36" s="451"/>
      <c r="EJ36" s="452"/>
      <c r="EK36" s="452"/>
      <c r="EL36" s="451">
        <f>SUM(CD36:DW36)</f>
        <v>0</v>
      </c>
      <c r="EM36" s="455"/>
      <c r="EN36" s="451"/>
      <c r="EO36" s="13"/>
      <c r="ER36" s="14"/>
      <c r="ES36" s="14"/>
    </row>
    <row r="37" spans="4:149" ht="12.75" customHeight="1" x14ac:dyDescent="0.2">
      <c r="D37" s="13" t="s">
        <v>351</v>
      </c>
      <c r="E37" s="452"/>
      <c r="F37" s="385"/>
      <c r="G37" s="463">
        <v>0</v>
      </c>
      <c r="H37" s="464"/>
      <c r="I37" s="451"/>
      <c r="J37" s="452"/>
      <c r="K37" s="465"/>
      <c r="L37" s="463">
        <v>88599</v>
      </c>
      <c r="M37" s="464"/>
      <c r="N37" s="451"/>
      <c r="O37" s="452"/>
      <c r="P37" s="465"/>
      <c r="Q37" s="463">
        <v>148391</v>
      </c>
      <c r="R37" s="464"/>
      <c r="S37" s="451"/>
      <c r="T37" s="452"/>
      <c r="U37" s="465"/>
      <c r="V37" s="463">
        <v>246012</v>
      </c>
      <c r="W37" s="464"/>
      <c r="X37" s="451"/>
      <c r="Y37" s="452"/>
      <c r="Z37" s="465"/>
      <c r="AA37" s="463">
        <v>874348</v>
      </c>
      <c r="AB37" s="464"/>
      <c r="AC37" s="451"/>
      <c r="AD37" s="452"/>
      <c r="AE37" s="465"/>
      <c r="AF37" s="463">
        <v>927135</v>
      </c>
      <c r="AG37" s="464"/>
      <c r="AH37" s="451"/>
      <c r="AI37" s="452"/>
      <c r="AJ37" s="465"/>
      <c r="AK37" s="463">
        <v>1045536</v>
      </c>
      <c r="AL37" s="464"/>
      <c r="AM37" s="451"/>
      <c r="AN37" s="452"/>
      <c r="AO37" s="465"/>
      <c r="AP37" s="463">
        <v>1066561</v>
      </c>
      <c r="AQ37" s="464"/>
      <c r="AR37" s="451"/>
      <c r="AS37" s="452"/>
      <c r="AT37" s="465"/>
      <c r="AU37" s="463">
        <v>642871</v>
      </c>
      <c r="AV37" s="464"/>
      <c r="AW37" s="451"/>
      <c r="AX37" s="452"/>
      <c r="AY37" s="465"/>
      <c r="AZ37" s="463">
        <v>520793</v>
      </c>
      <c r="BA37" s="464"/>
      <c r="BB37" s="451"/>
      <c r="BC37" s="452"/>
      <c r="BD37" s="465"/>
      <c r="BE37" s="463">
        <v>180750</v>
      </c>
      <c r="BF37" s="464"/>
      <c r="BG37" s="451"/>
      <c r="BH37" s="452"/>
      <c r="BI37" s="465"/>
      <c r="BJ37" s="463">
        <v>0</v>
      </c>
      <c r="BK37" s="464"/>
      <c r="BL37" s="451"/>
      <c r="BM37" s="452"/>
      <c r="BN37" s="465"/>
      <c r="BO37" s="463">
        <v>0</v>
      </c>
      <c r="BP37" s="464"/>
      <c r="BQ37" s="451"/>
      <c r="BR37" s="452"/>
      <c r="BS37" s="465"/>
      <c r="BT37" s="463">
        <f>SUM(L37:BO37)</f>
        <v>5740996</v>
      </c>
      <c r="BU37" s="464"/>
      <c r="BV37" s="451"/>
      <c r="BW37" s="452"/>
      <c r="BX37" s="465"/>
      <c r="BY37" s="463">
        <v>3070215</v>
      </c>
      <c r="BZ37" s="464"/>
      <c r="CA37" s="451"/>
      <c r="CB37" s="452"/>
      <c r="CC37" s="465"/>
      <c r="CD37" s="463">
        <v>101537</v>
      </c>
      <c r="CE37" s="464"/>
      <c r="CF37" s="451"/>
      <c r="CG37" s="452"/>
      <c r="CH37" s="465"/>
      <c r="CI37" s="463">
        <v>171087</v>
      </c>
      <c r="CJ37" s="464"/>
      <c r="CK37" s="451"/>
      <c r="CL37" s="452"/>
      <c r="CM37" s="465"/>
      <c r="CN37" s="463">
        <v>267878</v>
      </c>
      <c r="CO37" s="464"/>
      <c r="CP37" s="451"/>
      <c r="CQ37" s="452"/>
      <c r="CR37" s="465"/>
      <c r="CS37" s="463">
        <v>161958</v>
      </c>
      <c r="CT37" s="464"/>
      <c r="CU37" s="451"/>
      <c r="CV37" s="452"/>
      <c r="CW37" s="465"/>
      <c r="CX37" s="463">
        <v>80672</v>
      </c>
      <c r="CY37" s="464"/>
      <c r="CZ37" s="451"/>
      <c r="DA37" s="452"/>
      <c r="DB37" s="465"/>
      <c r="DC37" s="463">
        <v>462471</v>
      </c>
      <c r="DD37" s="464"/>
      <c r="DE37" s="451"/>
      <c r="DF37" s="452"/>
      <c r="DG37" s="465"/>
      <c r="DH37" s="463">
        <v>233577</v>
      </c>
      <c r="DI37" s="464"/>
      <c r="DJ37" s="451"/>
      <c r="DK37" s="452"/>
      <c r="DL37" s="465"/>
      <c r="DM37" s="463">
        <v>294077</v>
      </c>
      <c r="DN37" s="464"/>
      <c r="DO37" s="451"/>
      <c r="DP37" s="452"/>
      <c r="DQ37" s="465"/>
      <c r="DR37" s="463">
        <v>149747</v>
      </c>
      <c r="DS37" s="464"/>
      <c r="DT37" s="451"/>
      <c r="DU37" s="452"/>
      <c r="DV37" s="465"/>
      <c r="DW37" s="463">
        <v>297699</v>
      </c>
      <c r="DX37" s="464"/>
      <c r="DY37" s="451"/>
      <c r="DZ37" s="452"/>
      <c r="EA37" s="465"/>
      <c r="EB37" s="463">
        <v>390586</v>
      </c>
      <c r="EC37" s="464"/>
      <c r="ED37" s="451"/>
      <c r="EE37" s="452"/>
      <c r="EF37" s="465"/>
      <c r="EG37" s="463">
        <v>458926</v>
      </c>
      <c r="EH37" s="464"/>
      <c r="EI37" s="451"/>
      <c r="EJ37" s="452"/>
      <c r="EK37" s="465"/>
      <c r="EL37" s="463">
        <f>SUM(CD37:DW37)</f>
        <v>2220703</v>
      </c>
      <c r="EM37" s="464"/>
      <c r="EN37" s="451"/>
      <c r="EO37" s="13"/>
      <c r="ER37" s="14"/>
      <c r="ES37" s="14"/>
    </row>
    <row r="38" spans="4:149" x14ac:dyDescent="0.2">
      <c r="D38" s="13"/>
      <c r="E38" s="452"/>
      <c r="G38" s="451"/>
      <c r="H38" s="451"/>
      <c r="I38" s="451"/>
      <c r="J38" s="452"/>
      <c r="K38" s="451"/>
      <c r="L38" s="451"/>
      <c r="M38" s="451"/>
      <c r="N38" s="451"/>
      <c r="O38" s="452"/>
      <c r="P38" s="451"/>
      <c r="Q38" s="451"/>
      <c r="R38" s="451"/>
      <c r="S38" s="451"/>
      <c r="T38" s="452"/>
      <c r="U38" s="451"/>
      <c r="V38" s="451"/>
      <c r="W38" s="451"/>
      <c r="X38" s="451"/>
      <c r="Y38" s="452"/>
      <c r="Z38" s="451"/>
      <c r="AA38" s="451"/>
      <c r="AB38" s="451"/>
      <c r="AC38" s="451"/>
      <c r="AD38" s="452"/>
      <c r="AE38" s="451"/>
      <c r="AF38" s="451"/>
      <c r="AG38" s="451"/>
      <c r="AH38" s="451"/>
      <c r="AI38" s="452"/>
      <c r="AJ38" s="451"/>
      <c r="AK38" s="451"/>
      <c r="AL38" s="451"/>
      <c r="AM38" s="451"/>
      <c r="AN38" s="452"/>
      <c r="AO38" s="451"/>
      <c r="AP38" s="451"/>
      <c r="AQ38" s="451"/>
      <c r="AR38" s="451"/>
      <c r="AS38" s="452"/>
      <c r="AT38" s="451"/>
      <c r="AU38" s="451"/>
      <c r="AV38" s="451"/>
      <c r="AW38" s="451"/>
      <c r="AX38" s="452"/>
      <c r="AY38" s="451"/>
      <c r="AZ38" s="451"/>
      <c r="BA38" s="451"/>
      <c r="BB38" s="451"/>
      <c r="BC38" s="452"/>
      <c r="BD38" s="451"/>
      <c r="BE38" s="451"/>
      <c r="BF38" s="451"/>
      <c r="BG38" s="451"/>
      <c r="BH38" s="452"/>
      <c r="BI38" s="451"/>
      <c r="BJ38" s="451"/>
      <c r="BK38" s="451"/>
      <c r="BL38" s="451"/>
      <c r="BM38" s="452"/>
      <c r="BN38" s="451"/>
      <c r="BO38" s="451"/>
      <c r="BP38" s="451"/>
      <c r="BQ38" s="451"/>
      <c r="BR38" s="452"/>
      <c r="BS38" s="451"/>
      <c r="BT38" s="451"/>
      <c r="BU38" s="451"/>
      <c r="BV38" s="451"/>
      <c r="BW38" s="452"/>
      <c r="BX38" s="451"/>
      <c r="BY38" s="451"/>
      <c r="BZ38" s="451"/>
      <c r="CA38" s="451"/>
      <c r="CB38" s="452"/>
      <c r="CC38" s="451"/>
      <c r="CD38" s="451"/>
      <c r="CE38" s="451"/>
      <c r="CF38" s="451"/>
      <c r="CG38" s="452"/>
      <c r="CH38" s="451"/>
      <c r="CI38" s="451"/>
      <c r="CJ38" s="451"/>
      <c r="CK38" s="451"/>
      <c r="CL38" s="452"/>
      <c r="CM38" s="451"/>
      <c r="CN38" s="451"/>
      <c r="CO38" s="451"/>
      <c r="CP38" s="451"/>
      <c r="CQ38" s="452"/>
      <c r="CR38" s="451"/>
      <c r="CS38" s="451"/>
      <c r="CT38" s="451"/>
      <c r="CU38" s="451"/>
      <c r="CV38" s="452"/>
      <c r="CW38" s="451"/>
      <c r="CX38" s="451"/>
      <c r="CY38" s="451"/>
      <c r="CZ38" s="451"/>
      <c r="DA38" s="452"/>
      <c r="DB38" s="451"/>
      <c r="DC38" s="451"/>
      <c r="DD38" s="451"/>
      <c r="DE38" s="451"/>
      <c r="DF38" s="452"/>
      <c r="DG38" s="451"/>
      <c r="DH38" s="451"/>
      <c r="DI38" s="451"/>
      <c r="DJ38" s="451"/>
      <c r="DK38" s="452"/>
      <c r="DL38" s="451"/>
      <c r="DM38" s="451"/>
      <c r="DN38" s="451"/>
      <c r="DO38" s="451"/>
      <c r="DP38" s="452"/>
      <c r="DQ38" s="451"/>
      <c r="DR38" s="451"/>
      <c r="DS38" s="451"/>
      <c r="DT38" s="451"/>
      <c r="DU38" s="452"/>
      <c r="DV38" s="451"/>
      <c r="DW38" s="451"/>
      <c r="DX38" s="451"/>
      <c r="DY38" s="451"/>
      <c r="DZ38" s="452"/>
      <c r="EA38" s="451"/>
      <c r="EB38" s="451"/>
      <c r="EC38" s="451"/>
      <c r="ED38" s="451"/>
      <c r="EE38" s="452"/>
      <c r="EF38" s="451"/>
      <c r="EG38" s="451"/>
      <c r="EH38" s="451"/>
      <c r="EI38" s="451"/>
      <c r="EJ38" s="452"/>
      <c r="EK38" s="451"/>
      <c r="EL38" s="451"/>
      <c r="EM38" s="451"/>
      <c r="EN38" s="451"/>
      <c r="EO38" s="13"/>
      <c r="ER38" s="14"/>
      <c r="ES38" s="14"/>
    </row>
    <row r="39" spans="4:149" ht="12.75" customHeight="1" x14ac:dyDescent="0.2">
      <c r="D39" s="13" t="s">
        <v>354</v>
      </c>
      <c r="E39" s="452"/>
      <c r="G39" s="451">
        <f>SUM(G40:G43)</f>
        <v>0</v>
      </c>
      <c r="H39" s="451"/>
      <c r="I39" s="451"/>
      <c r="J39" s="452"/>
      <c r="K39" s="451"/>
      <c r="L39" s="451">
        <f>SUM(L40:L43)</f>
        <v>758012</v>
      </c>
      <c r="M39" s="451"/>
      <c r="N39" s="451"/>
      <c r="O39" s="452"/>
      <c r="P39" s="451"/>
      <c r="Q39" s="451">
        <f>SUM(Q40:Q43)</f>
        <v>592400</v>
      </c>
      <c r="R39" s="451"/>
      <c r="S39" s="451"/>
      <c r="T39" s="452"/>
      <c r="U39" s="451"/>
      <c r="V39" s="451">
        <f>SUM(V40:V43)</f>
        <v>817596</v>
      </c>
      <c r="W39" s="451"/>
      <c r="X39" s="451"/>
      <c r="Y39" s="452"/>
      <c r="Z39" s="451"/>
      <c r="AA39" s="451">
        <f>SUM(AA40:AA43)</f>
        <v>0</v>
      </c>
      <c r="AB39" s="451"/>
      <c r="AC39" s="451"/>
      <c r="AD39" s="452"/>
      <c r="AE39" s="451"/>
      <c r="AF39" s="451">
        <f>SUM(AF40:AF43)</f>
        <v>1611709</v>
      </c>
      <c r="AG39" s="451"/>
      <c r="AH39" s="451"/>
      <c r="AI39" s="452"/>
      <c r="AJ39" s="451"/>
      <c r="AK39" s="451">
        <f>SUM(AK40:AK43)</f>
        <v>0</v>
      </c>
      <c r="AL39" s="451"/>
      <c r="AM39" s="451"/>
      <c r="AN39" s="452"/>
      <c r="AO39" s="451"/>
      <c r="AP39" s="451">
        <f>SUM(AP40:AP43)</f>
        <v>1218728</v>
      </c>
      <c r="AQ39" s="451"/>
      <c r="AR39" s="451"/>
      <c r="AS39" s="452"/>
      <c r="AT39" s="451"/>
      <c r="AU39" s="451">
        <f>SUM(AU40:AU43)</f>
        <v>2181019</v>
      </c>
      <c r="AV39" s="451"/>
      <c r="AW39" s="451"/>
      <c r="AX39" s="452"/>
      <c r="AY39" s="451"/>
      <c r="AZ39" s="451">
        <f>SUM(AZ40:AZ43)</f>
        <v>2952785</v>
      </c>
      <c r="BA39" s="451"/>
      <c r="BB39" s="451"/>
      <c r="BC39" s="452"/>
      <c r="BD39" s="451"/>
      <c r="BE39" s="451">
        <f>SUM(BE40:BE43)</f>
        <v>0</v>
      </c>
      <c r="BF39" s="451"/>
      <c r="BG39" s="451"/>
      <c r="BH39" s="452"/>
      <c r="BI39" s="451"/>
      <c r="BJ39" s="451">
        <f>SUM(BJ40:BJ43)</f>
        <v>0</v>
      </c>
      <c r="BK39" s="451"/>
      <c r="BL39" s="451"/>
      <c r="BM39" s="452"/>
      <c r="BN39" s="451"/>
      <c r="BO39" s="451">
        <f>SUM(BO40:BO43)</f>
        <v>0</v>
      </c>
      <c r="BP39" s="451"/>
      <c r="BQ39" s="451"/>
      <c r="BR39" s="452"/>
      <c r="BS39" s="451"/>
      <c r="BT39" s="451">
        <f>SUM(BT40:BT43)</f>
        <v>10132249</v>
      </c>
      <c r="BU39" s="451"/>
      <c r="BV39" s="451"/>
      <c r="BW39" s="452"/>
      <c r="BX39" s="451"/>
      <c r="BY39" s="451">
        <f>SUM(BY40:BY43)</f>
        <v>8017003</v>
      </c>
      <c r="BZ39" s="451"/>
      <c r="CA39" s="451"/>
      <c r="CB39" s="452"/>
      <c r="CC39" s="451"/>
      <c r="CD39" s="451">
        <f>SUM(CD40:CD43)</f>
        <v>180035</v>
      </c>
      <c r="CE39" s="451"/>
      <c r="CF39" s="451"/>
      <c r="CG39" s="452"/>
      <c r="CH39" s="451"/>
      <c r="CI39" s="451">
        <f>SUM(CI40:CI43)</f>
        <v>451598</v>
      </c>
      <c r="CJ39" s="451"/>
      <c r="CK39" s="451"/>
      <c r="CL39" s="452"/>
      <c r="CM39" s="451"/>
      <c r="CN39" s="451">
        <f>SUM(CN40:CN43)</f>
        <v>242544</v>
      </c>
      <c r="CO39" s="451"/>
      <c r="CP39" s="451"/>
      <c r="CQ39" s="452"/>
      <c r="CR39" s="451"/>
      <c r="CS39" s="451">
        <f>SUM(CS40:CS43)</f>
        <v>934738</v>
      </c>
      <c r="CT39" s="451"/>
      <c r="CU39" s="451"/>
      <c r="CV39" s="452"/>
      <c r="CW39" s="451"/>
      <c r="CX39" s="451">
        <f>SUM(CX40:CX43)</f>
        <v>1364565</v>
      </c>
      <c r="CY39" s="451"/>
      <c r="CZ39" s="451"/>
      <c r="DA39" s="452"/>
      <c r="DB39" s="451"/>
      <c r="DC39" s="451">
        <f>SUM(DC40:DC43)</f>
        <v>369427</v>
      </c>
      <c r="DD39" s="451"/>
      <c r="DE39" s="451"/>
      <c r="DF39" s="452"/>
      <c r="DG39" s="451"/>
      <c r="DH39" s="451">
        <f>SUM(DH40:DH43)</f>
        <v>1168651</v>
      </c>
      <c r="DI39" s="451"/>
      <c r="DJ39" s="451"/>
      <c r="DK39" s="452"/>
      <c r="DL39" s="451"/>
      <c r="DM39" s="451">
        <f>SUM(DM40:DM43)</f>
        <v>248013</v>
      </c>
      <c r="DN39" s="451"/>
      <c r="DO39" s="451"/>
      <c r="DP39" s="452"/>
      <c r="DQ39" s="451"/>
      <c r="DR39" s="451">
        <f>SUM(DR40:DR43)</f>
        <v>608756</v>
      </c>
      <c r="DS39" s="451"/>
      <c r="DT39" s="451"/>
      <c r="DU39" s="452"/>
      <c r="DV39" s="451"/>
      <c r="DW39" s="451">
        <f>SUM(DW40:DW43)</f>
        <v>927774</v>
      </c>
      <c r="DX39" s="451"/>
      <c r="DY39" s="451"/>
      <c r="DZ39" s="452"/>
      <c r="EA39" s="451"/>
      <c r="EB39" s="451">
        <f>SUM(EB40:EB43)</f>
        <v>1003132</v>
      </c>
      <c r="EC39" s="451"/>
      <c r="ED39" s="451"/>
      <c r="EE39" s="452"/>
      <c r="EF39" s="451"/>
      <c r="EG39" s="451">
        <f>SUM(EG40:EG43)</f>
        <v>517770</v>
      </c>
      <c r="EH39" s="451"/>
      <c r="EI39" s="451"/>
      <c r="EJ39" s="452"/>
      <c r="EK39" s="451"/>
      <c r="EL39" s="451">
        <f>SUM(EL40:EL43)</f>
        <v>6496101</v>
      </c>
      <c r="EM39" s="451"/>
      <c r="EN39" s="451"/>
      <c r="EO39" s="13"/>
      <c r="ER39" s="14"/>
      <c r="ES39" s="14"/>
    </row>
    <row r="40" spans="4:149" ht="12.75" customHeight="1" x14ac:dyDescent="0.2">
      <c r="D40" s="13" t="s">
        <v>347</v>
      </c>
      <c r="E40" s="452"/>
      <c r="F40" s="374"/>
      <c r="G40" s="449">
        <v>0</v>
      </c>
      <c r="H40" s="450"/>
      <c r="I40" s="451"/>
      <c r="J40" s="452"/>
      <c r="K40" s="453"/>
      <c r="L40" s="449">
        <f>605000-189324</f>
        <v>415676</v>
      </c>
      <c r="M40" s="450"/>
      <c r="N40" s="451"/>
      <c r="O40" s="452"/>
      <c r="P40" s="453"/>
      <c r="Q40" s="449">
        <f>470000-150889</f>
        <v>319111</v>
      </c>
      <c r="R40" s="450"/>
      <c r="S40" s="451"/>
      <c r="T40" s="452"/>
      <c r="U40" s="453"/>
      <c r="V40" s="449">
        <f>645000-201995</f>
        <v>443005</v>
      </c>
      <c r="W40" s="450"/>
      <c r="X40" s="451"/>
      <c r="Y40" s="452"/>
      <c r="Z40" s="453"/>
      <c r="AA40" s="449">
        <v>0</v>
      </c>
      <c r="AB40" s="450"/>
      <c r="AC40" s="451"/>
      <c r="AD40" s="452"/>
      <c r="AE40" s="453"/>
      <c r="AF40" s="449">
        <f>1280000-424956</f>
        <v>855044</v>
      </c>
      <c r="AG40" s="450"/>
      <c r="AH40" s="451"/>
      <c r="AI40" s="452"/>
      <c r="AJ40" s="453"/>
      <c r="AK40" s="449">
        <v>0</v>
      </c>
      <c r="AL40" s="450"/>
      <c r="AM40" s="451"/>
      <c r="AN40" s="452"/>
      <c r="AO40" s="453"/>
      <c r="AP40" s="449">
        <f>955000-322457</f>
        <v>632543</v>
      </c>
      <c r="AQ40" s="450"/>
      <c r="AR40" s="451"/>
      <c r="AS40" s="452"/>
      <c r="AT40" s="453"/>
      <c r="AU40" s="449">
        <f>1705000-574806</f>
        <v>1130194</v>
      </c>
      <c r="AV40" s="450"/>
      <c r="AW40" s="451"/>
      <c r="AX40" s="452"/>
      <c r="AY40" s="453"/>
      <c r="AZ40" s="449">
        <f>2305000-740466</f>
        <v>1564534</v>
      </c>
      <c r="BA40" s="450"/>
      <c r="BB40" s="451"/>
      <c r="BC40" s="452"/>
      <c r="BD40" s="453"/>
      <c r="BE40" s="449">
        <v>0</v>
      </c>
      <c r="BF40" s="450"/>
      <c r="BG40" s="451"/>
      <c r="BH40" s="452"/>
      <c r="BI40" s="453"/>
      <c r="BJ40" s="449">
        <v>0</v>
      </c>
      <c r="BK40" s="450"/>
      <c r="BL40" s="451"/>
      <c r="BM40" s="452"/>
      <c r="BN40" s="453"/>
      <c r="BO40" s="449">
        <v>0</v>
      </c>
      <c r="BP40" s="450"/>
      <c r="BQ40" s="451"/>
      <c r="BR40" s="452"/>
      <c r="BS40" s="453"/>
      <c r="BT40" s="449">
        <f>SUM(L40:BO40)</f>
        <v>5360107</v>
      </c>
      <c r="BU40" s="450"/>
      <c r="BV40" s="451"/>
      <c r="BW40" s="452"/>
      <c r="BX40" s="453"/>
      <c r="BY40" s="449">
        <v>5047111</v>
      </c>
      <c r="BZ40" s="450"/>
      <c r="CA40" s="451"/>
      <c r="CB40" s="452"/>
      <c r="CC40" s="453"/>
      <c r="CD40" s="449">
        <f>150000-28734</f>
        <v>121266</v>
      </c>
      <c r="CE40" s="450"/>
      <c r="CF40" s="451"/>
      <c r="CG40" s="452"/>
      <c r="CH40" s="453"/>
      <c r="CI40" s="449">
        <f>375000-59360</f>
        <v>315640</v>
      </c>
      <c r="CJ40" s="450"/>
      <c r="CK40" s="451"/>
      <c r="CL40" s="452"/>
      <c r="CM40" s="453"/>
      <c r="CN40" s="449">
        <f>200000-37417</f>
        <v>162583</v>
      </c>
      <c r="CO40" s="450"/>
      <c r="CP40" s="451"/>
      <c r="CQ40" s="452"/>
      <c r="CR40" s="453"/>
      <c r="CS40" s="449">
        <f>765000-148926</f>
        <v>616074</v>
      </c>
      <c r="CT40" s="450"/>
      <c r="CU40" s="451"/>
      <c r="CV40" s="452"/>
      <c r="CW40" s="453"/>
      <c r="CX40" s="449">
        <f>1110000-237389</f>
        <v>872611</v>
      </c>
      <c r="CY40" s="450"/>
      <c r="CZ40" s="451"/>
      <c r="DA40" s="452"/>
      <c r="DB40" s="453"/>
      <c r="DC40" s="449">
        <f>300000-65094</f>
        <v>234906</v>
      </c>
      <c r="DD40" s="450"/>
      <c r="DE40" s="451"/>
      <c r="DF40" s="452"/>
      <c r="DG40" s="453"/>
      <c r="DH40" s="449">
        <f>945000-208838</f>
        <v>736162</v>
      </c>
      <c r="DI40" s="450"/>
      <c r="DJ40" s="451"/>
      <c r="DK40" s="452"/>
      <c r="DL40" s="453"/>
      <c r="DM40" s="449">
        <f>200000-46504</f>
        <v>153496</v>
      </c>
      <c r="DN40" s="450"/>
      <c r="DO40" s="451"/>
      <c r="DP40" s="452"/>
      <c r="DQ40" s="453"/>
      <c r="DR40" s="449">
        <f>490000-123771</f>
        <v>366229</v>
      </c>
      <c r="DS40" s="450"/>
      <c r="DT40" s="451"/>
      <c r="DU40" s="452"/>
      <c r="DV40" s="453"/>
      <c r="DW40" s="449">
        <f>745000-186023</f>
        <v>558977</v>
      </c>
      <c r="DX40" s="450"/>
      <c r="DY40" s="451"/>
      <c r="DZ40" s="452"/>
      <c r="EA40" s="453"/>
      <c r="EB40" s="449">
        <f>805000-200319</f>
        <v>604681</v>
      </c>
      <c r="EC40" s="450"/>
      <c r="ED40" s="451"/>
      <c r="EE40" s="452"/>
      <c r="EF40" s="453"/>
      <c r="EG40" s="449">
        <f>415000-110514</f>
        <v>304486</v>
      </c>
      <c r="EH40" s="450"/>
      <c r="EI40" s="451"/>
      <c r="EJ40" s="452"/>
      <c r="EK40" s="453"/>
      <c r="EL40" s="449">
        <f>SUM(CD40:DW40)</f>
        <v>4137944</v>
      </c>
      <c r="EM40" s="450"/>
      <c r="EN40" s="451"/>
      <c r="EO40" s="13"/>
      <c r="ER40" s="14"/>
      <c r="ES40" s="14"/>
    </row>
    <row r="41" spans="4:149" ht="12.75" customHeight="1" x14ac:dyDescent="0.2">
      <c r="D41" s="13" t="s">
        <v>349</v>
      </c>
      <c r="E41" s="452"/>
      <c r="F41" s="198"/>
      <c r="G41" s="451">
        <v>0</v>
      </c>
      <c r="H41" s="455"/>
      <c r="I41" s="451"/>
      <c r="J41" s="452"/>
      <c r="K41" s="452"/>
      <c r="L41" s="451">
        <v>189324</v>
      </c>
      <c r="M41" s="455"/>
      <c r="N41" s="451"/>
      <c r="O41" s="452"/>
      <c r="P41" s="452"/>
      <c r="Q41" s="451">
        <v>150889</v>
      </c>
      <c r="R41" s="455"/>
      <c r="S41" s="451"/>
      <c r="T41" s="452"/>
      <c r="U41" s="452"/>
      <c r="V41" s="451">
        <v>201995</v>
      </c>
      <c r="W41" s="455"/>
      <c r="X41" s="451"/>
      <c r="Y41" s="452"/>
      <c r="Z41" s="452"/>
      <c r="AA41" s="451">
        <v>0</v>
      </c>
      <c r="AB41" s="455"/>
      <c r="AC41" s="451"/>
      <c r="AD41" s="452"/>
      <c r="AE41" s="452"/>
      <c r="AF41" s="451">
        <v>424956</v>
      </c>
      <c r="AG41" s="455"/>
      <c r="AH41" s="451"/>
      <c r="AI41" s="452"/>
      <c r="AJ41" s="452"/>
      <c r="AK41" s="451">
        <v>0</v>
      </c>
      <c r="AL41" s="455"/>
      <c r="AM41" s="451"/>
      <c r="AN41" s="452"/>
      <c r="AO41" s="452"/>
      <c r="AP41" s="451">
        <v>322457</v>
      </c>
      <c r="AQ41" s="455"/>
      <c r="AR41" s="451"/>
      <c r="AS41" s="452"/>
      <c r="AT41" s="452"/>
      <c r="AU41" s="451">
        <v>574806</v>
      </c>
      <c r="AV41" s="455"/>
      <c r="AW41" s="451"/>
      <c r="AX41" s="452"/>
      <c r="AY41" s="452"/>
      <c r="AZ41" s="451">
        <v>740466</v>
      </c>
      <c r="BA41" s="455"/>
      <c r="BB41" s="451"/>
      <c r="BC41" s="452"/>
      <c r="BD41" s="452"/>
      <c r="BE41" s="451">
        <v>0</v>
      </c>
      <c r="BF41" s="455"/>
      <c r="BG41" s="451"/>
      <c r="BH41" s="452"/>
      <c r="BI41" s="452"/>
      <c r="BJ41" s="451">
        <v>0</v>
      </c>
      <c r="BK41" s="455"/>
      <c r="BL41" s="451"/>
      <c r="BM41" s="452"/>
      <c r="BN41" s="452"/>
      <c r="BO41" s="451">
        <v>0</v>
      </c>
      <c r="BP41" s="455"/>
      <c r="BQ41" s="451"/>
      <c r="BR41" s="452"/>
      <c r="BS41" s="452"/>
      <c r="BT41" s="451">
        <f>SUM(L41:BO41)</f>
        <v>2604893</v>
      </c>
      <c r="BU41" s="455"/>
      <c r="BV41" s="451"/>
      <c r="BW41" s="452"/>
      <c r="BX41" s="452"/>
      <c r="BY41" s="451">
        <v>1452889</v>
      </c>
      <c r="BZ41" s="455"/>
      <c r="CA41" s="451"/>
      <c r="CB41" s="452"/>
      <c r="CC41" s="452"/>
      <c r="CD41" s="451">
        <v>28734</v>
      </c>
      <c r="CE41" s="455"/>
      <c r="CF41" s="451"/>
      <c r="CG41" s="452"/>
      <c r="CH41" s="452"/>
      <c r="CI41" s="451">
        <v>59360</v>
      </c>
      <c r="CJ41" s="455"/>
      <c r="CK41" s="451"/>
      <c r="CL41" s="452"/>
      <c r="CM41" s="452"/>
      <c r="CN41" s="451">
        <v>37417</v>
      </c>
      <c r="CO41" s="455"/>
      <c r="CP41" s="451"/>
      <c r="CQ41" s="452"/>
      <c r="CR41" s="452"/>
      <c r="CS41" s="451">
        <v>148926</v>
      </c>
      <c r="CT41" s="455"/>
      <c r="CU41" s="451"/>
      <c r="CV41" s="452"/>
      <c r="CW41" s="452"/>
      <c r="CX41" s="451">
        <v>237389</v>
      </c>
      <c r="CY41" s="455"/>
      <c r="CZ41" s="451"/>
      <c r="DA41" s="452"/>
      <c r="DB41" s="452"/>
      <c r="DC41" s="451">
        <v>65094</v>
      </c>
      <c r="DD41" s="455"/>
      <c r="DE41" s="451"/>
      <c r="DF41" s="452"/>
      <c r="DG41" s="452"/>
      <c r="DH41" s="451">
        <v>208838</v>
      </c>
      <c r="DI41" s="455"/>
      <c r="DJ41" s="451"/>
      <c r="DK41" s="452"/>
      <c r="DL41" s="452"/>
      <c r="DM41" s="451">
        <v>46504</v>
      </c>
      <c r="DN41" s="455"/>
      <c r="DO41" s="451"/>
      <c r="DP41" s="452"/>
      <c r="DQ41" s="452"/>
      <c r="DR41" s="451">
        <v>123771</v>
      </c>
      <c r="DS41" s="455"/>
      <c r="DT41" s="451"/>
      <c r="DU41" s="452"/>
      <c r="DV41" s="452"/>
      <c r="DW41" s="451">
        <v>186023</v>
      </c>
      <c r="DX41" s="455"/>
      <c r="DY41" s="451"/>
      <c r="DZ41" s="452"/>
      <c r="EA41" s="452"/>
      <c r="EB41" s="451">
        <v>200319</v>
      </c>
      <c r="EC41" s="455"/>
      <c r="ED41" s="451"/>
      <c r="EE41" s="452"/>
      <c r="EF41" s="452"/>
      <c r="EG41" s="451">
        <v>110514</v>
      </c>
      <c r="EH41" s="455"/>
      <c r="EI41" s="451"/>
      <c r="EJ41" s="452"/>
      <c r="EK41" s="452"/>
      <c r="EL41" s="451">
        <f>SUM(CD41:DW41)</f>
        <v>1142056</v>
      </c>
      <c r="EM41" s="455"/>
      <c r="EN41" s="451"/>
      <c r="EO41" s="13"/>
      <c r="ER41" s="14"/>
      <c r="ES41" s="14"/>
    </row>
    <row r="42" spans="4:149" ht="12.75" customHeight="1" x14ac:dyDescent="0.2">
      <c r="D42" s="13" t="s">
        <v>350</v>
      </c>
      <c r="E42" s="452"/>
      <c r="F42" s="198"/>
      <c r="G42" s="451">
        <v>0</v>
      </c>
      <c r="H42" s="455"/>
      <c r="I42" s="451"/>
      <c r="J42" s="452"/>
      <c r="K42" s="452"/>
      <c r="L42" s="451">
        <v>0</v>
      </c>
      <c r="M42" s="455"/>
      <c r="N42" s="451"/>
      <c r="O42" s="452"/>
      <c r="P42" s="452"/>
      <c r="Q42" s="451">
        <v>0</v>
      </c>
      <c r="R42" s="455"/>
      <c r="S42" s="451"/>
      <c r="T42" s="452"/>
      <c r="U42" s="452"/>
      <c r="V42" s="451">
        <v>0</v>
      </c>
      <c r="W42" s="455"/>
      <c r="X42" s="451"/>
      <c r="Y42" s="452"/>
      <c r="Z42" s="452"/>
      <c r="AA42" s="451">
        <v>0</v>
      </c>
      <c r="AB42" s="455"/>
      <c r="AC42" s="451"/>
      <c r="AD42" s="452"/>
      <c r="AE42" s="452"/>
      <c r="AF42" s="451">
        <v>0</v>
      </c>
      <c r="AG42" s="455"/>
      <c r="AH42" s="451"/>
      <c r="AI42" s="452"/>
      <c r="AJ42" s="452"/>
      <c r="AK42" s="451">
        <v>0</v>
      </c>
      <c r="AL42" s="455"/>
      <c r="AM42" s="451"/>
      <c r="AN42" s="452"/>
      <c r="AO42" s="452"/>
      <c r="AP42" s="451">
        <v>0</v>
      </c>
      <c r="AQ42" s="455"/>
      <c r="AR42" s="451"/>
      <c r="AS42" s="452"/>
      <c r="AT42" s="452"/>
      <c r="AU42" s="451">
        <v>0</v>
      </c>
      <c r="AV42" s="455"/>
      <c r="AW42" s="451"/>
      <c r="AX42" s="452"/>
      <c r="AY42" s="452"/>
      <c r="AZ42" s="451">
        <v>0</v>
      </c>
      <c r="BA42" s="455"/>
      <c r="BB42" s="451"/>
      <c r="BC42" s="452"/>
      <c r="BD42" s="452"/>
      <c r="BE42" s="451">
        <v>0</v>
      </c>
      <c r="BF42" s="455"/>
      <c r="BG42" s="451"/>
      <c r="BH42" s="452"/>
      <c r="BI42" s="452"/>
      <c r="BJ42" s="451">
        <v>0</v>
      </c>
      <c r="BK42" s="455"/>
      <c r="BL42" s="451"/>
      <c r="BM42" s="452"/>
      <c r="BN42" s="452"/>
      <c r="BO42" s="451">
        <v>0</v>
      </c>
      <c r="BP42" s="455"/>
      <c r="BQ42" s="451"/>
      <c r="BR42" s="452"/>
      <c r="BS42" s="452"/>
      <c r="BT42" s="451">
        <f>SUM(L42:BO42)</f>
        <v>0</v>
      </c>
      <c r="BU42" s="455"/>
      <c r="BV42" s="451"/>
      <c r="BW42" s="452"/>
      <c r="BX42" s="452"/>
      <c r="BY42" s="451">
        <v>0</v>
      </c>
      <c r="BZ42" s="455"/>
      <c r="CA42" s="451"/>
      <c r="CB42" s="452"/>
      <c r="CC42" s="452"/>
      <c r="CD42" s="451">
        <v>0</v>
      </c>
      <c r="CE42" s="455"/>
      <c r="CF42" s="451"/>
      <c r="CG42" s="452"/>
      <c r="CH42" s="452"/>
      <c r="CI42" s="451">
        <v>0</v>
      </c>
      <c r="CJ42" s="455"/>
      <c r="CK42" s="451"/>
      <c r="CL42" s="452"/>
      <c r="CM42" s="452"/>
      <c r="CN42" s="451">
        <v>0</v>
      </c>
      <c r="CO42" s="455"/>
      <c r="CP42" s="451"/>
      <c r="CQ42" s="452"/>
      <c r="CR42" s="452"/>
      <c r="CS42" s="451">
        <v>0</v>
      </c>
      <c r="CT42" s="455"/>
      <c r="CU42" s="451"/>
      <c r="CV42" s="452"/>
      <c r="CW42" s="452"/>
      <c r="CX42" s="451">
        <v>0</v>
      </c>
      <c r="CY42" s="455"/>
      <c r="CZ42" s="451"/>
      <c r="DA42" s="452"/>
      <c r="DB42" s="452"/>
      <c r="DC42" s="451">
        <v>0</v>
      </c>
      <c r="DD42" s="455"/>
      <c r="DE42" s="451"/>
      <c r="DF42" s="452"/>
      <c r="DG42" s="452"/>
      <c r="DH42" s="451">
        <v>0</v>
      </c>
      <c r="DI42" s="455"/>
      <c r="DJ42" s="451"/>
      <c r="DK42" s="452"/>
      <c r="DL42" s="452"/>
      <c r="DM42" s="451">
        <v>0</v>
      </c>
      <c r="DN42" s="455"/>
      <c r="DO42" s="451"/>
      <c r="DP42" s="452"/>
      <c r="DQ42" s="452"/>
      <c r="DR42" s="451">
        <v>0</v>
      </c>
      <c r="DS42" s="455"/>
      <c r="DT42" s="451"/>
      <c r="DU42" s="452"/>
      <c r="DV42" s="452"/>
      <c r="DW42" s="451">
        <v>0</v>
      </c>
      <c r="DX42" s="455"/>
      <c r="DY42" s="451"/>
      <c r="DZ42" s="452"/>
      <c r="EA42" s="452"/>
      <c r="EB42" s="451">
        <v>0</v>
      </c>
      <c r="EC42" s="455"/>
      <c r="ED42" s="451"/>
      <c r="EE42" s="452"/>
      <c r="EF42" s="452"/>
      <c r="EG42" s="451">
        <v>0</v>
      </c>
      <c r="EH42" s="455"/>
      <c r="EI42" s="451"/>
      <c r="EJ42" s="452"/>
      <c r="EK42" s="452"/>
      <c r="EL42" s="451">
        <f>SUM(CD42:DW42)</f>
        <v>0</v>
      </c>
      <c r="EM42" s="455"/>
      <c r="EN42" s="451"/>
      <c r="EO42" s="13"/>
      <c r="ER42" s="14"/>
      <c r="ES42" s="14"/>
    </row>
    <row r="43" spans="4:149" ht="12.75" customHeight="1" x14ac:dyDescent="0.2">
      <c r="D43" s="13" t="s">
        <v>351</v>
      </c>
      <c r="E43" s="452"/>
      <c r="F43" s="385"/>
      <c r="G43" s="463">
        <v>0</v>
      </c>
      <c r="H43" s="464"/>
      <c r="I43" s="451"/>
      <c r="J43" s="452"/>
      <c r="K43" s="465"/>
      <c r="L43" s="463">
        <v>153012</v>
      </c>
      <c r="M43" s="464"/>
      <c r="N43" s="451"/>
      <c r="O43" s="452"/>
      <c r="P43" s="465"/>
      <c r="Q43" s="463">
        <v>122400</v>
      </c>
      <c r="R43" s="464"/>
      <c r="S43" s="451"/>
      <c r="T43" s="452"/>
      <c r="U43" s="465"/>
      <c r="V43" s="463">
        <v>172596</v>
      </c>
      <c r="W43" s="464"/>
      <c r="X43" s="451"/>
      <c r="Y43" s="452"/>
      <c r="Z43" s="465"/>
      <c r="AA43" s="463">
        <v>0</v>
      </c>
      <c r="AB43" s="464"/>
      <c r="AC43" s="451"/>
      <c r="AD43" s="452"/>
      <c r="AE43" s="465"/>
      <c r="AF43" s="463">
        <v>331709</v>
      </c>
      <c r="AG43" s="464"/>
      <c r="AH43" s="451"/>
      <c r="AI43" s="452"/>
      <c r="AJ43" s="465"/>
      <c r="AK43" s="463">
        <v>0</v>
      </c>
      <c r="AL43" s="464"/>
      <c r="AM43" s="451"/>
      <c r="AN43" s="452"/>
      <c r="AO43" s="465"/>
      <c r="AP43" s="463">
        <v>263728</v>
      </c>
      <c r="AQ43" s="464"/>
      <c r="AR43" s="451"/>
      <c r="AS43" s="452"/>
      <c r="AT43" s="465"/>
      <c r="AU43" s="463">
        <v>476019</v>
      </c>
      <c r="AV43" s="464"/>
      <c r="AW43" s="451"/>
      <c r="AX43" s="452"/>
      <c r="AY43" s="465"/>
      <c r="AZ43" s="463">
        <v>647785</v>
      </c>
      <c r="BA43" s="464"/>
      <c r="BB43" s="451"/>
      <c r="BC43" s="452"/>
      <c r="BD43" s="465"/>
      <c r="BE43" s="463">
        <v>0</v>
      </c>
      <c r="BF43" s="464"/>
      <c r="BG43" s="451"/>
      <c r="BH43" s="452"/>
      <c r="BI43" s="465"/>
      <c r="BJ43" s="463">
        <v>0</v>
      </c>
      <c r="BK43" s="464"/>
      <c r="BL43" s="451"/>
      <c r="BM43" s="452"/>
      <c r="BN43" s="465"/>
      <c r="BO43" s="463">
        <v>0</v>
      </c>
      <c r="BP43" s="464"/>
      <c r="BQ43" s="451"/>
      <c r="BR43" s="452"/>
      <c r="BS43" s="465"/>
      <c r="BT43" s="463">
        <f>SUM(L43:BO43)</f>
        <v>2167249</v>
      </c>
      <c r="BU43" s="464"/>
      <c r="BV43" s="451"/>
      <c r="BW43" s="452"/>
      <c r="BX43" s="465"/>
      <c r="BY43" s="463">
        <v>1517003</v>
      </c>
      <c r="BZ43" s="464"/>
      <c r="CA43" s="451"/>
      <c r="CB43" s="452"/>
      <c r="CC43" s="465"/>
      <c r="CD43" s="463">
        <v>30035</v>
      </c>
      <c r="CE43" s="464"/>
      <c r="CF43" s="451"/>
      <c r="CG43" s="452"/>
      <c r="CH43" s="465"/>
      <c r="CI43" s="463">
        <v>76598</v>
      </c>
      <c r="CJ43" s="464"/>
      <c r="CK43" s="451"/>
      <c r="CL43" s="452"/>
      <c r="CM43" s="465"/>
      <c r="CN43" s="463">
        <v>42544</v>
      </c>
      <c r="CO43" s="464"/>
      <c r="CP43" s="451"/>
      <c r="CQ43" s="452"/>
      <c r="CR43" s="465"/>
      <c r="CS43" s="463">
        <v>169738</v>
      </c>
      <c r="CT43" s="464"/>
      <c r="CU43" s="451"/>
      <c r="CV43" s="452"/>
      <c r="CW43" s="465"/>
      <c r="CX43" s="463">
        <v>254565</v>
      </c>
      <c r="CY43" s="464"/>
      <c r="CZ43" s="451"/>
      <c r="DA43" s="452"/>
      <c r="DB43" s="465"/>
      <c r="DC43" s="463">
        <v>69427</v>
      </c>
      <c r="DD43" s="464"/>
      <c r="DE43" s="451"/>
      <c r="DF43" s="452"/>
      <c r="DG43" s="465"/>
      <c r="DH43" s="463">
        <v>223651</v>
      </c>
      <c r="DI43" s="464"/>
      <c r="DJ43" s="451"/>
      <c r="DK43" s="452"/>
      <c r="DL43" s="465"/>
      <c r="DM43" s="463">
        <v>48013</v>
      </c>
      <c r="DN43" s="464"/>
      <c r="DO43" s="451"/>
      <c r="DP43" s="452"/>
      <c r="DQ43" s="465"/>
      <c r="DR43" s="463">
        <v>118756</v>
      </c>
      <c r="DS43" s="464"/>
      <c r="DT43" s="451"/>
      <c r="DU43" s="452"/>
      <c r="DV43" s="465"/>
      <c r="DW43" s="463">
        <v>182774</v>
      </c>
      <c r="DX43" s="464"/>
      <c r="DY43" s="451"/>
      <c r="DZ43" s="452"/>
      <c r="EA43" s="465"/>
      <c r="EB43" s="463">
        <v>198132</v>
      </c>
      <c r="EC43" s="464"/>
      <c r="ED43" s="451"/>
      <c r="EE43" s="452"/>
      <c r="EF43" s="465"/>
      <c r="EG43" s="463">
        <v>102770</v>
      </c>
      <c r="EH43" s="464"/>
      <c r="EI43" s="451"/>
      <c r="EJ43" s="452"/>
      <c r="EK43" s="465"/>
      <c r="EL43" s="463">
        <f>SUM(CD43:DW43)</f>
        <v>1216101</v>
      </c>
      <c r="EM43" s="464"/>
      <c r="EN43" s="451"/>
      <c r="EO43" s="13"/>
      <c r="ER43" s="14"/>
      <c r="ES43" s="14"/>
    </row>
    <row r="44" spans="4:149" ht="12.75" customHeight="1" x14ac:dyDescent="0.2">
      <c r="D44" s="13"/>
      <c r="E44" s="452"/>
      <c r="G44" s="451"/>
      <c r="H44" s="451"/>
      <c r="I44" s="451"/>
      <c r="J44" s="452"/>
      <c r="K44" s="451"/>
      <c r="L44" s="451"/>
      <c r="M44" s="451"/>
      <c r="N44" s="451"/>
      <c r="O44" s="452"/>
      <c r="P44" s="451"/>
      <c r="Q44" s="451"/>
      <c r="R44" s="451"/>
      <c r="S44" s="451"/>
      <c r="T44" s="452"/>
      <c r="U44" s="451"/>
      <c r="V44" s="451"/>
      <c r="W44" s="451"/>
      <c r="X44" s="451"/>
      <c r="Y44" s="452"/>
      <c r="Z44" s="451"/>
      <c r="AA44" s="451"/>
      <c r="AB44" s="451"/>
      <c r="AC44" s="451"/>
      <c r="AD44" s="452"/>
      <c r="AE44" s="451"/>
      <c r="AF44" s="451"/>
      <c r="AG44" s="451"/>
      <c r="AH44" s="451"/>
      <c r="AI44" s="452"/>
      <c r="AJ44" s="451"/>
      <c r="AK44" s="451"/>
      <c r="AL44" s="451"/>
      <c r="AM44" s="451"/>
      <c r="AN44" s="452"/>
      <c r="AO44" s="451"/>
      <c r="AP44" s="451"/>
      <c r="AQ44" s="451"/>
      <c r="AR44" s="451"/>
      <c r="AS44" s="452"/>
      <c r="AT44" s="451"/>
      <c r="AU44" s="451"/>
      <c r="AV44" s="451"/>
      <c r="AW44" s="451"/>
      <c r="AX44" s="452"/>
      <c r="AY44" s="451"/>
      <c r="AZ44" s="451"/>
      <c r="BA44" s="451"/>
      <c r="BB44" s="451"/>
      <c r="BC44" s="452"/>
      <c r="BD44" s="451"/>
      <c r="BE44" s="451"/>
      <c r="BF44" s="451"/>
      <c r="BG44" s="451"/>
      <c r="BH44" s="452"/>
      <c r="BI44" s="451"/>
      <c r="BJ44" s="451"/>
      <c r="BK44" s="451"/>
      <c r="BL44" s="451"/>
      <c r="BM44" s="452"/>
      <c r="BN44" s="451"/>
      <c r="BO44" s="451"/>
      <c r="BP44" s="451"/>
      <c r="BQ44" s="451"/>
      <c r="BR44" s="452"/>
      <c r="BS44" s="451"/>
      <c r="BT44" s="451"/>
      <c r="BU44" s="451"/>
      <c r="BV44" s="451"/>
      <c r="BW44" s="452"/>
      <c r="BX44" s="451"/>
      <c r="BY44" s="451"/>
      <c r="BZ44" s="451"/>
      <c r="CA44" s="451"/>
      <c r="CB44" s="452"/>
      <c r="CC44" s="451"/>
      <c r="CD44" s="451"/>
      <c r="CE44" s="451"/>
      <c r="CF44" s="451"/>
      <c r="CG44" s="452"/>
      <c r="CH44" s="451"/>
      <c r="CI44" s="451"/>
      <c r="CJ44" s="451"/>
      <c r="CK44" s="451"/>
      <c r="CL44" s="452"/>
      <c r="CM44" s="451"/>
      <c r="CN44" s="451"/>
      <c r="CO44" s="451"/>
      <c r="CP44" s="451"/>
      <c r="CQ44" s="452"/>
      <c r="CR44" s="451"/>
      <c r="CS44" s="451"/>
      <c r="CT44" s="451"/>
      <c r="CU44" s="451"/>
      <c r="CV44" s="452"/>
      <c r="CW44" s="451"/>
      <c r="CX44" s="451"/>
      <c r="CY44" s="451"/>
      <c r="CZ44" s="451"/>
      <c r="DA44" s="452"/>
      <c r="DB44" s="451"/>
      <c r="DC44" s="451"/>
      <c r="DD44" s="451"/>
      <c r="DE44" s="451"/>
      <c r="DF44" s="452"/>
      <c r="DG44" s="451"/>
      <c r="DH44" s="451"/>
      <c r="DI44" s="451"/>
      <c r="DJ44" s="451"/>
      <c r="DK44" s="452"/>
      <c r="DL44" s="451"/>
      <c r="DM44" s="451"/>
      <c r="DN44" s="451"/>
      <c r="DO44" s="451"/>
      <c r="DP44" s="452"/>
      <c r="DQ44" s="451"/>
      <c r="DR44" s="451"/>
      <c r="DS44" s="451"/>
      <c r="DT44" s="451"/>
      <c r="DU44" s="452"/>
      <c r="DV44" s="451"/>
      <c r="DW44" s="451"/>
      <c r="DX44" s="451"/>
      <c r="DY44" s="451"/>
      <c r="DZ44" s="452"/>
      <c r="EA44" s="451"/>
      <c r="EB44" s="451"/>
      <c r="EC44" s="451"/>
      <c r="ED44" s="451"/>
      <c r="EE44" s="452"/>
      <c r="EF44" s="451"/>
      <c r="EG44" s="451"/>
      <c r="EH44" s="451"/>
      <c r="EI44" s="451"/>
      <c r="EJ44" s="452"/>
      <c r="EK44" s="451"/>
      <c r="EL44" s="451"/>
      <c r="EM44" s="451"/>
      <c r="EN44" s="451"/>
      <c r="EO44" s="13"/>
      <c r="ER44" s="14"/>
      <c r="ES44" s="14"/>
    </row>
    <row r="45" spans="4:149" ht="12.75" customHeight="1" x14ac:dyDescent="0.2">
      <c r="D45" s="13" t="s">
        <v>355</v>
      </c>
      <c r="E45" s="452"/>
      <c r="G45" s="451">
        <f>SUM(G46:G49)</f>
        <v>0</v>
      </c>
      <c r="H45" s="451"/>
      <c r="I45" s="451"/>
      <c r="J45" s="452"/>
      <c r="K45" s="451"/>
      <c r="L45" s="451">
        <f>SUM(L46:L49)</f>
        <v>982689</v>
      </c>
      <c r="M45" s="451"/>
      <c r="N45" s="451"/>
      <c r="O45" s="452"/>
      <c r="P45" s="451"/>
      <c r="Q45" s="451">
        <f>SUM(Q46:Q49)</f>
        <v>1986453</v>
      </c>
      <c r="R45" s="451"/>
      <c r="S45" s="451"/>
      <c r="T45" s="452"/>
      <c r="U45" s="451"/>
      <c r="V45" s="451">
        <f>SUM(V46:V49)</f>
        <v>1403161</v>
      </c>
      <c r="W45" s="451"/>
      <c r="X45" s="451"/>
      <c r="Y45" s="452"/>
      <c r="Z45" s="451"/>
      <c r="AA45" s="451">
        <f>SUM(AA46:AA49)</f>
        <v>2745650</v>
      </c>
      <c r="AB45" s="451"/>
      <c r="AC45" s="451"/>
      <c r="AD45" s="452"/>
      <c r="AE45" s="451"/>
      <c r="AF45" s="451">
        <f>SUM(AF46:AF49)</f>
        <v>797349</v>
      </c>
      <c r="AG45" s="451"/>
      <c r="AH45" s="451"/>
      <c r="AI45" s="452"/>
      <c r="AJ45" s="451"/>
      <c r="AK45" s="451">
        <f>SUM(AK46:AK49)</f>
        <v>2383632</v>
      </c>
      <c r="AL45" s="451"/>
      <c r="AM45" s="451"/>
      <c r="AN45" s="452"/>
      <c r="AO45" s="451"/>
      <c r="AP45" s="451">
        <f>SUM(AP46:AP49)</f>
        <v>969298</v>
      </c>
      <c r="AQ45" s="451"/>
      <c r="AR45" s="451"/>
      <c r="AS45" s="452"/>
      <c r="AT45" s="451"/>
      <c r="AU45" s="451">
        <f>SUM(AU46:AU49)</f>
        <v>2188195</v>
      </c>
      <c r="AV45" s="451"/>
      <c r="AW45" s="451"/>
      <c r="AX45" s="452"/>
      <c r="AY45" s="451"/>
      <c r="AZ45" s="451">
        <f>SUM(AZ46:AZ49)</f>
        <v>999149</v>
      </c>
      <c r="BA45" s="451"/>
      <c r="BB45" s="451"/>
      <c r="BC45" s="452"/>
      <c r="BD45" s="451"/>
      <c r="BE45" s="451">
        <f>SUM(BE46:BE49)</f>
        <v>557392</v>
      </c>
      <c r="BF45" s="451"/>
      <c r="BG45" s="451"/>
      <c r="BH45" s="452"/>
      <c r="BI45" s="451"/>
      <c r="BJ45" s="451">
        <f>SUM(BJ46:BJ49)</f>
        <v>0</v>
      </c>
      <c r="BK45" s="451"/>
      <c r="BL45" s="451"/>
      <c r="BM45" s="452"/>
      <c r="BN45" s="451"/>
      <c r="BO45" s="451">
        <f>SUM(BO46:BO49)</f>
        <v>0</v>
      </c>
      <c r="BP45" s="451"/>
      <c r="BQ45" s="451"/>
      <c r="BR45" s="452"/>
      <c r="BS45" s="451"/>
      <c r="BT45" s="451">
        <f>SUM(BT46:BT49)</f>
        <v>15012968</v>
      </c>
      <c r="BU45" s="451"/>
      <c r="BV45" s="451"/>
      <c r="BW45" s="452"/>
      <c r="BX45" s="451"/>
      <c r="BY45" s="451">
        <f>SUM(BY46:BY49)</f>
        <v>12727813</v>
      </c>
      <c r="BZ45" s="451"/>
      <c r="CA45" s="451"/>
      <c r="CB45" s="452"/>
      <c r="CC45" s="451"/>
      <c r="CD45" s="451">
        <f>SUM(CD46:CD49)</f>
        <v>590959</v>
      </c>
      <c r="CE45" s="451"/>
      <c r="CF45" s="451"/>
      <c r="CG45" s="452"/>
      <c r="CH45" s="451"/>
      <c r="CI45" s="451">
        <f>SUM(CI46:CI49)</f>
        <v>2259424</v>
      </c>
      <c r="CJ45" s="451"/>
      <c r="CK45" s="451"/>
      <c r="CL45" s="452"/>
      <c r="CM45" s="451"/>
      <c r="CN45" s="451">
        <f>SUM(CN46:CN49)</f>
        <v>903148</v>
      </c>
      <c r="CO45" s="451"/>
      <c r="CP45" s="451"/>
      <c r="CQ45" s="452"/>
      <c r="CR45" s="451"/>
      <c r="CS45" s="451">
        <f>SUM(CS46:CS49)</f>
        <v>1699018</v>
      </c>
      <c r="CT45" s="451"/>
      <c r="CU45" s="451"/>
      <c r="CV45" s="452"/>
      <c r="CW45" s="451"/>
      <c r="CX45" s="451">
        <f>SUM(CX46:CX49)</f>
        <v>316434</v>
      </c>
      <c r="CY45" s="451"/>
      <c r="CZ45" s="451"/>
      <c r="DA45" s="452"/>
      <c r="DB45" s="451"/>
      <c r="DC45" s="451">
        <f>SUM(DC46:DC49)</f>
        <v>454219</v>
      </c>
      <c r="DD45" s="451"/>
      <c r="DE45" s="451"/>
      <c r="DF45" s="452"/>
      <c r="DG45" s="451"/>
      <c r="DH45" s="451">
        <f>SUM(DH46:DH49)</f>
        <v>1592963</v>
      </c>
      <c r="DI45" s="451"/>
      <c r="DJ45" s="451"/>
      <c r="DK45" s="452"/>
      <c r="DL45" s="451"/>
      <c r="DM45" s="451">
        <f>SUM(DM46:DM49)</f>
        <v>1736282</v>
      </c>
      <c r="DN45" s="451"/>
      <c r="DO45" s="451"/>
      <c r="DP45" s="452"/>
      <c r="DQ45" s="451"/>
      <c r="DR45" s="451">
        <f>SUM(DR46:DR49)</f>
        <v>1027139</v>
      </c>
      <c r="DS45" s="451"/>
      <c r="DT45" s="451"/>
      <c r="DU45" s="452"/>
      <c r="DV45" s="451"/>
      <c r="DW45" s="451">
        <f>SUM(DW46:DW49)</f>
        <v>591085</v>
      </c>
      <c r="DX45" s="451"/>
      <c r="DY45" s="451"/>
      <c r="DZ45" s="452"/>
      <c r="EA45" s="451"/>
      <c r="EB45" s="451">
        <f>SUM(EB46:EB49)</f>
        <v>350464</v>
      </c>
      <c r="EC45" s="451"/>
      <c r="ED45" s="451"/>
      <c r="EE45" s="452"/>
      <c r="EF45" s="451"/>
      <c r="EG45" s="451">
        <f>SUM(EG46:EG49)</f>
        <v>1206678</v>
      </c>
      <c r="EH45" s="451"/>
      <c r="EI45" s="451"/>
      <c r="EJ45" s="452"/>
      <c r="EK45" s="451"/>
      <c r="EL45" s="451">
        <f>SUM(EL46:EL49)</f>
        <v>11170671</v>
      </c>
      <c r="EM45" s="451"/>
      <c r="EN45" s="451"/>
      <c r="EO45" s="13"/>
      <c r="ER45" s="14"/>
      <c r="ES45" s="14"/>
    </row>
    <row r="46" spans="4:149" ht="12.75" customHeight="1" x14ac:dyDescent="0.2">
      <c r="D46" s="13" t="s">
        <v>347</v>
      </c>
      <c r="E46" s="452"/>
      <c r="F46" s="374"/>
      <c r="G46" s="449">
        <v>0</v>
      </c>
      <c r="H46" s="450"/>
      <c r="I46" s="451"/>
      <c r="J46" s="452"/>
      <c r="K46" s="453"/>
      <c r="L46" s="449">
        <f>670000-314206</f>
        <v>355794</v>
      </c>
      <c r="M46" s="450"/>
      <c r="N46" s="451"/>
      <c r="O46" s="452"/>
      <c r="P46" s="453"/>
      <c r="Q46" s="449">
        <f>1345000-656147</f>
        <v>688853</v>
      </c>
      <c r="R46" s="450"/>
      <c r="S46" s="451"/>
      <c r="T46" s="452"/>
      <c r="U46" s="453"/>
      <c r="V46" s="449">
        <f>945000-485085</f>
        <v>459915</v>
      </c>
      <c r="W46" s="450"/>
      <c r="X46" s="451"/>
      <c r="Y46" s="452"/>
      <c r="Z46" s="453"/>
      <c r="AA46" s="449">
        <f>1850000-1026711</f>
        <v>823289</v>
      </c>
      <c r="AB46" s="450"/>
      <c r="AC46" s="451"/>
      <c r="AD46" s="452"/>
      <c r="AE46" s="453"/>
      <c r="AF46" s="449">
        <f>540000-296291</f>
        <v>243709</v>
      </c>
      <c r="AG46" s="450"/>
      <c r="AH46" s="451"/>
      <c r="AI46" s="452"/>
      <c r="AJ46" s="453"/>
      <c r="AK46" s="449">
        <f>1615000-838888</f>
        <v>776112</v>
      </c>
      <c r="AL46" s="450"/>
      <c r="AM46" s="451"/>
      <c r="AN46" s="452"/>
      <c r="AO46" s="453"/>
      <c r="AP46" s="449">
        <f>650000-353640</f>
        <v>296360</v>
      </c>
      <c r="AQ46" s="450"/>
      <c r="AR46" s="451"/>
      <c r="AS46" s="452"/>
      <c r="AT46" s="453"/>
      <c r="AU46" s="449">
        <f>1460000-813214</f>
        <v>646786</v>
      </c>
      <c r="AV46" s="450"/>
      <c r="AW46" s="451"/>
      <c r="AX46" s="452"/>
      <c r="AY46" s="453"/>
      <c r="AZ46" s="449">
        <f>665000-318471</f>
        <v>346529</v>
      </c>
      <c r="BA46" s="450"/>
      <c r="BB46" s="451"/>
      <c r="BC46" s="452"/>
      <c r="BD46" s="453"/>
      <c r="BE46" s="449">
        <f>370000-180925</f>
        <v>189075</v>
      </c>
      <c r="BF46" s="450"/>
      <c r="BG46" s="451"/>
      <c r="BH46" s="452"/>
      <c r="BI46" s="453"/>
      <c r="BJ46" s="449">
        <v>0</v>
      </c>
      <c r="BK46" s="450"/>
      <c r="BL46" s="451"/>
      <c r="BM46" s="452"/>
      <c r="BN46" s="453"/>
      <c r="BO46" s="449">
        <v>0</v>
      </c>
      <c r="BP46" s="450"/>
      <c r="BQ46" s="451"/>
      <c r="BR46" s="452"/>
      <c r="BS46" s="453"/>
      <c r="BT46" s="449">
        <f>SUM(L46:BO46)</f>
        <v>4826422</v>
      </c>
      <c r="BU46" s="450"/>
      <c r="BV46" s="451"/>
      <c r="BW46" s="452"/>
      <c r="BX46" s="453"/>
      <c r="BY46" s="449">
        <v>6147056</v>
      </c>
      <c r="BZ46" s="450"/>
      <c r="CA46" s="451"/>
      <c r="CB46" s="452"/>
      <c r="CC46" s="453"/>
      <c r="CD46" s="449">
        <f>420000-105371</f>
        <v>314629</v>
      </c>
      <c r="CE46" s="450"/>
      <c r="CF46" s="451"/>
      <c r="CG46" s="452"/>
      <c r="CH46" s="453"/>
      <c r="CI46" s="449">
        <f>1600000-346544</f>
        <v>1253456</v>
      </c>
      <c r="CJ46" s="450"/>
      <c r="CK46" s="451"/>
      <c r="CL46" s="452"/>
      <c r="CM46" s="453"/>
      <c r="CN46" s="449">
        <f>635000-161746</f>
        <v>473254</v>
      </c>
      <c r="CO46" s="450"/>
      <c r="CP46" s="451"/>
      <c r="CQ46" s="452"/>
      <c r="CR46" s="453"/>
      <c r="CS46" s="449">
        <f>1185000-302090</f>
        <v>882910</v>
      </c>
      <c r="CT46" s="450"/>
      <c r="CU46" s="451"/>
      <c r="CV46" s="452"/>
      <c r="CW46" s="453"/>
      <c r="CX46" s="449">
        <f>220000-60528</f>
        <v>159472</v>
      </c>
      <c r="CY46" s="450"/>
      <c r="CZ46" s="451"/>
      <c r="DA46" s="452"/>
      <c r="DB46" s="453"/>
      <c r="DC46" s="449">
        <f>315000-92691</f>
        <v>222309</v>
      </c>
      <c r="DD46" s="450"/>
      <c r="DE46" s="451"/>
      <c r="DF46" s="452"/>
      <c r="DG46" s="453"/>
      <c r="DH46" s="449">
        <f>1100000-334504</f>
        <v>765496</v>
      </c>
      <c r="DI46" s="450"/>
      <c r="DJ46" s="451"/>
      <c r="DK46" s="452"/>
      <c r="DL46" s="453"/>
      <c r="DM46" s="449">
        <f>1195000-407902</f>
        <v>787098</v>
      </c>
      <c r="DN46" s="450"/>
      <c r="DO46" s="451"/>
      <c r="DP46" s="452"/>
      <c r="DQ46" s="453"/>
      <c r="DR46" s="449">
        <f>705000-264352</f>
        <v>440648</v>
      </c>
      <c r="DS46" s="450"/>
      <c r="DT46" s="451"/>
      <c r="DU46" s="452"/>
      <c r="DV46" s="453"/>
      <c r="DW46" s="449">
        <f>405000-150522</f>
        <v>254478</v>
      </c>
      <c r="DX46" s="450"/>
      <c r="DY46" s="451"/>
      <c r="DZ46" s="452"/>
      <c r="EA46" s="453"/>
      <c r="EB46" s="449">
        <f>240000-88649</f>
        <v>151351</v>
      </c>
      <c r="EC46" s="450"/>
      <c r="ED46" s="451"/>
      <c r="EE46" s="452"/>
      <c r="EF46" s="453"/>
      <c r="EG46" s="449">
        <f>825000-383045</f>
        <v>441955</v>
      </c>
      <c r="EH46" s="450"/>
      <c r="EI46" s="451"/>
      <c r="EJ46" s="452"/>
      <c r="EK46" s="453"/>
      <c r="EL46" s="449">
        <f>SUM(CD46:DW46)</f>
        <v>5553750</v>
      </c>
      <c r="EM46" s="450"/>
      <c r="EN46" s="451"/>
      <c r="EO46" s="13"/>
      <c r="ER46" s="14"/>
      <c r="ES46" s="14"/>
    </row>
    <row r="47" spans="4:149" ht="12.75" customHeight="1" x14ac:dyDescent="0.2">
      <c r="D47" s="13" t="s">
        <v>349</v>
      </c>
      <c r="E47" s="452"/>
      <c r="F47" s="198"/>
      <c r="G47" s="451">
        <v>0</v>
      </c>
      <c r="H47" s="455"/>
      <c r="I47" s="451"/>
      <c r="J47" s="452"/>
      <c r="K47" s="452"/>
      <c r="L47" s="451">
        <v>314206</v>
      </c>
      <c r="M47" s="455"/>
      <c r="N47" s="451"/>
      <c r="O47" s="452"/>
      <c r="P47" s="452"/>
      <c r="Q47" s="451">
        <v>656147</v>
      </c>
      <c r="R47" s="455"/>
      <c r="S47" s="451"/>
      <c r="T47" s="452"/>
      <c r="U47" s="452"/>
      <c r="V47" s="451">
        <v>485085</v>
      </c>
      <c r="W47" s="455"/>
      <c r="X47" s="451"/>
      <c r="Y47" s="452"/>
      <c r="Z47" s="452"/>
      <c r="AA47" s="451">
        <v>1026711</v>
      </c>
      <c r="AB47" s="455"/>
      <c r="AC47" s="451"/>
      <c r="AD47" s="452"/>
      <c r="AE47" s="452"/>
      <c r="AF47" s="451">
        <v>296291</v>
      </c>
      <c r="AG47" s="455"/>
      <c r="AH47" s="451"/>
      <c r="AI47" s="452"/>
      <c r="AJ47" s="452"/>
      <c r="AK47" s="451">
        <v>838888</v>
      </c>
      <c r="AL47" s="455"/>
      <c r="AM47" s="451"/>
      <c r="AN47" s="452"/>
      <c r="AO47" s="452"/>
      <c r="AP47" s="451">
        <v>353640</v>
      </c>
      <c r="AQ47" s="455"/>
      <c r="AR47" s="451"/>
      <c r="AS47" s="452"/>
      <c r="AT47" s="452"/>
      <c r="AU47" s="451">
        <v>813214</v>
      </c>
      <c r="AV47" s="455"/>
      <c r="AW47" s="451"/>
      <c r="AX47" s="452"/>
      <c r="AY47" s="452"/>
      <c r="AZ47" s="451">
        <v>318471</v>
      </c>
      <c r="BA47" s="455"/>
      <c r="BB47" s="451"/>
      <c r="BC47" s="452"/>
      <c r="BD47" s="452"/>
      <c r="BE47" s="451">
        <v>180925</v>
      </c>
      <c r="BF47" s="455"/>
      <c r="BG47" s="451"/>
      <c r="BH47" s="452"/>
      <c r="BI47" s="452"/>
      <c r="BJ47" s="451">
        <v>0</v>
      </c>
      <c r="BK47" s="455"/>
      <c r="BL47" s="451"/>
      <c r="BM47" s="452"/>
      <c r="BN47" s="452"/>
      <c r="BO47" s="451">
        <v>0</v>
      </c>
      <c r="BP47" s="455"/>
      <c r="BQ47" s="451"/>
      <c r="BR47" s="452"/>
      <c r="BS47" s="452"/>
      <c r="BT47" s="451">
        <f>SUM(L47:BO47)</f>
        <v>5283578</v>
      </c>
      <c r="BU47" s="455"/>
      <c r="BV47" s="451"/>
      <c r="BW47" s="452"/>
      <c r="BX47" s="452"/>
      <c r="BY47" s="451">
        <v>2697944</v>
      </c>
      <c r="BZ47" s="455"/>
      <c r="CA47" s="451"/>
      <c r="CB47" s="452"/>
      <c r="CC47" s="452"/>
      <c r="CD47" s="451">
        <v>105371</v>
      </c>
      <c r="CE47" s="455"/>
      <c r="CF47" s="451"/>
      <c r="CG47" s="452"/>
      <c r="CH47" s="452"/>
      <c r="CI47" s="451">
        <v>346544</v>
      </c>
      <c r="CJ47" s="455"/>
      <c r="CK47" s="451"/>
      <c r="CL47" s="452"/>
      <c r="CM47" s="452"/>
      <c r="CN47" s="451">
        <v>161746</v>
      </c>
      <c r="CO47" s="455"/>
      <c r="CP47" s="451"/>
      <c r="CQ47" s="452"/>
      <c r="CR47" s="452"/>
      <c r="CS47" s="451">
        <v>302090</v>
      </c>
      <c r="CT47" s="455"/>
      <c r="CU47" s="451"/>
      <c r="CV47" s="452"/>
      <c r="CW47" s="452"/>
      <c r="CX47" s="451">
        <v>60528</v>
      </c>
      <c r="CY47" s="455"/>
      <c r="CZ47" s="451"/>
      <c r="DA47" s="452"/>
      <c r="DB47" s="452"/>
      <c r="DC47" s="451">
        <v>92691</v>
      </c>
      <c r="DD47" s="455"/>
      <c r="DE47" s="451"/>
      <c r="DF47" s="452"/>
      <c r="DG47" s="452"/>
      <c r="DH47" s="451">
        <v>334504</v>
      </c>
      <c r="DI47" s="455"/>
      <c r="DJ47" s="451"/>
      <c r="DK47" s="452"/>
      <c r="DL47" s="452"/>
      <c r="DM47" s="451">
        <v>407902</v>
      </c>
      <c r="DN47" s="455"/>
      <c r="DO47" s="451"/>
      <c r="DP47" s="452"/>
      <c r="DQ47" s="452"/>
      <c r="DR47" s="451">
        <v>264352</v>
      </c>
      <c r="DS47" s="455"/>
      <c r="DT47" s="451"/>
      <c r="DU47" s="452"/>
      <c r="DV47" s="452"/>
      <c r="DW47" s="451">
        <v>150522</v>
      </c>
      <c r="DX47" s="455"/>
      <c r="DY47" s="451"/>
      <c r="DZ47" s="452"/>
      <c r="EA47" s="452"/>
      <c r="EB47" s="451">
        <v>88649</v>
      </c>
      <c r="EC47" s="455"/>
      <c r="ED47" s="451"/>
      <c r="EE47" s="452"/>
      <c r="EF47" s="452"/>
      <c r="EG47" s="451">
        <v>383045</v>
      </c>
      <c r="EH47" s="455"/>
      <c r="EI47" s="451"/>
      <c r="EJ47" s="452"/>
      <c r="EK47" s="452"/>
      <c r="EL47" s="451">
        <f>SUM(CD47:DW47)</f>
        <v>2226250</v>
      </c>
      <c r="EM47" s="455"/>
      <c r="EN47" s="451"/>
      <c r="EO47" s="13"/>
      <c r="ER47" s="14"/>
      <c r="ES47" s="14"/>
    </row>
    <row r="48" spans="4:149" ht="12.75" customHeight="1" x14ac:dyDescent="0.2">
      <c r="D48" s="13" t="s">
        <v>350</v>
      </c>
      <c r="E48" s="452"/>
      <c r="F48" s="198"/>
      <c r="G48" s="451">
        <v>0</v>
      </c>
      <c r="H48" s="455"/>
      <c r="I48" s="451"/>
      <c r="J48" s="452"/>
      <c r="K48" s="452"/>
      <c r="L48" s="451">
        <v>0</v>
      </c>
      <c r="M48" s="455"/>
      <c r="N48" s="451"/>
      <c r="O48" s="452"/>
      <c r="P48" s="452"/>
      <c r="Q48" s="451">
        <v>0</v>
      </c>
      <c r="R48" s="455"/>
      <c r="S48" s="451"/>
      <c r="T48" s="452"/>
      <c r="U48" s="452"/>
      <c r="V48" s="451">
        <v>0</v>
      </c>
      <c r="W48" s="455"/>
      <c r="X48" s="451"/>
      <c r="Y48" s="452"/>
      <c r="Z48" s="452"/>
      <c r="AA48" s="451">
        <v>0</v>
      </c>
      <c r="AB48" s="455"/>
      <c r="AC48" s="451"/>
      <c r="AD48" s="452"/>
      <c r="AE48" s="452"/>
      <c r="AF48" s="451">
        <v>0</v>
      </c>
      <c r="AG48" s="455"/>
      <c r="AH48" s="451"/>
      <c r="AI48" s="452"/>
      <c r="AJ48" s="452"/>
      <c r="AK48" s="451">
        <v>0</v>
      </c>
      <c r="AL48" s="455"/>
      <c r="AM48" s="451"/>
      <c r="AN48" s="452"/>
      <c r="AO48" s="452"/>
      <c r="AP48" s="451">
        <v>0</v>
      </c>
      <c r="AQ48" s="455"/>
      <c r="AR48" s="451"/>
      <c r="AS48" s="452"/>
      <c r="AT48" s="452"/>
      <c r="AU48" s="451">
        <v>0</v>
      </c>
      <c r="AV48" s="455"/>
      <c r="AW48" s="451"/>
      <c r="AX48" s="452"/>
      <c r="AY48" s="452"/>
      <c r="AZ48" s="451">
        <v>0</v>
      </c>
      <c r="BA48" s="455"/>
      <c r="BB48" s="451"/>
      <c r="BC48" s="452"/>
      <c r="BD48" s="452"/>
      <c r="BE48" s="451">
        <v>0</v>
      </c>
      <c r="BF48" s="455"/>
      <c r="BG48" s="451"/>
      <c r="BH48" s="452"/>
      <c r="BI48" s="452"/>
      <c r="BJ48" s="451">
        <v>0</v>
      </c>
      <c r="BK48" s="455"/>
      <c r="BL48" s="451"/>
      <c r="BM48" s="452"/>
      <c r="BN48" s="452"/>
      <c r="BO48" s="451">
        <v>0</v>
      </c>
      <c r="BP48" s="455"/>
      <c r="BQ48" s="451"/>
      <c r="BR48" s="452"/>
      <c r="BS48" s="452"/>
      <c r="BT48" s="451">
        <f>SUM(L48:BO48)</f>
        <v>0</v>
      </c>
      <c r="BU48" s="455"/>
      <c r="BV48" s="451"/>
      <c r="BW48" s="452"/>
      <c r="BX48" s="452"/>
      <c r="BY48" s="451">
        <v>0</v>
      </c>
      <c r="BZ48" s="455"/>
      <c r="CA48" s="451"/>
      <c r="CB48" s="452"/>
      <c r="CC48" s="452"/>
      <c r="CD48" s="451">
        <v>0</v>
      </c>
      <c r="CE48" s="455"/>
      <c r="CF48" s="451"/>
      <c r="CG48" s="452"/>
      <c r="CH48" s="452"/>
      <c r="CI48" s="451">
        <v>0</v>
      </c>
      <c r="CJ48" s="455"/>
      <c r="CK48" s="451"/>
      <c r="CL48" s="452"/>
      <c r="CM48" s="452"/>
      <c r="CN48" s="451">
        <v>0</v>
      </c>
      <c r="CO48" s="455"/>
      <c r="CP48" s="451"/>
      <c r="CQ48" s="452"/>
      <c r="CR48" s="452"/>
      <c r="CS48" s="451">
        <v>0</v>
      </c>
      <c r="CT48" s="455"/>
      <c r="CU48" s="451"/>
      <c r="CV48" s="452"/>
      <c r="CW48" s="452"/>
      <c r="CX48" s="451">
        <v>0</v>
      </c>
      <c r="CY48" s="455"/>
      <c r="CZ48" s="451"/>
      <c r="DA48" s="452"/>
      <c r="DB48" s="452"/>
      <c r="DC48" s="451">
        <v>0</v>
      </c>
      <c r="DD48" s="455"/>
      <c r="DE48" s="451"/>
      <c r="DF48" s="452"/>
      <c r="DG48" s="452"/>
      <c r="DH48" s="451">
        <v>0</v>
      </c>
      <c r="DI48" s="455"/>
      <c r="DJ48" s="451"/>
      <c r="DK48" s="452"/>
      <c r="DL48" s="452"/>
      <c r="DM48" s="451">
        <v>0</v>
      </c>
      <c r="DN48" s="455"/>
      <c r="DO48" s="451"/>
      <c r="DP48" s="452"/>
      <c r="DQ48" s="452"/>
      <c r="DR48" s="451">
        <v>0</v>
      </c>
      <c r="DS48" s="455"/>
      <c r="DT48" s="451"/>
      <c r="DU48" s="452"/>
      <c r="DV48" s="452"/>
      <c r="DW48" s="451">
        <v>0</v>
      </c>
      <c r="DX48" s="455"/>
      <c r="DY48" s="451"/>
      <c r="DZ48" s="452"/>
      <c r="EA48" s="452"/>
      <c r="EB48" s="451">
        <v>0</v>
      </c>
      <c r="EC48" s="455"/>
      <c r="ED48" s="451"/>
      <c r="EE48" s="452"/>
      <c r="EF48" s="452"/>
      <c r="EG48" s="451">
        <v>0</v>
      </c>
      <c r="EH48" s="455"/>
      <c r="EI48" s="451"/>
      <c r="EJ48" s="452"/>
      <c r="EK48" s="452"/>
      <c r="EL48" s="451">
        <f>SUM(CD48:DW48)</f>
        <v>0</v>
      </c>
      <c r="EM48" s="455"/>
      <c r="EN48" s="451"/>
      <c r="EO48" s="13"/>
      <c r="ER48" s="14"/>
      <c r="ES48" s="14"/>
    </row>
    <row r="49" spans="4:149" ht="12.75" customHeight="1" x14ac:dyDescent="0.2">
      <c r="D49" s="13" t="s">
        <v>351</v>
      </c>
      <c r="E49" s="452"/>
      <c r="F49" s="385"/>
      <c r="G49" s="463">
        <v>0</v>
      </c>
      <c r="H49" s="464"/>
      <c r="I49" s="451"/>
      <c r="J49" s="452"/>
      <c r="K49" s="465"/>
      <c r="L49" s="463">
        <v>312689</v>
      </c>
      <c r="M49" s="464"/>
      <c r="N49" s="451"/>
      <c r="O49" s="452"/>
      <c r="P49" s="465"/>
      <c r="Q49" s="463">
        <v>641453</v>
      </c>
      <c r="R49" s="464"/>
      <c r="S49" s="451"/>
      <c r="T49" s="452"/>
      <c r="U49" s="465"/>
      <c r="V49" s="463">
        <v>458161</v>
      </c>
      <c r="W49" s="464"/>
      <c r="X49" s="451"/>
      <c r="Y49" s="452"/>
      <c r="Z49" s="465"/>
      <c r="AA49" s="463">
        <v>895650</v>
      </c>
      <c r="AB49" s="464"/>
      <c r="AC49" s="451"/>
      <c r="AD49" s="452"/>
      <c r="AE49" s="465"/>
      <c r="AF49" s="463">
        <v>257349</v>
      </c>
      <c r="AG49" s="464"/>
      <c r="AH49" s="451"/>
      <c r="AI49" s="452"/>
      <c r="AJ49" s="465"/>
      <c r="AK49" s="463">
        <v>768632</v>
      </c>
      <c r="AL49" s="464"/>
      <c r="AM49" s="451"/>
      <c r="AN49" s="452"/>
      <c r="AO49" s="465"/>
      <c r="AP49" s="463">
        <v>319298</v>
      </c>
      <c r="AQ49" s="464"/>
      <c r="AR49" s="451"/>
      <c r="AS49" s="452"/>
      <c r="AT49" s="465"/>
      <c r="AU49" s="463">
        <v>728195</v>
      </c>
      <c r="AV49" s="464"/>
      <c r="AW49" s="451"/>
      <c r="AX49" s="452"/>
      <c r="AY49" s="465"/>
      <c r="AZ49" s="463">
        <v>334149</v>
      </c>
      <c r="BA49" s="464"/>
      <c r="BB49" s="451"/>
      <c r="BC49" s="452"/>
      <c r="BD49" s="465"/>
      <c r="BE49" s="463">
        <v>187392</v>
      </c>
      <c r="BF49" s="464"/>
      <c r="BG49" s="451"/>
      <c r="BH49" s="452"/>
      <c r="BI49" s="465"/>
      <c r="BJ49" s="463">
        <v>0</v>
      </c>
      <c r="BK49" s="464"/>
      <c r="BL49" s="451"/>
      <c r="BM49" s="452"/>
      <c r="BN49" s="465"/>
      <c r="BO49" s="463">
        <v>0</v>
      </c>
      <c r="BP49" s="464"/>
      <c r="BQ49" s="451"/>
      <c r="BR49" s="452"/>
      <c r="BS49" s="465"/>
      <c r="BT49" s="463">
        <f>SUM(L49:BO49)</f>
        <v>4902968</v>
      </c>
      <c r="BU49" s="464"/>
      <c r="BV49" s="451"/>
      <c r="BW49" s="452"/>
      <c r="BX49" s="465"/>
      <c r="BY49" s="463">
        <v>3882813</v>
      </c>
      <c r="BZ49" s="464"/>
      <c r="CA49" s="451"/>
      <c r="CB49" s="452"/>
      <c r="CC49" s="465"/>
      <c r="CD49" s="463">
        <v>170959</v>
      </c>
      <c r="CE49" s="464"/>
      <c r="CF49" s="451"/>
      <c r="CG49" s="452"/>
      <c r="CH49" s="465"/>
      <c r="CI49" s="463">
        <v>659424</v>
      </c>
      <c r="CJ49" s="464"/>
      <c r="CK49" s="451"/>
      <c r="CL49" s="452"/>
      <c r="CM49" s="465"/>
      <c r="CN49" s="463">
        <v>268148</v>
      </c>
      <c r="CO49" s="464"/>
      <c r="CP49" s="451"/>
      <c r="CQ49" s="452"/>
      <c r="CR49" s="465"/>
      <c r="CS49" s="463">
        <v>514018</v>
      </c>
      <c r="CT49" s="464"/>
      <c r="CU49" s="451"/>
      <c r="CV49" s="452"/>
      <c r="CW49" s="465"/>
      <c r="CX49" s="463">
        <v>96434</v>
      </c>
      <c r="CY49" s="464"/>
      <c r="CZ49" s="451"/>
      <c r="DA49" s="452"/>
      <c r="DB49" s="465"/>
      <c r="DC49" s="463">
        <v>139219</v>
      </c>
      <c r="DD49" s="464"/>
      <c r="DE49" s="451"/>
      <c r="DF49" s="452"/>
      <c r="DG49" s="465"/>
      <c r="DH49" s="463">
        <v>492963</v>
      </c>
      <c r="DI49" s="464"/>
      <c r="DJ49" s="451"/>
      <c r="DK49" s="452"/>
      <c r="DL49" s="465"/>
      <c r="DM49" s="463">
        <v>541282</v>
      </c>
      <c r="DN49" s="464"/>
      <c r="DO49" s="451"/>
      <c r="DP49" s="452"/>
      <c r="DQ49" s="465"/>
      <c r="DR49" s="463">
        <v>322139</v>
      </c>
      <c r="DS49" s="464"/>
      <c r="DT49" s="451"/>
      <c r="DU49" s="452"/>
      <c r="DV49" s="465"/>
      <c r="DW49" s="463">
        <v>186085</v>
      </c>
      <c r="DX49" s="464"/>
      <c r="DY49" s="451"/>
      <c r="DZ49" s="452"/>
      <c r="EA49" s="465"/>
      <c r="EB49" s="463">
        <v>110464</v>
      </c>
      <c r="EC49" s="464"/>
      <c r="ED49" s="451"/>
      <c r="EE49" s="452"/>
      <c r="EF49" s="465"/>
      <c r="EG49" s="463">
        <v>381678</v>
      </c>
      <c r="EH49" s="464"/>
      <c r="EI49" s="451"/>
      <c r="EJ49" s="452"/>
      <c r="EK49" s="465"/>
      <c r="EL49" s="463">
        <f>SUM(CD49:DW49)</f>
        <v>3390671</v>
      </c>
      <c r="EM49" s="464"/>
      <c r="EN49" s="451"/>
      <c r="EO49" s="13"/>
      <c r="ER49" s="14"/>
      <c r="ES49" s="14"/>
    </row>
    <row r="50" spans="4:149" x14ac:dyDescent="0.2">
      <c r="D50" s="13"/>
      <c r="E50" s="452"/>
      <c r="G50" s="451"/>
      <c r="H50" s="451"/>
      <c r="I50" s="451"/>
      <c r="J50" s="452"/>
      <c r="K50" s="451"/>
      <c r="L50" s="451"/>
      <c r="M50" s="451"/>
      <c r="N50" s="451"/>
      <c r="O50" s="452"/>
      <c r="P50" s="451"/>
      <c r="Q50" s="451"/>
      <c r="R50" s="451"/>
      <c r="S50" s="451"/>
      <c r="T50" s="452"/>
      <c r="U50" s="451"/>
      <c r="V50" s="451"/>
      <c r="W50" s="451"/>
      <c r="X50" s="451"/>
      <c r="Y50" s="452"/>
      <c r="Z50" s="451"/>
      <c r="AA50" s="451"/>
      <c r="AB50" s="451"/>
      <c r="AC50" s="451"/>
      <c r="AD50" s="452"/>
      <c r="AE50" s="451"/>
      <c r="AF50" s="451"/>
      <c r="AG50" s="451"/>
      <c r="AH50" s="451"/>
      <c r="AI50" s="452"/>
      <c r="AJ50" s="451"/>
      <c r="AK50" s="451"/>
      <c r="AL50" s="451"/>
      <c r="AM50" s="451"/>
      <c r="AN50" s="452"/>
      <c r="AO50" s="451"/>
      <c r="AP50" s="451"/>
      <c r="AQ50" s="451"/>
      <c r="AR50" s="451"/>
      <c r="AS50" s="452"/>
      <c r="AT50" s="451"/>
      <c r="AU50" s="451"/>
      <c r="AV50" s="451"/>
      <c r="AW50" s="451"/>
      <c r="AX50" s="452"/>
      <c r="AY50" s="451"/>
      <c r="AZ50" s="451"/>
      <c r="BA50" s="451"/>
      <c r="BB50" s="451"/>
      <c r="BC50" s="452"/>
      <c r="BD50" s="451"/>
      <c r="BE50" s="451"/>
      <c r="BF50" s="451"/>
      <c r="BG50" s="451"/>
      <c r="BH50" s="452"/>
      <c r="BI50" s="451"/>
      <c r="BJ50" s="451"/>
      <c r="BK50" s="451"/>
      <c r="BL50" s="451"/>
      <c r="BM50" s="452"/>
      <c r="BN50" s="451"/>
      <c r="BO50" s="451"/>
      <c r="BP50" s="451"/>
      <c r="BQ50" s="451"/>
      <c r="BR50" s="452"/>
      <c r="BS50" s="451"/>
      <c r="BT50" s="451"/>
      <c r="BU50" s="451"/>
      <c r="BV50" s="451"/>
      <c r="BW50" s="452"/>
      <c r="BX50" s="451"/>
      <c r="BY50" s="451"/>
      <c r="BZ50" s="451"/>
      <c r="CA50" s="451"/>
      <c r="CB50" s="452"/>
      <c r="CC50" s="451"/>
      <c r="CD50" s="451"/>
      <c r="CE50" s="451"/>
      <c r="CF50" s="451"/>
      <c r="CG50" s="452"/>
      <c r="CH50" s="451"/>
      <c r="CI50" s="451"/>
      <c r="CJ50" s="451"/>
      <c r="CK50" s="451"/>
      <c r="CL50" s="452"/>
      <c r="CM50" s="451"/>
      <c r="CN50" s="451"/>
      <c r="CO50" s="451"/>
      <c r="CP50" s="451"/>
      <c r="CQ50" s="452"/>
      <c r="CR50" s="451"/>
      <c r="CS50" s="451"/>
      <c r="CT50" s="451"/>
      <c r="CU50" s="451"/>
      <c r="CV50" s="452"/>
      <c r="CW50" s="451"/>
      <c r="CX50" s="451"/>
      <c r="CY50" s="451"/>
      <c r="CZ50" s="451"/>
      <c r="DA50" s="452"/>
      <c r="DB50" s="451"/>
      <c r="DC50" s="451"/>
      <c r="DD50" s="451"/>
      <c r="DE50" s="451"/>
      <c r="DF50" s="452"/>
      <c r="DG50" s="451"/>
      <c r="DH50" s="451"/>
      <c r="DI50" s="451"/>
      <c r="DJ50" s="451"/>
      <c r="DK50" s="452"/>
      <c r="DL50" s="451"/>
      <c r="DM50" s="451"/>
      <c r="DN50" s="451"/>
      <c r="DO50" s="451"/>
      <c r="DP50" s="452"/>
      <c r="DQ50" s="451"/>
      <c r="DR50" s="451"/>
      <c r="DS50" s="451"/>
      <c r="DT50" s="451"/>
      <c r="DU50" s="452"/>
      <c r="DV50" s="451"/>
      <c r="DW50" s="451"/>
      <c r="DX50" s="451"/>
      <c r="DY50" s="451"/>
      <c r="DZ50" s="452"/>
      <c r="EA50" s="451"/>
      <c r="EB50" s="451"/>
      <c r="EC50" s="451"/>
      <c r="ED50" s="451"/>
      <c r="EE50" s="452"/>
      <c r="EF50" s="451"/>
      <c r="EG50" s="451"/>
      <c r="EH50" s="451"/>
      <c r="EI50" s="451"/>
      <c r="EJ50" s="452"/>
      <c r="EK50" s="451"/>
      <c r="EL50" s="451"/>
      <c r="EM50" s="451"/>
      <c r="EN50" s="451"/>
      <c r="EO50" s="13"/>
      <c r="ER50" s="14"/>
      <c r="ES50" s="14"/>
    </row>
    <row r="51" spans="4:149" ht="12.75" customHeight="1" x14ac:dyDescent="0.2">
      <c r="D51" s="13" t="s">
        <v>356</v>
      </c>
      <c r="E51" s="452"/>
      <c r="G51" s="451">
        <f>SUM(G52:G54)</f>
        <v>0</v>
      </c>
      <c r="H51" s="451"/>
      <c r="I51" s="451"/>
      <c r="J51" s="452"/>
      <c r="K51" s="451"/>
      <c r="L51" s="451">
        <f>SUM(L52:L54)</f>
        <v>1510000</v>
      </c>
      <c r="M51" s="451"/>
      <c r="N51" s="451"/>
      <c r="O51" s="452"/>
      <c r="P51" s="451"/>
      <c r="Q51" s="451">
        <f>SUM(Q52:Q54)</f>
        <v>7508000</v>
      </c>
      <c r="R51" s="451"/>
      <c r="S51" s="451"/>
      <c r="T51" s="452"/>
      <c r="U51" s="451"/>
      <c r="V51" s="451">
        <f>SUM(V52:V54)</f>
        <v>8200000</v>
      </c>
      <c r="W51" s="451"/>
      <c r="X51" s="451"/>
      <c r="Y51" s="452"/>
      <c r="Z51" s="451"/>
      <c r="AA51" s="451">
        <f>SUM(AA52:AA54)</f>
        <v>3508000</v>
      </c>
      <c r="AB51" s="451"/>
      <c r="AC51" s="451"/>
      <c r="AD51" s="452"/>
      <c r="AE51" s="451"/>
      <c r="AF51" s="451">
        <f>SUM(AF52:AF54)</f>
        <v>0</v>
      </c>
      <c r="AG51" s="451"/>
      <c r="AH51" s="451"/>
      <c r="AI51" s="452"/>
      <c r="AJ51" s="451"/>
      <c r="AK51" s="451">
        <f>SUM(AK52:AK54)</f>
        <v>6391000</v>
      </c>
      <c r="AL51" s="451"/>
      <c r="AM51" s="451"/>
      <c r="AN51" s="452"/>
      <c r="AO51" s="451"/>
      <c r="AP51" s="451">
        <f>SUM(AP52:AP54)</f>
        <v>0</v>
      </c>
      <c r="AQ51" s="451"/>
      <c r="AR51" s="451"/>
      <c r="AS51" s="452"/>
      <c r="AT51" s="451"/>
      <c r="AU51" s="451">
        <f>SUM(AU52:AU54)</f>
        <v>6646000</v>
      </c>
      <c r="AV51" s="451"/>
      <c r="AW51" s="451"/>
      <c r="AX51" s="452"/>
      <c r="AY51" s="451"/>
      <c r="AZ51" s="451">
        <f>SUM(AZ52:AZ54)</f>
        <v>2151000</v>
      </c>
      <c r="BA51" s="451"/>
      <c r="BB51" s="451"/>
      <c r="BC51" s="452"/>
      <c r="BD51" s="451"/>
      <c r="BE51" s="451">
        <f>SUM(BE52:BE54)</f>
        <v>4397000</v>
      </c>
      <c r="BF51" s="451"/>
      <c r="BG51" s="451"/>
      <c r="BH51" s="452"/>
      <c r="BI51" s="451"/>
      <c r="BJ51" s="451">
        <f>SUM(BJ52:BJ54)</f>
        <v>0</v>
      </c>
      <c r="BK51" s="451"/>
      <c r="BL51" s="451"/>
      <c r="BM51" s="452"/>
      <c r="BN51" s="451"/>
      <c r="BO51" s="451">
        <f>SUM(BO52:BO54)</f>
        <v>0</v>
      </c>
      <c r="BP51" s="451"/>
      <c r="BQ51" s="451"/>
      <c r="BR51" s="452"/>
      <c r="BS51" s="451"/>
      <c r="BT51" s="451">
        <f>SUM(BT52:BT54)</f>
        <v>40311000</v>
      </c>
      <c r="BU51" s="451"/>
      <c r="BV51" s="451"/>
      <c r="BW51" s="452"/>
      <c r="BX51" s="451"/>
      <c r="BY51" s="451">
        <f>SUM(BY52:BY54)</f>
        <v>43345055</v>
      </c>
      <c r="BZ51" s="451"/>
      <c r="CA51" s="451"/>
      <c r="CB51" s="452"/>
      <c r="CC51" s="451"/>
      <c r="CD51" s="451">
        <f>SUM(CD52:CD54)</f>
        <v>3301000</v>
      </c>
      <c r="CE51" s="451"/>
      <c r="CF51" s="451"/>
      <c r="CG51" s="452"/>
      <c r="CH51" s="451"/>
      <c r="CI51" s="451">
        <f>SUM(CI52:CI54)</f>
        <v>2750055</v>
      </c>
      <c r="CJ51" s="451"/>
      <c r="CK51" s="451"/>
      <c r="CL51" s="452"/>
      <c r="CM51" s="451"/>
      <c r="CN51" s="451">
        <f>SUM(CN52:CN54)</f>
        <v>4397000</v>
      </c>
      <c r="CO51" s="451"/>
      <c r="CP51" s="451"/>
      <c r="CQ51" s="452"/>
      <c r="CR51" s="451"/>
      <c r="CS51" s="451">
        <f>SUM(CS52:CS54)</f>
        <v>3302000</v>
      </c>
      <c r="CT51" s="451"/>
      <c r="CU51" s="451"/>
      <c r="CV51" s="452"/>
      <c r="CW51" s="451"/>
      <c r="CX51" s="451">
        <f>SUM(CX52:CX54)</f>
        <v>4787000</v>
      </c>
      <c r="CY51" s="451"/>
      <c r="CZ51" s="451"/>
      <c r="DA51" s="452"/>
      <c r="DB51" s="451"/>
      <c r="DC51" s="451">
        <f>SUM(DC52:DC54)</f>
        <v>5287000</v>
      </c>
      <c r="DD51" s="451"/>
      <c r="DE51" s="451"/>
      <c r="DF51" s="452"/>
      <c r="DG51" s="451"/>
      <c r="DH51" s="451">
        <f>SUM(DH52:DH54)</f>
        <v>6794000</v>
      </c>
      <c r="DI51" s="451"/>
      <c r="DJ51" s="451"/>
      <c r="DK51" s="452"/>
      <c r="DL51" s="451"/>
      <c r="DM51" s="451">
        <f>SUM(DM52:DM54)</f>
        <v>2265000</v>
      </c>
      <c r="DN51" s="451"/>
      <c r="DO51" s="451"/>
      <c r="DP51" s="452"/>
      <c r="DQ51" s="451"/>
      <c r="DR51" s="451">
        <f>SUM(DR52:DR54)</f>
        <v>4529000</v>
      </c>
      <c r="DS51" s="451"/>
      <c r="DT51" s="451"/>
      <c r="DU51" s="452"/>
      <c r="DV51" s="451"/>
      <c r="DW51" s="451">
        <f>SUM(DW52:DW54)</f>
        <v>1534000</v>
      </c>
      <c r="DX51" s="451"/>
      <c r="DY51" s="451"/>
      <c r="DZ51" s="452"/>
      <c r="EA51" s="451"/>
      <c r="EB51" s="451">
        <f>SUM(EB52:EB54)</f>
        <v>4399000</v>
      </c>
      <c r="EC51" s="451"/>
      <c r="ED51" s="451"/>
      <c r="EE51" s="452"/>
      <c r="EF51" s="451"/>
      <c r="EG51" s="451">
        <f>SUM(EG52:EG54)</f>
        <v>0</v>
      </c>
      <c r="EH51" s="451"/>
      <c r="EI51" s="451"/>
      <c r="EJ51" s="452"/>
      <c r="EK51" s="451"/>
      <c r="EL51" s="451">
        <f>SUM(EL52:EL54)</f>
        <v>38946055</v>
      </c>
      <c r="EM51" s="451"/>
      <c r="EN51" s="451"/>
      <c r="EO51" s="13"/>
      <c r="ER51" s="14"/>
      <c r="ES51" s="14"/>
    </row>
    <row r="52" spans="4:149" ht="12.75" customHeight="1" x14ac:dyDescent="0.2">
      <c r="D52" s="13" t="s">
        <v>347</v>
      </c>
      <c r="E52" s="452"/>
      <c r="F52" s="374"/>
      <c r="G52" s="449">
        <v>0</v>
      </c>
      <c r="H52" s="450"/>
      <c r="I52" s="451"/>
      <c r="J52" s="452"/>
      <c r="K52" s="453"/>
      <c r="L52" s="449">
        <f>1510000-253860</f>
        <v>1256140</v>
      </c>
      <c r="M52" s="450"/>
      <c r="N52" s="451"/>
      <c r="O52" s="452"/>
      <c r="P52" s="453"/>
      <c r="Q52" s="449">
        <f>7508000-917243</f>
        <v>6590757</v>
      </c>
      <c r="R52" s="450"/>
      <c r="S52" s="451"/>
      <c r="T52" s="452"/>
      <c r="U52" s="453"/>
      <c r="V52" s="449">
        <f>8200000-1034972</f>
        <v>7165028</v>
      </c>
      <c r="W52" s="450"/>
      <c r="X52" s="451"/>
      <c r="Y52" s="452"/>
      <c r="Z52" s="453"/>
      <c r="AA52" s="449">
        <f>3508000-491482</f>
        <v>3016518</v>
      </c>
      <c r="AB52" s="450"/>
      <c r="AC52" s="451"/>
      <c r="AD52" s="452"/>
      <c r="AE52" s="453"/>
      <c r="AF52" s="449">
        <v>0</v>
      </c>
      <c r="AG52" s="450"/>
      <c r="AH52" s="451"/>
      <c r="AI52" s="452"/>
      <c r="AJ52" s="453"/>
      <c r="AK52" s="449">
        <f>6391000-983778</f>
        <v>5407222</v>
      </c>
      <c r="AL52" s="450"/>
      <c r="AM52" s="451"/>
      <c r="AN52" s="452"/>
      <c r="AO52" s="453"/>
      <c r="AP52" s="449">
        <v>0</v>
      </c>
      <c r="AQ52" s="450"/>
      <c r="AR52" s="451"/>
      <c r="AS52" s="452"/>
      <c r="AT52" s="453"/>
      <c r="AU52" s="449">
        <f>6646000-988220</f>
        <v>5657780</v>
      </c>
      <c r="AV52" s="450"/>
      <c r="AW52" s="451"/>
      <c r="AX52" s="452"/>
      <c r="AY52" s="453"/>
      <c r="AZ52" s="449">
        <f>2151000-262780</f>
        <v>1888220</v>
      </c>
      <c r="BA52" s="450"/>
      <c r="BB52" s="451"/>
      <c r="BC52" s="452"/>
      <c r="BD52" s="453"/>
      <c r="BE52" s="449">
        <f>4397000-540028</f>
        <v>3856972</v>
      </c>
      <c r="BF52" s="450"/>
      <c r="BG52" s="451"/>
      <c r="BH52" s="452"/>
      <c r="BI52" s="453"/>
      <c r="BJ52" s="449">
        <v>0</v>
      </c>
      <c r="BK52" s="450"/>
      <c r="BL52" s="451"/>
      <c r="BM52" s="452"/>
      <c r="BN52" s="453"/>
      <c r="BO52" s="449">
        <v>0</v>
      </c>
      <c r="BP52" s="450"/>
      <c r="BQ52" s="451"/>
      <c r="BR52" s="452"/>
      <c r="BS52" s="453"/>
      <c r="BT52" s="449">
        <f>SUM(L52:BO52)</f>
        <v>34838637</v>
      </c>
      <c r="BU52" s="450"/>
      <c r="BV52" s="451"/>
      <c r="BW52" s="452"/>
      <c r="BX52" s="453"/>
      <c r="BY52" s="449">
        <v>40775369</v>
      </c>
      <c r="BZ52" s="450"/>
      <c r="CA52" s="451"/>
      <c r="CB52" s="452"/>
      <c r="CC52" s="453"/>
      <c r="CD52" s="449">
        <f>3301000-163830</f>
        <v>3137170</v>
      </c>
      <c r="CE52" s="450"/>
      <c r="CF52" s="451"/>
      <c r="CG52" s="452"/>
      <c r="CH52" s="453"/>
      <c r="CI52" s="449">
        <f>2750055-165548</f>
        <v>2584507</v>
      </c>
      <c r="CJ52" s="450"/>
      <c r="CK52" s="451"/>
      <c r="CL52" s="452"/>
      <c r="CM52" s="453"/>
      <c r="CN52" s="449">
        <f>4397000-272440</f>
        <v>4124560</v>
      </c>
      <c r="CO52" s="450"/>
      <c r="CP52" s="451"/>
      <c r="CQ52" s="452"/>
      <c r="CR52" s="453"/>
      <c r="CS52" s="449">
        <f>3302000-133787</f>
        <v>3168213</v>
      </c>
      <c r="CT52" s="450"/>
      <c r="CU52" s="451"/>
      <c r="CV52" s="452"/>
      <c r="CW52" s="453"/>
      <c r="CX52" s="449">
        <f>4787000-293432</f>
        <v>4493568</v>
      </c>
      <c r="CY52" s="450"/>
      <c r="CZ52" s="451"/>
      <c r="DA52" s="452"/>
      <c r="DB52" s="453"/>
      <c r="DC52" s="449">
        <f>5287000-271864</f>
        <v>5015136</v>
      </c>
      <c r="DD52" s="450"/>
      <c r="DE52" s="451"/>
      <c r="DF52" s="452"/>
      <c r="DG52" s="453"/>
      <c r="DH52" s="449">
        <f>6794000-375118</f>
        <v>6418882</v>
      </c>
      <c r="DI52" s="450"/>
      <c r="DJ52" s="451"/>
      <c r="DK52" s="452"/>
      <c r="DL52" s="453"/>
      <c r="DM52" s="449">
        <f>2265000-159336</f>
        <v>2105664</v>
      </c>
      <c r="DN52" s="450"/>
      <c r="DO52" s="451"/>
      <c r="DP52" s="452"/>
      <c r="DQ52" s="453"/>
      <c r="DR52" s="449">
        <f>4529000-353943</f>
        <v>4175057</v>
      </c>
      <c r="DS52" s="450"/>
      <c r="DT52" s="451"/>
      <c r="DU52" s="452"/>
      <c r="DV52" s="453"/>
      <c r="DW52" s="449">
        <f>1534000-99046</f>
        <v>1434954</v>
      </c>
      <c r="DX52" s="450"/>
      <c r="DY52" s="451"/>
      <c r="DZ52" s="452"/>
      <c r="EA52" s="453"/>
      <c r="EB52" s="449">
        <f>4399000-281342</f>
        <v>4117658</v>
      </c>
      <c r="EC52" s="450"/>
      <c r="ED52" s="451"/>
      <c r="EE52" s="452"/>
      <c r="EF52" s="453"/>
      <c r="EG52" s="449">
        <v>0</v>
      </c>
      <c r="EH52" s="450"/>
      <c r="EI52" s="451"/>
      <c r="EJ52" s="452"/>
      <c r="EK52" s="453"/>
      <c r="EL52" s="449">
        <f>SUM(CD52:DW52)</f>
        <v>36657711</v>
      </c>
      <c r="EM52" s="450"/>
      <c r="EN52" s="451"/>
      <c r="EO52" s="13"/>
      <c r="ER52" s="14"/>
      <c r="ES52" s="14"/>
    </row>
    <row r="53" spans="4:149" ht="12.75" customHeight="1" x14ac:dyDescent="0.2">
      <c r="D53" s="13" t="s">
        <v>349</v>
      </c>
      <c r="E53" s="452"/>
      <c r="F53" s="198"/>
      <c r="G53" s="451">
        <v>0</v>
      </c>
      <c r="H53" s="455"/>
      <c r="I53" s="451"/>
      <c r="J53" s="452"/>
      <c r="K53" s="452"/>
      <c r="L53" s="451">
        <v>253860</v>
      </c>
      <c r="M53" s="455"/>
      <c r="N53" s="451"/>
      <c r="O53" s="452"/>
      <c r="P53" s="452"/>
      <c r="Q53" s="451">
        <v>917243</v>
      </c>
      <c r="R53" s="455"/>
      <c r="S53" s="451"/>
      <c r="T53" s="452"/>
      <c r="U53" s="452"/>
      <c r="V53" s="451">
        <v>1034972</v>
      </c>
      <c r="W53" s="455"/>
      <c r="X53" s="451"/>
      <c r="Y53" s="452"/>
      <c r="Z53" s="452"/>
      <c r="AA53" s="451">
        <v>491482</v>
      </c>
      <c r="AB53" s="455"/>
      <c r="AC53" s="451"/>
      <c r="AD53" s="452"/>
      <c r="AE53" s="452"/>
      <c r="AF53" s="451">
        <v>0</v>
      </c>
      <c r="AG53" s="455"/>
      <c r="AH53" s="451"/>
      <c r="AI53" s="452"/>
      <c r="AJ53" s="452"/>
      <c r="AK53" s="451">
        <v>983778</v>
      </c>
      <c r="AL53" s="455"/>
      <c r="AM53" s="451"/>
      <c r="AN53" s="452"/>
      <c r="AO53" s="452"/>
      <c r="AP53" s="451">
        <v>0</v>
      </c>
      <c r="AQ53" s="455"/>
      <c r="AR53" s="451"/>
      <c r="AS53" s="452"/>
      <c r="AT53" s="452"/>
      <c r="AU53" s="451">
        <v>988220</v>
      </c>
      <c r="AV53" s="455"/>
      <c r="AW53" s="451"/>
      <c r="AX53" s="452"/>
      <c r="AY53" s="452"/>
      <c r="AZ53" s="451">
        <v>262780</v>
      </c>
      <c r="BA53" s="455"/>
      <c r="BB53" s="451"/>
      <c r="BC53" s="452"/>
      <c r="BD53" s="452"/>
      <c r="BE53" s="451">
        <v>540028</v>
      </c>
      <c r="BF53" s="455"/>
      <c r="BG53" s="451"/>
      <c r="BH53" s="452"/>
      <c r="BI53" s="452"/>
      <c r="BJ53" s="451">
        <v>0</v>
      </c>
      <c r="BK53" s="455"/>
      <c r="BL53" s="451"/>
      <c r="BM53" s="452"/>
      <c r="BN53" s="452"/>
      <c r="BO53" s="451">
        <v>0</v>
      </c>
      <c r="BP53" s="455"/>
      <c r="BQ53" s="451"/>
      <c r="BR53" s="452"/>
      <c r="BS53" s="452"/>
      <c r="BT53" s="451">
        <f>SUM(L53:BO53)</f>
        <v>5472363</v>
      </c>
      <c r="BU53" s="455"/>
      <c r="BV53" s="451"/>
      <c r="BW53" s="452"/>
      <c r="BX53" s="452"/>
      <c r="BY53" s="451">
        <v>2569686</v>
      </c>
      <c r="BZ53" s="455"/>
      <c r="CA53" s="451"/>
      <c r="CB53" s="452"/>
      <c r="CC53" s="452"/>
      <c r="CD53" s="451">
        <v>163830</v>
      </c>
      <c r="CE53" s="455"/>
      <c r="CF53" s="451"/>
      <c r="CG53" s="452"/>
      <c r="CH53" s="452"/>
      <c r="CI53" s="451">
        <v>165548</v>
      </c>
      <c r="CJ53" s="455"/>
      <c r="CK53" s="451"/>
      <c r="CL53" s="452"/>
      <c r="CM53" s="452"/>
      <c r="CN53" s="451">
        <v>272440</v>
      </c>
      <c r="CO53" s="455"/>
      <c r="CP53" s="451"/>
      <c r="CQ53" s="452"/>
      <c r="CR53" s="452"/>
      <c r="CS53" s="451">
        <v>133787</v>
      </c>
      <c r="CT53" s="455"/>
      <c r="CU53" s="451"/>
      <c r="CV53" s="452"/>
      <c r="CW53" s="452"/>
      <c r="CX53" s="451">
        <v>293432</v>
      </c>
      <c r="CY53" s="455"/>
      <c r="CZ53" s="451"/>
      <c r="DA53" s="452"/>
      <c r="DB53" s="452"/>
      <c r="DC53" s="451">
        <v>271864</v>
      </c>
      <c r="DD53" s="455"/>
      <c r="DE53" s="451"/>
      <c r="DF53" s="452"/>
      <c r="DG53" s="452"/>
      <c r="DH53" s="451">
        <v>375118</v>
      </c>
      <c r="DI53" s="455"/>
      <c r="DJ53" s="451"/>
      <c r="DK53" s="452"/>
      <c r="DL53" s="452"/>
      <c r="DM53" s="451">
        <v>159336</v>
      </c>
      <c r="DN53" s="455"/>
      <c r="DO53" s="451"/>
      <c r="DP53" s="452"/>
      <c r="DQ53" s="452"/>
      <c r="DR53" s="451">
        <v>353943</v>
      </c>
      <c r="DS53" s="455"/>
      <c r="DT53" s="451"/>
      <c r="DU53" s="452"/>
      <c r="DV53" s="452"/>
      <c r="DW53" s="451">
        <v>99046</v>
      </c>
      <c r="DX53" s="455"/>
      <c r="DY53" s="451"/>
      <c r="DZ53" s="452"/>
      <c r="EA53" s="452"/>
      <c r="EB53" s="451">
        <v>281342</v>
      </c>
      <c r="EC53" s="455"/>
      <c r="ED53" s="451"/>
      <c r="EE53" s="452"/>
      <c r="EF53" s="452"/>
      <c r="EG53" s="451">
        <v>0</v>
      </c>
      <c r="EH53" s="455"/>
      <c r="EI53" s="451"/>
      <c r="EJ53" s="452"/>
      <c r="EK53" s="452"/>
      <c r="EL53" s="451">
        <f>SUM(CD53:DW53)</f>
        <v>2288344</v>
      </c>
      <c r="EM53" s="455"/>
      <c r="EN53" s="451"/>
      <c r="EO53" s="13"/>
      <c r="ER53" s="14"/>
      <c r="ES53" s="14"/>
    </row>
    <row r="54" spans="4:149" ht="12.75" customHeight="1" x14ac:dyDescent="0.2">
      <c r="D54" s="13" t="s">
        <v>357</v>
      </c>
      <c r="E54" s="452"/>
      <c r="F54" s="385"/>
      <c r="G54" s="463">
        <v>0</v>
      </c>
      <c r="H54" s="464"/>
      <c r="I54" s="451"/>
      <c r="J54" s="452"/>
      <c r="K54" s="465"/>
      <c r="L54" s="463">
        <v>0</v>
      </c>
      <c r="M54" s="464"/>
      <c r="N54" s="451"/>
      <c r="O54" s="452"/>
      <c r="P54" s="465"/>
      <c r="Q54" s="463">
        <v>0</v>
      </c>
      <c r="R54" s="464"/>
      <c r="S54" s="451"/>
      <c r="T54" s="452"/>
      <c r="U54" s="465"/>
      <c r="V54" s="463">
        <v>0</v>
      </c>
      <c r="W54" s="464"/>
      <c r="X54" s="451"/>
      <c r="Y54" s="452"/>
      <c r="Z54" s="465"/>
      <c r="AA54" s="463">
        <v>0</v>
      </c>
      <c r="AB54" s="464"/>
      <c r="AC54" s="451"/>
      <c r="AD54" s="452"/>
      <c r="AE54" s="465"/>
      <c r="AF54" s="463">
        <v>0</v>
      </c>
      <c r="AG54" s="464"/>
      <c r="AH54" s="451"/>
      <c r="AI54" s="452"/>
      <c r="AJ54" s="465"/>
      <c r="AK54" s="463">
        <v>0</v>
      </c>
      <c r="AL54" s="464"/>
      <c r="AM54" s="451"/>
      <c r="AN54" s="452"/>
      <c r="AO54" s="465"/>
      <c r="AP54" s="463">
        <v>0</v>
      </c>
      <c r="AQ54" s="464"/>
      <c r="AR54" s="451"/>
      <c r="AS54" s="452"/>
      <c r="AT54" s="465"/>
      <c r="AU54" s="463">
        <v>0</v>
      </c>
      <c r="AV54" s="464"/>
      <c r="AW54" s="451"/>
      <c r="AX54" s="452"/>
      <c r="AY54" s="465"/>
      <c r="AZ54" s="463">
        <v>0</v>
      </c>
      <c r="BA54" s="464"/>
      <c r="BB54" s="451"/>
      <c r="BC54" s="452"/>
      <c r="BD54" s="465"/>
      <c r="BE54" s="463">
        <v>0</v>
      </c>
      <c r="BF54" s="464"/>
      <c r="BG54" s="451"/>
      <c r="BH54" s="452"/>
      <c r="BI54" s="465"/>
      <c r="BJ54" s="463">
        <v>0</v>
      </c>
      <c r="BK54" s="464"/>
      <c r="BL54" s="451"/>
      <c r="BM54" s="452"/>
      <c r="BN54" s="465"/>
      <c r="BO54" s="463">
        <v>0</v>
      </c>
      <c r="BP54" s="464"/>
      <c r="BQ54" s="451"/>
      <c r="BR54" s="452"/>
      <c r="BS54" s="465"/>
      <c r="BT54" s="463">
        <f>SUM(L54:BO54)</f>
        <v>0</v>
      </c>
      <c r="BU54" s="464"/>
      <c r="BV54" s="451"/>
      <c r="BW54" s="452"/>
      <c r="BX54" s="465"/>
      <c r="BY54" s="463">
        <v>0</v>
      </c>
      <c r="BZ54" s="464"/>
      <c r="CA54" s="451"/>
      <c r="CB54" s="452"/>
      <c r="CC54" s="465"/>
      <c r="CD54" s="463">
        <v>0</v>
      </c>
      <c r="CE54" s="464"/>
      <c r="CF54" s="451"/>
      <c r="CG54" s="452"/>
      <c r="CH54" s="465"/>
      <c r="CI54" s="463">
        <v>0</v>
      </c>
      <c r="CJ54" s="464"/>
      <c r="CK54" s="451"/>
      <c r="CL54" s="452"/>
      <c r="CM54" s="465"/>
      <c r="CN54" s="463">
        <v>0</v>
      </c>
      <c r="CO54" s="464"/>
      <c r="CP54" s="451"/>
      <c r="CQ54" s="452"/>
      <c r="CR54" s="465"/>
      <c r="CS54" s="463">
        <v>0</v>
      </c>
      <c r="CT54" s="464"/>
      <c r="CU54" s="451"/>
      <c r="CV54" s="452"/>
      <c r="CW54" s="465"/>
      <c r="CX54" s="463">
        <v>0</v>
      </c>
      <c r="CY54" s="464"/>
      <c r="CZ54" s="451"/>
      <c r="DA54" s="452"/>
      <c r="DB54" s="465"/>
      <c r="DC54" s="463">
        <v>0</v>
      </c>
      <c r="DD54" s="464"/>
      <c r="DE54" s="451"/>
      <c r="DF54" s="452"/>
      <c r="DG54" s="465"/>
      <c r="DH54" s="463">
        <v>0</v>
      </c>
      <c r="DI54" s="464"/>
      <c r="DJ54" s="451"/>
      <c r="DK54" s="452"/>
      <c r="DL54" s="465"/>
      <c r="DM54" s="463">
        <v>0</v>
      </c>
      <c r="DN54" s="464"/>
      <c r="DO54" s="451"/>
      <c r="DP54" s="452"/>
      <c r="DQ54" s="465"/>
      <c r="DR54" s="463">
        <v>0</v>
      </c>
      <c r="DS54" s="464"/>
      <c r="DT54" s="451"/>
      <c r="DU54" s="452"/>
      <c r="DV54" s="465"/>
      <c r="DW54" s="463">
        <v>0</v>
      </c>
      <c r="DX54" s="464"/>
      <c r="DY54" s="451"/>
      <c r="DZ54" s="452"/>
      <c r="EA54" s="465"/>
      <c r="EB54" s="463">
        <v>0</v>
      </c>
      <c r="EC54" s="464"/>
      <c r="ED54" s="451"/>
      <c r="EE54" s="452"/>
      <c r="EF54" s="465"/>
      <c r="EG54" s="463">
        <v>0</v>
      </c>
      <c r="EH54" s="464"/>
      <c r="EI54" s="451"/>
      <c r="EJ54" s="452"/>
      <c r="EK54" s="465"/>
      <c r="EL54" s="463">
        <f>SUM(CD54:DW54)</f>
        <v>0</v>
      </c>
      <c r="EM54" s="464"/>
      <c r="EN54" s="451"/>
      <c r="EO54" s="13"/>
      <c r="ER54" s="14"/>
      <c r="ES54" s="14"/>
    </row>
    <row r="55" spans="4:149" ht="12.75" customHeight="1" x14ac:dyDescent="0.2">
      <c r="D55" s="13"/>
      <c r="E55" s="452"/>
      <c r="G55" s="451"/>
      <c r="H55" s="451"/>
      <c r="I55" s="451"/>
      <c r="J55" s="452"/>
      <c r="K55" s="451"/>
      <c r="L55" s="451"/>
      <c r="M55" s="451"/>
      <c r="N55" s="451"/>
      <c r="O55" s="452"/>
      <c r="P55" s="451"/>
      <c r="Q55" s="451"/>
      <c r="R55" s="451"/>
      <c r="S55" s="451"/>
      <c r="T55" s="452"/>
      <c r="U55" s="451"/>
      <c r="V55" s="451"/>
      <c r="W55" s="451"/>
      <c r="X55" s="451"/>
      <c r="Y55" s="452"/>
      <c r="Z55" s="451"/>
      <c r="AA55" s="451"/>
      <c r="AB55" s="451"/>
      <c r="AC55" s="451"/>
      <c r="AD55" s="452"/>
      <c r="AE55" s="451"/>
      <c r="AF55" s="451"/>
      <c r="AG55" s="451"/>
      <c r="AH55" s="451"/>
      <c r="AI55" s="452"/>
      <c r="AJ55" s="451"/>
      <c r="AK55" s="451"/>
      <c r="AL55" s="451"/>
      <c r="AM55" s="451"/>
      <c r="AN55" s="452"/>
      <c r="AO55" s="451"/>
      <c r="AP55" s="451"/>
      <c r="AQ55" s="451"/>
      <c r="AR55" s="451"/>
      <c r="AS55" s="452"/>
      <c r="AT55" s="451"/>
      <c r="AU55" s="451"/>
      <c r="AV55" s="451"/>
      <c r="AW55" s="451"/>
      <c r="AX55" s="452"/>
      <c r="AY55" s="451"/>
      <c r="AZ55" s="451"/>
      <c r="BA55" s="451"/>
      <c r="BB55" s="451"/>
      <c r="BC55" s="452"/>
      <c r="BD55" s="451"/>
      <c r="BE55" s="451"/>
      <c r="BF55" s="451"/>
      <c r="BG55" s="451"/>
      <c r="BH55" s="452"/>
      <c r="BI55" s="451"/>
      <c r="BJ55" s="451"/>
      <c r="BK55" s="451"/>
      <c r="BL55" s="451"/>
      <c r="BM55" s="452"/>
      <c r="BN55" s="451"/>
      <c r="BO55" s="451"/>
      <c r="BP55" s="451"/>
      <c r="BQ55" s="451"/>
      <c r="BR55" s="452"/>
      <c r="BS55" s="451"/>
      <c r="BT55" s="451"/>
      <c r="BU55" s="451"/>
      <c r="BV55" s="451"/>
      <c r="BW55" s="452"/>
      <c r="BX55" s="451"/>
      <c r="BY55" s="451"/>
      <c r="BZ55" s="451"/>
      <c r="CA55" s="451"/>
      <c r="CB55" s="452"/>
      <c r="CC55" s="451"/>
      <c r="CD55" s="451"/>
      <c r="CE55" s="451"/>
      <c r="CF55" s="451"/>
      <c r="CG55" s="452"/>
      <c r="CH55" s="451"/>
      <c r="CI55" s="451"/>
      <c r="CJ55" s="451"/>
      <c r="CK55" s="451"/>
      <c r="CL55" s="452"/>
      <c r="CM55" s="451"/>
      <c r="CN55" s="451"/>
      <c r="CO55" s="451"/>
      <c r="CP55" s="451"/>
      <c r="CQ55" s="452"/>
      <c r="CR55" s="451"/>
      <c r="CS55" s="451"/>
      <c r="CT55" s="451"/>
      <c r="CU55" s="451"/>
      <c r="CV55" s="452"/>
      <c r="CW55" s="451"/>
      <c r="CX55" s="451"/>
      <c r="CY55" s="451"/>
      <c r="CZ55" s="451"/>
      <c r="DA55" s="452"/>
      <c r="DB55" s="451"/>
      <c r="DC55" s="451"/>
      <c r="DD55" s="451"/>
      <c r="DE55" s="451"/>
      <c r="DF55" s="452"/>
      <c r="DG55" s="451"/>
      <c r="DH55" s="451"/>
      <c r="DI55" s="451"/>
      <c r="DJ55" s="451"/>
      <c r="DK55" s="452"/>
      <c r="DL55" s="451"/>
      <c r="DM55" s="451"/>
      <c r="DN55" s="451"/>
      <c r="DO55" s="451"/>
      <c r="DP55" s="452"/>
      <c r="DQ55" s="451"/>
      <c r="DR55" s="451"/>
      <c r="DS55" s="451"/>
      <c r="DT55" s="451"/>
      <c r="DU55" s="452"/>
      <c r="DV55" s="451"/>
      <c r="DW55" s="451"/>
      <c r="DX55" s="451"/>
      <c r="DY55" s="451"/>
      <c r="DZ55" s="452"/>
      <c r="EA55" s="451"/>
      <c r="EB55" s="451"/>
      <c r="EC55" s="451"/>
      <c r="ED55" s="451"/>
      <c r="EE55" s="452"/>
      <c r="EF55" s="451"/>
      <c r="EG55" s="451"/>
      <c r="EH55" s="451"/>
      <c r="EI55" s="451"/>
      <c r="EJ55" s="452"/>
      <c r="EK55" s="451"/>
      <c r="EL55" s="451"/>
      <c r="EM55" s="451"/>
      <c r="EN55" s="451"/>
      <c r="EO55" s="13"/>
      <c r="ER55" s="14"/>
      <c r="ES55" s="14"/>
    </row>
    <row r="56" spans="4:149" x14ac:dyDescent="0.2">
      <c r="D56" s="13" t="s">
        <v>358</v>
      </c>
      <c r="E56" s="452"/>
      <c r="G56" s="451">
        <f>SUM(G57:G59)</f>
        <v>0</v>
      </c>
      <c r="H56" s="451"/>
      <c r="I56" s="451"/>
      <c r="J56" s="452"/>
      <c r="K56" s="451"/>
      <c r="L56" s="451">
        <f>SUM(L57:L59)</f>
        <v>6933000</v>
      </c>
      <c r="M56" s="451"/>
      <c r="N56" s="451"/>
      <c r="O56" s="452"/>
      <c r="P56" s="451"/>
      <c r="Q56" s="451">
        <f>SUM(Q57:Q59)</f>
        <v>9652000</v>
      </c>
      <c r="R56" s="451"/>
      <c r="S56" s="451"/>
      <c r="T56" s="452"/>
      <c r="U56" s="451"/>
      <c r="V56" s="451">
        <f>SUM(V57:V59)</f>
        <v>5365000</v>
      </c>
      <c r="W56" s="451"/>
      <c r="X56" s="451"/>
      <c r="Y56" s="452"/>
      <c r="Z56" s="451"/>
      <c r="AA56" s="451">
        <f>SUM(AA57:AA59)</f>
        <v>19611000</v>
      </c>
      <c r="AB56" s="451"/>
      <c r="AC56" s="451"/>
      <c r="AD56" s="452"/>
      <c r="AE56" s="451"/>
      <c r="AF56" s="451">
        <f>SUM(AF57:AF59)</f>
        <v>7976000</v>
      </c>
      <c r="AG56" s="451"/>
      <c r="AH56" s="451"/>
      <c r="AI56" s="452"/>
      <c r="AJ56" s="451"/>
      <c r="AK56" s="451">
        <f>SUM(AK57:AK59)</f>
        <v>4403000</v>
      </c>
      <c r="AL56" s="451"/>
      <c r="AM56" s="451"/>
      <c r="AN56" s="452"/>
      <c r="AO56" s="451"/>
      <c r="AP56" s="451">
        <f>SUM(AP57:AP59)</f>
        <v>12162000</v>
      </c>
      <c r="AQ56" s="451"/>
      <c r="AR56" s="451"/>
      <c r="AS56" s="452"/>
      <c r="AT56" s="451"/>
      <c r="AU56" s="451">
        <f>SUM(AU57:AU59)</f>
        <v>4448000</v>
      </c>
      <c r="AV56" s="451"/>
      <c r="AW56" s="451"/>
      <c r="AX56" s="452"/>
      <c r="AY56" s="451"/>
      <c r="AZ56" s="451">
        <f>SUM(AZ57:AZ59)</f>
        <v>12828000</v>
      </c>
      <c r="BA56" s="451"/>
      <c r="BB56" s="451"/>
      <c r="BC56" s="452"/>
      <c r="BD56" s="451"/>
      <c r="BE56" s="451">
        <f>SUM(BE57:BE59)</f>
        <v>6604000</v>
      </c>
      <c r="BF56" s="451"/>
      <c r="BG56" s="451"/>
      <c r="BH56" s="452"/>
      <c r="BI56" s="451"/>
      <c r="BJ56" s="451">
        <f>SUM(BJ57:BJ59)</f>
        <v>0</v>
      </c>
      <c r="BK56" s="451"/>
      <c r="BL56" s="451"/>
      <c r="BM56" s="452"/>
      <c r="BN56" s="451"/>
      <c r="BO56" s="451">
        <f>SUM(BO57:BO59)</f>
        <v>0</v>
      </c>
      <c r="BP56" s="451"/>
      <c r="BQ56" s="451"/>
      <c r="BR56" s="452"/>
      <c r="BS56" s="451"/>
      <c r="BT56" s="451">
        <f>SUM(BT57:BT59)</f>
        <v>89982000</v>
      </c>
      <c r="BU56" s="451"/>
      <c r="BV56" s="451"/>
      <c r="BW56" s="452"/>
      <c r="BX56" s="451"/>
      <c r="BY56" s="451">
        <f>SUM(BY57:BY59)</f>
        <v>29989172</v>
      </c>
      <c r="BZ56" s="451"/>
      <c r="CA56" s="451"/>
      <c r="CB56" s="452"/>
      <c r="CC56" s="451"/>
      <c r="CD56" s="451">
        <f>SUM(CD57:CD59)</f>
        <v>2109000</v>
      </c>
      <c r="CE56" s="451"/>
      <c r="CF56" s="451"/>
      <c r="CG56" s="452"/>
      <c r="CH56" s="451"/>
      <c r="CI56" s="451">
        <f>SUM(CI57:CI59)</f>
        <v>2666172</v>
      </c>
      <c r="CJ56" s="451"/>
      <c r="CK56" s="451"/>
      <c r="CL56" s="452"/>
      <c r="CM56" s="451"/>
      <c r="CN56" s="451">
        <f>SUM(CN57:CN59)</f>
        <v>1555000</v>
      </c>
      <c r="CO56" s="451"/>
      <c r="CP56" s="451"/>
      <c r="CQ56" s="452"/>
      <c r="CR56" s="451"/>
      <c r="CS56" s="451">
        <f>SUM(CS57:CS59)</f>
        <v>1649000</v>
      </c>
      <c r="CT56" s="451"/>
      <c r="CU56" s="451"/>
      <c r="CV56" s="452"/>
      <c r="CW56" s="451"/>
      <c r="CX56" s="451">
        <f>SUM(CX57:CX59)</f>
        <v>4535000</v>
      </c>
      <c r="CY56" s="451"/>
      <c r="CZ56" s="451"/>
      <c r="DA56" s="452"/>
      <c r="DB56" s="451"/>
      <c r="DC56" s="451">
        <f>SUM(DC57:DC59)</f>
        <v>1532000</v>
      </c>
      <c r="DD56" s="451"/>
      <c r="DE56" s="451"/>
      <c r="DF56" s="452"/>
      <c r="DG56" s="451"/>
      <c r="DH56" s="451">
        <f>SUM(DH57:DH59)</f>
        <v>0</v>
      </c>
      <c r="DI56" s="451"/>
      <c r="DJ56" s="451"/>
      <c r="DK56" s="452"/>
      <c r="DL56" s="451"/>
      <c r="DM56" s="451">
        <f>SUM(DM57:DM59)</f>
        <v>3020000</v>
      </c>
      <c r="DN56" s="451"/>
      <c r="DO56" s="451"/>
      <c r="DP56" s="452"/>
      <c r="DQ56" s="451"/>
      <c r="DR56" s="451">
        <f>SUM(DR57:DR59)</f>
        <v>758000</v>
      </c>
      <c r="DS56" s="451"/>
      <c r="DT56" s="451"/>
      <c r="DU56" s="452"/>
      <c r="DV56" s="451"/>
      <c r="DW56" s="451">
        <f>SUM(DW57:DW59)</f>
        <v>2268000</v>
      </c>
      <c r="DX56" s="451"/>
      <c r="DY56" s="451"/>
      <c r="DZ56" s="452"/>
      <c r="EA56" s="451"/>
      <c r="EB56" s="451">
        <f>SUM(EB57:EB59)</f>
        <v>3777000</v>
      </c>
      <c r="EC56" s="451"/>
      <c r="ED56" s="451"/>
      <c r="EE56" s="452"/>
      <c r="EF56" s="451"/>
      <c r="EG56" s="451">
        <f>SUM(EG57:EG59)</f>
        <v>6120000</v>
      </c>
      <c r="EH56" s="451"/>
      <c r="EI56" s="451"/>
      <c r="EJ56" s="452"/>
      <c r="EK56" s="451"/>
      <c r="EL56" s="451">
        <f>SUM(EL57:EL59)</f>
        <v>20092172</v>
      </c>
      <c r="EM56" s="451"/>
      <c r="EN56" s="451"/>
      <c r="EO56" s="13"/>
      <c r="ER56" s="14"/>
      <c r="ES56" s="14"/>
    </row>
    <row r="57" spans="4:149" x14ac:dyDescent="0.2">
      <c r="D57" s="13" t="s">
        <v>347</v>
      </c>
      <c r="E57" s="452"/>
      <c r="F57" s="374"/>
      <c r="G57" s="449">
        <v>0</v>
      </c>
      <c r="H57" s="450"/>
      <c r="I57" s="451"/>
      <c r="J57" s="452"/>
      <c r="K57" s="453"/>
      <c r="L57" s="449">
        <f>6933000+289208</f>
        <v>7222208</v>
      </c>
      <c r="M57" s="450"/>
      <c r="N57" s="451"/>
      <c r="O57" s="452"/>
      <c r="P57" s="453"/>
      <c r="Q57" s="449">
        <f>9652000+1102248</f>
        <v>10754248</v>
      </c>
      <c r="R57" s="450"/>
      <c r="S57" s="451"/>
      <c r="T57" s="452"/>
      <c r="U57" s="453"/>
      <c r="V57" s="449">
        <f>5365000+764417</f>
        <v>6129417</v>
      </c>
      <c r="W57" s="450"/>
      <c r="X57" s="451"/>
      <c r="Y57" s="452"/>
      <c r="Z57" s="453"/>
      <c r="AA57" s="449">
        <f>19611000+2780721</f>
        <v>22391721</v>
      </c>
      <c r="AB57" s="450"/>
      <c r="AC57" s="451"/>
      <c r="AD57" s="452"/>
      <c r="AE57" s="453"/>
      <c r="AF57" s="449">
        <f>7976000+1213553</f>
        <v>9189553</v>
      </c>
      <c r="AG57" s="450"/>
      <c r="AH57" s="451"/>
      <c r="AI57" s="452"/>
      <c r="AJ57" s="453"/>
      <c r="AK57" s="449">
        <f>4403000+716835</f>
        <v>5119835</v>
      </c>
      <c r="AL57" s="450"/>
      <c r="AM57" s="451"/>
      <c r="AN57" s="452"/>
      <c r="AO57" s="453"/>
      <c r="AP57" s="449">
        <f>12162000+2010551</f>
        <v>14172551</v>
      </c>
      <c r="AQ57" s="450"/>
      <c r="AR57" s="451"/>
      <c r="AS57" s="452"/>
      <c r="AT57" s="453"/>
      <c r="AU57" s="449">
        <f>4448000+777625</f>
        <v>5225625</v>
      </c>
      <c r="AV57" s="450"/>
      <c r="AW57" s="451"/>
      <c r="AX57" s="452"/>
      <c r="AY57" s="453"/>
      <c r="AZ57" s="449">
        <f>12828000+2213621</f>
        <v>15041621</v>
      </c>
      <c r="BA57" s="450"/>
      <c r="BB57" s="451"/>
      <c r="BC57" s="452"/>
      <c r="BD57" s="453"/>
      <c r="BE57" s="449">
        <f>6604000+1216723</f>
        <v>7820723</v>
      </c>
      <c r="BF57" s="450"/>
      <c r="BG57" s="451"/>
      <c r="BH57" s="452"/>
      <c r="BI57" s="453"/>
      <c r="BJ57" s="449">
        <v>0</v>
      </c>
      <c r="BK57" s="450"/>
      <c r="BL57" s="451"/>
      <c r="BM57" s="452"/>
      <c r="BN57" s="453"/>
      <c r="BO57" s="449">
        <v>0</v>
      </c>
      <c r="BP57" s="450"/>
      <c r="BQ57" s="451"/>
      <c r="BR57" s="452"/>
      <c r="BS57" s="453"/>
      <c r="BT57" s="449">
        <f>SUM(L57:BO57)</f>
        <v>103067502</v>
      </c>
      <c r="BU57" s="450"/>
      <c r="BV57" s="451"/>
      <c r="BW57" s="452"/>
      <c r="BX57" s="453"/>
      <c r="BY57" s="449">
        <v>33062023</v>
      </c>
      <c r="BZ57" s="450"/>
      <c r="CA57" s="451"/>
      <c r="CB57" s="452"/>
      <c r="CC57" s="453"/>
      <c r="CD57" s="449">
        <f>2109000+225458</f>
        <v>2334458</v>
      </c>
      <c r="CE57" s="450"/>
      <c r="CF57" s="451"/>
      <c r="CG57" s="452"/>
      <c r="CH57" s="453"/>
      <c r="CI57" s="449">
        <f>2666172+300186</f>
        <v>2966358</v>
      </c>
      <c r="CJ57" s="450"/>
      <c r="CK57" s="451"/>
      <c r="CL57" s="452"/>
      <c r="CM57" s="453"/>
      <c r="CN57" s="449">
        <f>1555000+180568</f>
        <v>1735568</v>
      </c>
      <c r="CO57" s="450"/>
      <c r="CP57" s="451"/>
      <c r="CQ57" s="452"/>
      <c r="CR57" s="453"/>
      <c r="CS57" s="449">
        <f>1649000+213274</f>
        <v>1862274</v>
      </c>
      <c r="CT57" s="450"/>
      <c r="CU57" s="451"/>
      <c r="CV57" s="452"/>
      <c r="CW57" s="453"/>
      <c r="CX57" s="449">
        <f>4535000+513408</f>
        <v>5048408</v>
      </c>
      <c r="CY57" s="450"/>
      <c r="CZ57" s="451"/>
      <c r="DA57" s="452"/>
      <c r="DB57" s="453"/>
      <c r="DC57" s="449">
        <f>1532000+197239</f>
        <v>1729239</v>
      </c>
      <c r="DD57" s="450"/>
      <c r="DE57" s="451"/>
      <c r="DF57" s="452"/>
      <c r="DG57" s="453"/>
      <c r="DH57" s="449">
        <v>0</v>
      </c>
      <c r="DI57" s="450"/>
      <c r="DJ57" s="451"/>
      <c r="DK57" s="452"/>
      <c r="DL57" s="453"/>
      <c r="DM57" s="449">
        <f>3020000+347931</f>
        <v>3367931</v>
      </c>
      <c r="DN57" s="450"/>
      <c r="DO57" s="451"/>
      <c r="DP57" s="452"/>
      <c r="DQ57" s="453"/>
      <c r="DR57" s="449">
        <f>758000+79844</f>
        <v>837844</v>
      </c>
      <c r="DS57" s="450"/>
      <c r="DT57" s="451"/>
      <c r="DU57" s="452"/>
      <c r="DV57" s="453"/>
      <c r="DW57" s="449">
        <f>2268000+279324</f>
        <v>2547324</v>
      </c>
      <c r="DX57" s="450"/>
      <c r="DY57" s="451"/>
      <c r="DZ57" s="452"/>
      <c r="EA57" s="453"/>
      <c r="EB57" s="449">
        <f>3777000+508862</f>
        <v>4285862</v>
      </c>
      <c r="EC57" s="450"/>
      <c r="ED57" s="451"/>
      <c r="EE57" s="452"/>
      <c r="EF57" s="453"/>
      <c r="EG57" s="449">
        <f>6120000-155160+381917</f>
        <v>6346757</v>
      </c>
      <c r="EH57" s="450"/>
      <c r="EI57" s="451"/>
      <c r="EJ57" s="452"/>
      <c r="EK57" s="453"/>
      <c r="EL57" s="449">
        <f>SUM(CD57:DW57)</f>
        <v>22429404</v>
      </c>
      <c r="EM57" s="450"/>
      <c r="EN57" s="451"/>
      <c r="EO57" s="13"/>
      <c r="ER57" s="14"/>
      <c r="ES57" s="14"/>
    </row>
    <row r="58" spans="4:149" x14ac:dyDescent="0.2">
      <c r="D58" s="13" t="s">
        <v>349</v>
      </c>
      <c r="E58" s="452"/>
      <c r="F58" s="198"/>
      <c r="G58" s="451">
        <v>0</v>
      </c>
      <c r="H58" s="455"/>
      <c r="I58" s="451"/>
      <c r="J58" s="452"/>
      <c r="K58" s="452"/>
      <c r="L58" s="451">
        <v>0</v>
      </c>
      <c r="M58" s="455"/>
      <c r="N58" s="451"/>
      <c r="O58" s="452"/>
      <c r="P58" s="452"/>
      <c r="Q58" s="451">
        <v>0</v>
      </c>
      <c r="R58" s="455"/>
      <c r="S58" s="451"/>
      <c r="T58" s="452"/>
      <c r="U58" s="452"/>
      <c r="V58" s="451">
        <v>0</v>
      </c>
      <c r="W58" s="455"/>
      <c r="X58" s="451"/>
      <c r="Y58" s="452"/>
      <c r="Z58" s="452"/>
      <c r="AA58" s="451">
        <v>0</v>
      </c>
      <c r="AB58" s="455"/>
      <c r="AC58" s="451"/>
      <c r="AD58" s="452"/>
      <c r="AE58" s="452"/>
      <c r="AF58" s="451">
        <v>0</v>
      </c>
      <c r="AG58" s="455"/>
      <c r="AH58" s="451"/>
      <c r="AI58" s="452"/>
      <c r="AJ58" s="452"/>
      <c r="AK58" s="451">
        <v>0</v>
      </c>
      <c r="AL58" s="455"/>
      <c r="AM58" s="451"/>
      <c r="AN58" s="452"/>
      <c r="AO58" s="452"/>
      <c r="AP58" s="451">
        <v>0</v>
      </c>
      <c r="AQ58" s="455"/>
      <c r="AR58" s="451"/>
      <c r="AS58" s="452"/>
      <c r="AT58" s="452"/>
      <c r="AU58" s="451">
        <v>0</v>
      </c>
      <c r="AV58" s="455"/>
      <c r="AW58" s="451"/>
      <c r="AX58" s="452"/>
      <c r="AY58" s="452"/>
      <c r="AZ58" s="451">
        <v>0</v>
      </c>
      <c r="BA58" s="455"/>
      <c r="BB58" s="451"/>
      <c r="BC58" s="452"/>
      <c r="BD58" s="452"/>
      <c r="BE58" s="451">
        <v>0</v>
      </c>
      <c r="BF58" s="455"/>
      <c r="BG58" s="451"/>
      <c r="BH58" s="452"/>
      <c r="BI58" s="452"/>
      <c r="BJ58" s="451">
        <v>0</v>
      </c>
      <c r="BK58" s="455"/>
      <c r="BL58" s="451"/>
      <c r="BM58" s="452"/>
      <c r="BN58" s="452"/>
      <c r="BO58" s="451">
        <v>0</v>
      </c>
      <c r="BP58" s="455"/>
      <c r="BQ58" s="451"/>
      <c r="BR58" s="452"/>
      <c r="BS58" s="452"/>
      <c r="BT58" s="451">
        <f>SUM(L58:BO58)</f>
        <v>0</v>
      </c>
      <c r="BU58" s="455"/>
      <c r="BV58" s="451"/>
      <c r="BW58" s="452"/>
      <c r="BX58" s="452"/>
      <c r="BY58" s="451">
        <v>155160</v>
      </c>
      <c r="BZ58" s="455"/>
      <c r="CA58" s="451"/>
      <c r="CB58" s="452"/>
      <c r="CC58" s="452"/>
      <c r="CD58" s="451">
        <v>0</v>
      </c>
      <c r="CE58" s="455"/>
      <c r="CF58" s="451"/>
      <c r="CG58" s="452"/>
      <c r="CH58" s="452"/>
      <c r="CI58" s="451">
        <v>0</v>
      </c>
      <c r="CJ58" s="455"/>
      <c r="CK58" s="451"/>
      <c r="CL58" s="452"/>
      <c r="CM58" s="452"/>
      <c r="CN58" s="451">
        <v>0</v>
      </c>
      <c r="CO58" s="455"/>
      <c r="CP58" s="451"/>
      <c r="CQ58" s="452"/>
      <c r="CR58" s="452"/>
      <c r="CS58" s="451">
        <v>0</v>
      </c>
      <c r="CT58" s="455"/>
      <c r="CU58" s="451"/>
      <c r="CV58" s="452"/>
      <c r="CW58" s="452"/>
      <c r="CX58" s="451">
        <v>0</v>
      </c>
      <c r="CY58" s="455"/>
      <c r="CZ58" s="451"/>
      <c r="DA58" s="452"/>
      <c r="DB58" s="452"/>
      <c r="DC58" s="451">
        <v>0</v>
      </c>
      <c r="DD58" s="455"/>
      <c r="DE58" s="451"/>
      <c r="DF58" s="452"/>
      <c r="DG58" s="452"/>
      <c r="DH58" s="451">
        <v>0</v>
      </c>
      <c r="DI58" s="455"/>
      <c r="DJ58" s="451"/>
      <c r="DK58" s="452"/>
      <c r="DL58" s="452"/>
      <c r="DM58" s="451">
        <v>0</v>
      </c>
      <c r="DN58" s="455"/>
      <c r="DO58" s="451"/>
      <c r="DP58" s="452"/>
      <c r="DQ58" s="452"/>
      <c r="DR58" s="451">
        <v>0</v>
      </c>
      <c r="DS58" s="455"/>
      <c r="DT58" s="451"/>
      <c r="DU58" s="452"/>
      <c r="DV58" s="452"/>
      <c r="DW58" s="451">
        <v>0</v>
      </c>
      <c r="DX58" s="455"/>
      <c r="DY58" s="451"/>
      <c r="DZ58" s="452"/>
      <c r="EA58" s="452"/>
      <c r="EB58" s="451">
        <v>0</v>
      </c>
      <c r="EC58" s="455"/>
      <c r="ED58" s="451"/>
      <c r="EE58" s="452"/>
      <c r="EF58" s="452"/>
      <c r="EG58" s="451">
        <v>155160</v>
      </c>
      <c r="EH58" s="455"/>
      <c r="EI58" s="451"/>
      <c r="EJ58" s="452"/>
      <c r="EK58" s="452"/>
      <c r="EL58" s="451">
        <f>SUM(CD58:DW58)</f>
        <v>0</v>
      </c>
      <c r="EM58" s="455"/>
      <c r="EN58" s="451"/>
      <c r="EO58" s="13"/>
      <c r="ER58" s="14"/>
      <c r="ES58" s="14"/>
    </row>
    <row r="59" spans="4:149" x14ac:dyDescent="0.2">
      <c r="D59" s="13" t="s">
        <v>357</v>
      </c>
      <c r="E59" s="452"/>
      <c r="F59" s="385"/>
      <c r="G59" s="463">
        <v>0</v>
      </c>
      <c r="H59" s="464"/>
      <c r="I59" s="451"/>
      <c r="J59" s="452"/>
      <c r="K59" s="465"/>
      <c r="L59" s="463">
        <v>-289208</v>
      </c>
      <c r="M59" s="464"/>
      <c r="N59" s="451"/>
      <c r="O59" s="452"/>
      <c r="P59" s="465"/>
      <c r="Q59" s="463">
        <v>-1102248</v>
      </c>
      <c r="R59" s="464"/>
      <c r="S59" s="451"/>
      <c r="T59" s="452"/>
      <c r="U59" s="465"/>
      <c r="V59" s="463">
        <v>-764417</v>
      </c>
      <c r="W59" s="464"/>
      <c r="X59" s="451"/>
      <c r="Y59" s="452"/>
      <c r="Z59" s="465"/>
      <c r="AA59" s="463">
        <v>-2780721</v>
      </c>
      <c r="AB59" s="464"/>
      <c r="AC59" s="451"/>
      <c r="AD59" s="452"/>
      <c r="AE59" s="465"/>
      <c r="AF59" s="463">
        <v>-1213553</v>
      </c>
      <c r="AG59" s="464"/>
      <c r="AH59" s="451"/>
      <c r="AI59" s="452"/>
      <c r="AJ59" s="465"/>
      <c r="AK59" s="463">
        <v>-716835</v>
      </c>
      <c r="AL59" s="464"/>
      <c r="AM59" s="451"/>
      <c r="AN59" s="452"/>
      <c r="AO59" s="465"/>
      <c r="AP59" s="463">
        <v>-2010551</v>
      </c>
      <c r="AQ59" s="464"/>
      <c r="AR59" s="451"/>
      <c r="AS59" s="452"/>
      <c r="AT59" s="465"/>
      <c r="AU59" s="463">
        <v>-777625</v>
      </c>
      <c r="AV59" s="464"/>
      <c r="AW59" s="451"/>
      <c r="AX59" s="452"/>
      <c r="AY59" s="465"/>
      <c r="AZ59" s="463">
        <v>-2213621</v>
      </c>
      <c r="BA59" s="464"/>
      <c r="BB59" s="451"/>
      <c r="BC59" s="452"/>
      <c r="BD59" s="465"/>
      <c r="BE59" s="463">
        <v>-1216723</v>
      </c>
      <c r="BF59" s="464"/>
      <c r="BG59" s="451"/>
      <c r="BH59" s="452"/>
      <c r="BI59" s="465"/>
      <c r="BJ59" s="463">
        <v>0</v>
      </c>
      <c r="BK59" s="464"/>
      <c r="BL59" s="451"/>
      <c r="BM59" s="452"/>
      <c r="BN59" s="465"/>
      <c r="BO59" s="463">
        <v>0</v>
      </c>
      <c r="BP59" s="464"/>
      <c r="BQ59" s="451"/>
      <c r="BR59" s="452"/>
      <c r="BS59" s="465"/>
      <c r="BT59" s="463">
        <f>SUM(L59:BO59)</f>
        <v>-13085502</v>
      </c>
      <c r="BU59" s="464"/>
      <c r="BV59" s="451"/>
      <c r="BW59" s="452"/>
      <c r="BX59" s="465"/>
      <c r="BY59" s="463">
        <v>-3228011</v>
      </c>
      <c r="BZ59" s="464"/>
      <c r="CA59" s="451"/>
      <c r="CB59" s="452"/>
      <c r="CC59" s="465"/>
      <c r="CD59" s="463">
        <v>-225458</v>
      </c>
      <c r="CE59" s="464"/>
      <c r="CF59" s="451"/>
      <c r="CG59" s="452"/>
      <c r="CH59" s="465"/>
      <c r="CI59" s="463">
        <v>-300186</v>
      </c>
      <c r="CJ59" s="464"/>
      <c r="CK59" s="451"/>
      <c r="CL59" s="452"/>
      <c r="CM59" s="465"/>
      <c r="CN59" s="463">
        <v>-180568</v>
      </c>
      <c r="CO59" s="464"/>
      <c r="CP59" s="451"/>
      <c r="CQ59" s="452"/>
      <c r="CR59" s="465"/>
      <c r="CS59" s="463">
        <v>-213274</v>
      </c>
      <c r="CT59" s="464"/>
      <c r="CU59" s="451"/>
      <c r="CV59" s="452"/>
      <c r="CW59" s="465"/>
      <c r="CX59" s="463">
        <v>-513408</v>
      </c>
      <c r="CY59" s="464"/>
      <c r="CZ59" s="451"/>
      <c r="DA59" s="452"/>
      <c r="DB59" s="465"/>
      <c r="DC59" s="463">
        <v>-197239</v>
      </c>
      <c r="DD59" s="464"/>
      <c r="DE59" s="451"/>
      <c r="DF59" s="452"/>
      <c r="DG59" s="465"/>
      <c r="DH59" s="463">
        <v>0</v>
      </c>
      <c r="DI59" s="464"/>
      <c r="DJ59" s="451"/>
      <c r="DK59" s="452"/>
      <c r="DL59" s="465"/>
      <c r="DM59" s="463">
        <v>-347931</v>
      </c>
      <c r="DN59" s="464"/>
      <c r="DO59" s="451"/>
      <c r="DP59" s="452"/>
      <c r="DQ59" s="465"/>
      <c r="DR59" s="463">
        <v>-79844</v>
      </c>
      <c r="DS59" s="464"/>
      <c r="DT59" s="451"/>
      <c r="DU59" s="452"/>
      <c r="DV59" s="465"/>
      <c r="DW59" s="463">
        <v>-279324</v>
      </c>
      <c r="DX59" s="464"/>
      <c r="DY59" s="451"/>
      <c r="DZ59" s="452"/>
      <c r="EA59" s="465"/>
      <c r="EB59" s="463">
        <v>-508862</v>
      </c>
      <c r="EC59" s="464"/>
      <c r="ED59" s="451"/>
      <c r="EE59" s="452"/>
      <c r="EF59" s="465"/>
      <c r="EG59" s="463">
        <v>-381917</v>
      </c>
      <c r="EH59" s="464"/>
      <c r="EI59" s="451"/>
      <c r="EJ59" s="452"/>
      <c r="EK59" s="465"/>
      <c r="EL59" s="463">
        <f>SUM(CD59:DW59)</f>
        <v>-2337232</v>
      </c>
      <c r="EM59" s="464"/>
      <c r="EN59" s="451"/>
      <c r="EO59" s="13"/>
      <c r="ER59" s="14"/>
      <c r="ES59" s="14"/>
    </row>
    <row r="60" spans="4:149" x14ac:dyDescent="0.2">
      <c r="D60" s="13"/>
      <c r="E60" s="452"/>
      <c r="G60" s="451"/>
      <c r="H60" s="451"/>
      <c r="I60" s="451"/>
      <c r="J60" s="452"/>
      <c r="K60" s="451"/>
      <c r="L60" s="451"/>
      <c r="M60" s="451"/>
      <c r="N60" s="451"/>
      <c r="O60" s="452"/>
      <c r="P60" s="451"/>
      <c r="Q60" s="451"/>
      <c r="R60" s="451"/>
      <c r="S60" s="451"/>
      <c r="T60" s="452"/>
      <c r="U60" s="451"/>
      <c r="V60" s="451"/>
      <c r="W60" s="451"/>
      <c r="X60" s="451"/>
      <c r="Y60" s="452"/>
      <c r="Z60" s="451"/>
      <c r="AA60" s="451"/>
      <c r="AB60" s="451"/>
      <c r="AC60" s="451"/>
      <c r="AD60" s="452"/>
      <c r="AE60" s="451"/>
      <c r="AF60" s="451"/>
      <c r="AG60" s="451"/>
      <c r="AH60" s="451"/>
      <c r="AI60" s="452"/>
      <c r="AJ60" s="451"/>
      <c r="AK60" s="451"/>
      <c r="AL60" s="451"/>
      <c r="AM60" s="451"/>
      <c r="AN60" s="452"/>
      <c r="AO60" s="451"/>
      <c r="AP60" s="451"/>
      <c r="AQ60" s="451"/>
      <c r="AR60" s="451"/>
      <c r="AS60" s="452"/>
      <c r="AT60" s="451"/>
      <c r="AU60" s="451"/>
      <c r="AV60" s="451"/>
      <c r="AW60" s="451"/>
      <c r="AX60" s="452"/>
      <c r="AY60" s="451"/>
      <c r="AZ60" s="451"/>
      <c r="BA60" s="451"/>
      <c r="BB60" s="451"/>
      <c r="BC60" s="452"/>
      <c r="BD60" s="451"/>
      <c r="BE60" s="451"/>
      <c r="BF60" s="451"/>
      <c r="BG60" s="451"/>
      <c r="BH60" s="452"/>
      <c r="BI60" s="451"/>
      <c r="BJ60" s="451"/>
      <c r="BK60" s="451"/>
      <c r="BL60" s="451"/>
      <c r="BM60" s="452"/>
      <c r="BN60" s="451"/>
      <c r="BO60" s="451"/>
      <c r="BP60" s="451"/>
      <c r="BQ60" s="451"/>
      <c r="BR60" s="452"/>
      <c r="BS60" s="451"/>
      <c r="BT60" s="451"/>
      <c r="BU60" s="451"/>
      <c r="BV60" s="451"/>
      <c r="BW60" s="452"/>
      <c r="BX60" s="451"/>
      <c r="BY60" s="451"/>
      <c r="BZ60" s="451"/>
      <c r="CA60" s="451"/>
      <c r="CB60" s="452"/>
      <c r="CC60" s="451"/>
      <c r="CD60" s="451"/>
      <c r="CE60" s="451"/>
      <c r="CF60" s="451"/>
      <c r="CG60" s="452"/>
      <c r="CH60" s="451"/>
      <c r="CI60" s="451"/>
      <c r="CJ60" s="451"/>
      <c r="CK60" s="451"/>
      <c r="CL60" s="452"/>
      <c r="CM60" s="451"/>
      <c r="CN60" s="451"/>
      <c r="CO60" s="451"/>
      <c r="CP60" s="451"/>
      <c r="CQ60" s="452"/>
      <c r="CR60" s="451"/>
      <c r="CS60" s="451"/>
      <c r="CT60" s="451"/>
      <c r="CU60" s="451"/>
      <c r="CV60" s="452"/>
      <c r="CW60" s="451"/>
      <c r="CX60" s="451"/>
      <c r="CY60" s="451"/>
      <c r="CZ60" s="451"/>
      <c r="DA60" s="452"/>
      <c r="DB60" s="451"/>
      <c r="DC60" s="451"/>
      <c r="DD60" s="451"/>
      <c r="DE60" s="451"/>
      <c r="DF60" s="452"/>
      <c r="DG60" s="451"/>
      <c r="DH60" s="451"/>
      <c r="DI60" s="451"/>
      <c r="DJ60" s="451"/>
      <c r="DK60" s="452"/>
      <c r="DL60" s="451"/>
      <c r="DM60" s="451"/>
      <c r="DN60" s="451"/>
      <c r="DO60" s="451"/>
      <c r="DP60" s="452"/>
      <c r="DQ60" s="451"/>
      <c r="DR60" s="451"/>
      <c r="DS60" s="451"/>
      <c r="DT60" s="451"/>
      <c r="DU60" s="452"/>
      <c r="DV60" s="451"/>
      <c r="DW60" s="451"/>
      <c r="DX60" s="451"/>
      <c r="DY60" s="451"/>
      <c r="DZ60" s="452"/>
      <c r="EA60" s="451"/>
      <c r="EB60" s="451"/>
      <c r="EC60" s="451"/>
      <c r="ED60" s="451"/>
      <c r="EE60" s="452"/>
      <c r="EF60" s="451"/>
      <c r="EG60" s="451"/>
      <c r="EH60" s="451"/>
      <c r="EI60" s="451"/>
      <c r="EJ60" s="452"/>
      <c r="EK60" s="451"/>
      <c r="EL60" s="451"/>
      <c r="EM60" s="451"/>
      <c r="EN60" s="451"/>
      <c r="EO60" s="13"/>
      <c r="ER60" s="14"/>
      <c r="ES60" s="14"/>
    </row>
    <row r="61" spans="4:149" ht="12.75" hidden="1" customHeight="1" x14ac:dyDescent="0.2">
      <c r="D61" s="13" t="s">
        <v>359</v>
      </c>
      <c r="E61" s="452"/>
      <c r="G61" s="451">
        <f>SUM(G62:G65)</f>
        <v>0</v>
      </c>
      <c r="H61" s="451"/>
      <c r="I61" s="451"/>
      <c r="J61" s="452"/>
      <c r="K61" s="451"/>
      <c r="L61" s="451">
        <f>SUM(L62:L65)</f>
        <v>0</v>
      </c>
      <c r="M61" s="451"/>
      <c r="N61" s="451"/>
      <c r="O61" s="452"/>
      <c r="P61" s="451"/>
      <c r="Q61" s="451">
        <f>SUM(Q62:Q65)</f>
        <v>0</v>
      </c>
      <c r="R61" s="451"/>
      <c r="S61" s="451"/>
      <c r="T61" s="452"/>
      <c r="U61" s="451"/>
      <c r="V61" s="451">
        <f>SUM(V62:V65)</f>
        <v>0</v>
      </c>
      <c r="W61" s="451"/>
      <c r="X61" s="451"/>
      <c r="Y61" s="452"/>
      <c r="Z61" s="451"/>
      <c r="AA61" s="451">
        <f>SUM(AA62:AA65)</f>
        <v>0</v>
      </c>
      <c r="AB61" s="451"/>
      <c r="AC61" s="451"/>
      <c r="AD61" s="452"/>
      <c r="AE61" s="451"/>
      <c r="AF61" s="451">
        <f>SUM(AF62:AF65)</f>
        <v>0</v>
      </c>
      <c r="AG61" s="451"/>
      <c r="AH61" s="451"/>
      <c r="AI61" s="452"/>
      <c r="AJ61" s="451"/>
      <c r="AK61" s="451">
        <f>SUM(AK62:AK65)</f>
        <v>0</v>
      </c>
      <c r="AL61" s="451"/>
      <c r="AM61" s="451"/>
      <c r="AN61" s="452"/>
      <c r="AO61" s="451"/>
      <c r="AP61" s="451">
        <f>SUM(AP62:AP65)</f>
        <v>0</v>
      </c>
      <c r="AQ61" s="451"/>
      <c r="AR61" s="451"/>
      <c r="AS61" s="452"/>
      <c r="AT61" s="451"/>
      <c r="AU61" s="451">
        <f>SUM(AU62:AU65)</f>
        <v>0</v>
      </c>
      <c r="AV61" s="451"/>
      <c r="AW61" s="451"/>
      <c r="AX61" s="452"/>
      <c r="AY61" s="451"/>
      <c r="AZ61" s="451">
        <f>SUM(AZ62:AZ65)</f>
        <v>0</v>
      </c>
      <c r="BA61" s="451"/>
      <c r="BB61" s="451"/>
      <c r="BC61" s="452"/>
      <c r="BD61" s="451"/>
      <c r="BE61" s="451">
        <f>SUM(BE62:BE65)</f>
        <v>0</v>
      </c>
      <c r="BF61" s="451"/>
      <c r="BG61" s="451"/>
      <c r="BH61" s="452"/>
      <c r="BI61" s="451"/>
      <c r="BJ61" s="451">
        <f>SUM(BJ62:BJ65)</f>
        <v>0</v>
      </c>
      <c r="BK61" s="451"/>
      <c r="BL61" s="451"/>
      <c r="BM61" s="452"/>
      <c r="BN61" s="451"/>
      <c r="BO61" s="451">
        <f>SUM(BO62:BO65)</f>
        <v>0</v>
      </c>
      <c r="BP61" s="451"/>
      <c r="BQ61" s="451"/>
      <c r="BR61" s="452"/>
      <c r="BS61" s="451"/>
      <c r="BT61" s="451">
        <f>SUM(BT62:BT65)</f>
        <v>0</v>
      </c>
      <c r="BU61" s="451"/>
      <c r="BV61" s="451"/>
      <c r="BW61" s="452"/>
      <c r="BX61" s="451"/>
      <c r="BY61" s="451">
        <f>SUM(BY62:BY65)</f>
        <v>0</v>
      </c>
      <c r="BZ61" s="451"/>
      <c r="CA61" s="451"/>
      <c r="CB61" s="452"/>
      <c r="CC61" s="451"/>
      <c r="CD61" s="451">
        <f>SUM(CD62:CD65)</f>
        <v>0</v>
      </c>
      <c r="CE61" s="451"/>
      <c r="CF61" s="451"/>
      <c r="CG61" s="452"/>
      <c r="CH61" s="451"/>
      <c r="CI61" s="451">
        <f>SUM(CI62:CI65)</f>
        <v>0</v>
      </c>
      <c r="CJ61" s="451"/>
      <c r="CK61" s="451"/>
      <c r="CL61" s="452"/>
      <c r="CM61" s="451"/>
      <c r="CN61" s="451">
        <f>SUM(CN62:CN65)</f>
        <v>0</v>
      </c>
      <c r="CO61" s="451"/>
      <c r="CP61" s="451"/>
      <c r="CQ61" s="452"/>
      <c r="CR61" s="451"/>
      <c r="CS61" s="451">
        <f>SUM(CS62:CS65)</f>
        <v>0</v>
      </c>
      <c r="CT61" s="451"/>
      <c r="CU61" s="451"/>
      <c r="CV61" s="452"/>
      <c r="CW61" s="451"/>
      <c r="CX61" s="451">
        <f>SUM(CX62:CX65)</f>
        <v>0</v>
      </c>
      <c r="CY61" s="451"/>
      <c r="CZ61" s="451"/>
      <c r="DA61" s="452"/>
      <c r="DB61" s="451"/>
      <c r="DC61" s="451">
        <f>SUM(DC62:DC65)</f>
        <v>0</v>
      </c>
      <c r="DD61" s="451"/>
      <c r="DE61" s="451"/>
      <c r="DF61" s="452"/>
      <c r="DG61" s="451"/>
      <c r="DH61" s="451">
        <f>SUM(DH62:DH65)</f>
        <v>0</v>
      </c>
      <c r="DI61" s="451"/>
      <c r="DJ61" s="451"/>
      <c r="DK61" s="452"/>
      <c r="DL61" s="451"/>
      <c r="DM61" s="451">
        <f>SUM(DM62:DM65)</f>
        <v>0</v>
      </c>
      <c r="DN61" s="451"/>
      <c r="DO61" s="451"/>
      <c r="DP61" s="452"/>
      <c r="DQ61" s="451"/>
      <c r="DR61" s="451">
        <f>SUM(DR62:DR65)</f>
        <v>0</v>
      </c>
      <c r="DS61" s="451"/>
      <c r="DT61" s="451"/>
      <c r="DU61" s="452"/>
      <c r="DV61" s="451"/>
      <c r="DW61" s="451">
        <f>SUM(DW62:DW65)</f>
        <v>0</v>
      </c>
      <c r="DX61" s="451"/>
      <c r="DY61" s="451"/>
      <c r="DZ61" s="452"/>
      <c r="EA61" s="451"/>
      <c r="EB61" s="451">
        <f>SUM(EB62:EB65)</f>
        <v>0</v>
      </c>
      <c r="EC61" s="451"/>
      <c r="ED61" s="451"/>
      <c r="EE61" s="452"/>
      <c r="EF61" s="451"/>
      <c r="EG61" s="451">
        <f>SUM(EG62:EG65)</f>
        <v>0</v>
      </c>
      <c r="EH61" s="451"/>
      <c r="EI61" s="451"/>
      <c r="EJ61" s="452"/>
      <c r="EK61" s="451"/>
      <c r="EL61" s="451">
        <f>SUM(EL62:EL65)</f>
        <v>0</v>
      </c>
      <c r="EM61" s="451"/>
      <c r="EN61" s="451"/>
      <c r="EO61" s="13"/>
      <c r="ER61" s="14"/>
      <c r="ES61" s="14"/>
    </row>
    <row r="62" spans="4:149" ht="12.75" hidden="1" customHeight="1" x14ac:dyDescent="0.2">
      <c r="D62" s="13" t="s">
        <v>347</v>
      </c>
      <c r="E62" s="452"/>
      <c r="F62" s="374"/>
      <c r="G62" s="449">
        <v>0</v>
      </c>
      <c r="H62" s="450"/>
      <c r="I62" s="451"/>
      <c r="J62" s="452"/>
      <c r="K62" s="453"/>
      <c r="L62" s="449">
        <v>0</v>
      </c>
      <c r="M62" s="450"/>
      <c r="N62" s="451"/>
      <c r="O62" s="452"/>
      <c r="P62" s="453"/>
      <c r="Q62" s="449">
        <v>0</v>
      </c>
      <c r="R62" s="450"/>
      <c r="S62" s="451"/>
      <c r="T62" s="452"/>
      <c r="U62" s="453"/>
      <c r="V62" s="449">
        <v>0</v>
      </c>
      <c r="W62" s="450"/>
      <c r="X62" s="451"/>
      <c r="Y62" s="452"/>
      <c r="Z62" s="453"/>
      <c r="AA62" s="449">
        <v>0</v>
      </c>
      <c r="AB62" s="450"/>
      <c r="AC62" s="451"/>
      <c r="AD62" s="452"/>
      <c r="AE62" s="453"/>
      <c r="AF62" s="449">
        <v>0</v>
      </c>
      <c r="AG62" s="450"/>
      <c r="AH62" s="451"/>
      <c r="AI62" s="452"/>
      <c r="AJ62" s="453"/>
      <c r="AK62" s="449">
        <v>0</v>
      </c>
      <c r="AL62" s="450"/>
      <c r="AM62" s="451"/>
      <c r="AN62" s="452"/>
      <c r="AO62" s="453"/>
      <c r="AP62" s="449">
        <v>0</v>
      </c>
      <c r="AQ62" s="450"/>
      <c r="AR62" s="451"/>
      <c r="AS62" s="452"/>
      <c r="AT62" s="453"/>
      <c r="AU62" s="449">
        <v>0</v>
      </c>
      <c r="AV62" s="450"/>
      <c r="AW62" s="451"/>
      <c r="AX62" s="452"/>
      <c r="AY62" s="453"/>
      <c r="AZ62" s="449">
        <v>0</v>
      </c>
      <c r="BA62" s="450"/>
      <c r="BB62" s="451"/>
      <c r="BC62" s="452"/>
      <c r="BD62" s="453"/>
      <c r="BE62" s="449">
        <v>0</v>
      </c>
      <c r="BF62" s="450"/>
      <c r="BG62" s="451"/>
      <c r="BH62" s="452"/>
      <c r="BI62" s="453"/>
      <c r="BJ62" s="449">
        <v>0</v>
      </c>
      <c r="BK62" s="450"/>
      <c r="BL62" s="451"/>
      <c r="BM62" s="452"/>
      <c r="BN62" s="453"/>
      <c r="BO62" s="449">
        <v>0</v>
      </c>
      <c r="BP62" s="450"/>
      <c r="BQ62" s="451"/>
      <c r="BR62" s="452"/>
      <c r="BS62" s="453"/>
      <c r="BT62" s="449">
        <f>SUM(L62:BO62)</f>
        <v>0</v>
      </c>
      <c r="BU62" s="450"/>
      <c r="BV62" s="451"/>
      <c r="BW62" s="452"/>
      <c r="BX62" s="453"/>
      <c r="BY62" s="449">
        <f>SUM(Q62:BT62)</f>
        <v>0</v>
      </c>
      <c r="BZ62" s="450"/>
      <c r="CA62" s="451"/>
      <c r="CB62" s="452"/>
      <c r="CC62" s="453"/>
      <c r="CD62" s="449">
        <v>0</v>
      </c>
      <c r="CE62" s="450"/>
      <c r="CF62" s="451"/>
      <c r="CG62" s="452"/>
      <c r="CH62" s="453"/>
      <c r="CI62" s="449">
        <v>0</v>
      </c>
      <c r="CJ62" s="450"/>
      <c r="CK62" s="451"/>
      <c r="CL62" s="452"/>
      <c r="CM62" s="453"/>
      <c r="CN62" s="449">
        <v>0</v>
      </c>
      <c r="CO62" s="450"/>
      <c r="CP62" s="451"/>
      <c r="CQ62" s="452"/>
      <c r="CR62" s="453"/>
      <c r="CS62" s="449">
        <v>0</v>
      </c>
      <c r="CT62" s="450"/>
      <c r="CU62" s="451"/>
      <c r="CV62" s="452"/>
      <c r="CW62" s="453"/>
      <c r="CX62" s="449">
        <v>0</v>
      </c>
      <c r="CY62" s="450"/>
      <c r="CZ62" s="451"/>
      <c r="DA62" s="452"/>
      <c r="DB62" s="453"/>
      <c r="DC62" s="449">
        <v>0</v>
      </c>
      <c r="DD62" s="450"/>
      <c r="DE62" s="451"/>
      <c r="DF62" s="452"/>
      <c r="DG62" s="453"/>
      <c r="DH62" s="449">
        <v>0</v>
      </c>
      <c r="DI62" s="450"/>
      <c r="DJ62" s="451"/>
      <c r="DK62" s="452"/>
      <c r="DL62" s="453"/>
      <c r="DM62" s="449">
        <v>0</v>
      </c>
      <c r="DN62" s="450"/>
      <c r="DO62" s="451"/>
      <c r="DP62" s="452"/>
      <c r="DQ62" s="453"/>
      <c r="DR62" s="449">
        <v>0</v>
      </c>
      <c r="DS62" s="450"/>
      <c r="DT62" s="451"/>
      <c r="DU62" s="452"/>
      <c r="DV62" s="453"/>
      <c r="DW62" s="449">
        <v>0</v>
      </c>
      <c r="DX62" s="450"/>
      <c r="DY62" s="451"/>
      <c r="DZ62" s="452"/>
      <c r="EA62" s="453"/>
      <c r="EB62" s="449">
        <v>0</v>
      </c>
      <c r="EC62" s="450"/>
      <c r="ED62" s="451"/>
      <c r="EE62" s="452"/>
      <c r="EF62" s="453"/>
      <c r="EG62" s="449">
        <v>0</v>
      </c>
      <c r="EH62" s="450"/>
      <c r="EI62" s="451"/>
      <c r="EJ62" s="452"/>
      <c r="EK62" s="453"/>
      <c r="EL62" s="449">
        <f>SUM(CD62:EG62)</f>
        <v>0</v>
      </c>
      <c r="EM62" s="450"/>
      <c r="EN62" s="451"/>
      <c r="EO62" s="13"/>
      <c r="ER62" s="14"/>
      <c r="ES62" s="14"/>
    </row>
    <row r="63" spans="4:149" ht="12.75" hidden="1" customHeight="1" x14ac:dyDescent="0.2">
      <c r="D63" s="13" t="s">
        <v>349</v>
      </c>
      <c r="E63" s="452"/>
      <c r="F63" s="198"/>
      <c r="G63" s="451">
        <v>0</v>
      </c>
      <c r="H63" s="455"/>
      <c r="I63" s="451"/>
      <c r="J63" s="452"/>
      <c r="K63" s="452"/>
      <c r="L63" s="451">
        <v>0</v>
      </c>
      <c r="M63" s="455"/>
      <c r="N63" s="451"/>
      <c r="O63" s="452"/>
      <c r="P63" s="452"/>
      <c r="Q63" s="451">
        <v>0</v>
      </c>
      <c r="R63" s="455"/>
      <c r="S63" s="451"/>
      <c r="T63" s="452"/>
      <c r="U63" s="452"/>
      <c r="V63" s="451">
        <v>0</v>
      </c>
      <c r="W63" s="455"/>
      <c r="X63" s="451"/>
      <c r="Y63" s="452"/>
      <c r="Z63" s="452"/>
      <c r="AA63" s="451">
        <v>0</v>
      </c>
      <c r="AB63" s="455"/>
      <c r="AC63" s="451"/>
      <c r="AD63" s="452"/>
      <c r="AE63" s="452"/>
      <c r="AF63" s="451">
        <v>0</v>
      </c>
      <c r="AG63" s="455"/>
      <c r="AH63" s="451"/>
      <c r="AI63" s="452"/>
      <c r="AJ63" s="452"/>
      <c r="AK63" s="451">
        <v>0</v>
      </c>
      <c r="AL63" s="455"/>
      <c r="AM63" s="451"/>
      <c r="AN63" s="452"/>
      <c r="AO63" s="452"/>
      <c r="AP63" s="451">
        <v>0</v>
      </c>
      <c r="AQ63" s="455"/>
      <c r="AR63" s="451"/>
      <c r="AS63" s="452"/>
      <c r="AT63" s="452"/>
      <c r="AU63" s="451">
        <v>0</v>
      </c>
      <c r="AV63" s="455"/>
      <c r="AW63" s="451"/>
      <c r="AX63" s="452"/>
      <c r="AY63" s="452"/>
      <c r="AZ63" s="451">
        <v>0</v>
      </c>
      <c r="BA63" s="455"/>
      <c r="BB63" s="451"/>
      <c r="BC63" s="452"/>
      <c r="BD63" s="452"/>
      <c r="BE63" s="451">
        <v>0</v>
      </c>
      <c r="BF63" s="455"/>
      <c r="BG63" s="451"/>
      <c r="BH63" s="452"/>
      <c r="BI63" s="452"/>
      <c r="BJ63" s="451">
        <v>0</v>
      </c>
      <c r="BK63" s="455"/>
      <c r="BL63" s="451"/>
      <c r="BM63" s="452"/>
      <c r="BN63" s="452"/>
      <c r="BO63" s="451">
        <v>0</v>
      </c>
      <c r="BP63" s="455"/>
      <c r="BQ63" s="451"/>
      <c r="BR63" s="452"/>
      <c r="BS63" s="452"/>
      <c r="BT63" s="451">
        <f>SUM(L63:BO63)</f>
        <v>0</v>
      </c>
      <c r="BU63" s="455"/>
      <c r="BV63" s="451"/>
      <c r="BW63" s="452"/>
      <c r="BX63" s="452"/>
      <c r="BY63" s="451">
        <f>SUM(Q63:BT63)</f>
        <v>0</v>
      </c>
      <c r="BZ63" s="455"/>
      <c r="CA63" s="451"/>
      <c r="CB63" s="452"/>
      <c r="CC63" s="452"/>
      <c r="CD63" s="451">
        <v>0</v>
      </c>
      <c r="CE63" s="455"/>
      <c r="CF63" s="451"/>
      <c r="CG63" s="452"/>
      <c r="CH63" s="452"/>
      <c r="CI63" s="451">
        <v>0</v>
      </c>
      <c r="CJ63" s="455"/>
      <c r="CK63" s="451"/>
      <c r="CL63" s="452"/>
      <c r="CM63" s="452"/>
      <c r="CN63" s="451">
        <v>0</v>
      </c>
      <c r="CO63" s="455"/>
      <c r="CP63" s="451"/>
      <c r="CQ63" s="452"/>
      <c r="CR63" s="452"/>
      <c r="CS63" s="451">
        <v>0</v>
      </c>
      <c r="CT63" s="455"/>
      <c r="CU63" s="451"/>
      <c r="CV63" s="452"/>
      <c r="CW63" s="452"/>
      <c r="CX63" s="451">
        <v>0</v>
      </c>
      <c r="CY63" s="455"/>
      <c r="CZ63" s="451"/>
      <c r="DA63" s="452"/>
      <c r="DB63" s="452"/>
      <c r="DC63" s="451">
        <v>0</v>
      </c>
      <c r="DD63" s="455"/>
      <c r="DE63" s="451"/>
      <c r="DF63" s="452"/>
      <c r="DG63" s="452"/>
      <c r="DH63" s="451">
        <v>0</v>
      </c>
      <c r="DI63" s="455"/>
      <c r="DJ63" s="451"/>
      <c r="DK63" s="452"/>
      <c r="DL63" s="452"/>
      <c r="DM63" s="451">
        <v>0</v>
      </c>
      <c r="DN63" s="455"/>
      <c r="DO63" s="451"/>
      <c r="DP63" s="452"/>
      <c r="DQ63" s="452"/>
      <c r="DR63" s="451">
        <v>0</v>
      </c>
      <c r="DS63" s="455"/>
      <c r="DT63" s="451"/>
      <c r="DU63" s="452"/>
      <c r="DV63" s="452"/>
      <c r="DW63" s="451">
        <v>0</v>
      </c>
      <c r="DX63" s="455"/>
      <c r="DY63" s="451"/>
      <c r="DZ63" s="452"/>
      <c r="EA63" s="452"/>
      <c r="EB63" s="451">
        <v>0</v>
      </c>
      <c r="EC63" s="455"/>
      <c r="ED63" s="451"/>
      <c r="EE63" s="452"/>
      <c r="EF63" s="452"/>
      <c r="EG63" s="451">
        <v>0</v>
      </c>
      <c r="EH63" s="455"/>
      <c r="EI63" s="451"/>
      <c r="EJ63" s="452"/>
      <c r="EK63" s="452"/>
      <c r="EL63" s="451">
        <f>SUM(CD63:EG63)</f>
        <v>0</v>
      </c>
      <c r="EM63" s="455"/>
      <c r="EN63" s="451"/>
      <c r="EO63" s="13"/>
      <c r="ER63" s="14"/>
      <c r="ES63" s="14"/>
    </row>
    <row r="64" spans="4:149" ht="12.75" hidden="1" customHeight="1" x14ac:dyDescent="0.2">
      <c r="D64" s="13" t="s">
        <v>350</v>
      </c>
      <c r="E64" s="452"/>
      <c r="F64" s="198"/>
      <c r="G64" s="451">
        <v>0</v>
      </c>
      <c r="H64" s="455"/>
      <c r="I64" s="451"/>
      <c r="J64" s="452"/>
      <c r="K64" s="452"/>
      <c r="L64" s="451">
        <v>0</v>
      </c>
      <c r="M64" s="455"/>
      <c r="N64" s="451"/>
      <c r="O64" s="452"/>
      <c r="P64" s="452"/>
      <c r="Q64" s="451">
        <v>0</v>
      </c>
      <c r="R64" s="455"/>
      <c r="S64" s="451"/>
      <c r="T64" s="452"/>
      <c r="U64" s="452"/>
      <c r="V64" s="451">
        <v>0</v>
      </c>
      <c r="W64" s="455"/>
      <c r="X64" s="451"/>
      <c r="Y64" s="452"/>
      <c r="Z64" s="452"/>
      <c r="AA64" s="451">
        <v>0</v>
      </c>
      <c r="AB64" s="455"/>
      <c r="AC64" s="451"/>
      <c r="AD64" s="452"/>
      <c r="AE64" s="452"/>
      <c r="AF64" s="451">
        <v>0</v>
      </c>
      <c r="AG64" s="455"/>
      <c r="AH64" s="451"/>
      <c r="AI64" s="452"/>
      <c r="AJ64" s="452"/>
      <c r="AK64" s="451">
        <v>0</v>
      </c>
      <c r="AL64" s="455"/>
      <c r="AM64" s="451"/>
      <c r="AN64" s="452"/>
      <c r="AO64" s="452"/>
      <c r="AP64" s="451">
        <v>0</v>
      </c>
      <c r="AQ64" s="455"/>
      <c r="AR64" s="451"/>
      <c r="AS64" s="452"/>
      <c r="AT64" s="452"/>
      <c r="AU64" s="451">
        <v>0</v>
      </c>
      <c r="AV64" s="455"/>
      <c r="AW64" s="451"/>
      <c r="AX64" s="452"/>
      <c r="AY64" s="452"/>
      <c r="AZ64" s="451">
        <v>0</v>
      </c>
      <c r="BA64" s="455"/>
      <c r="BB64" s="451"/>
      <c r="BC64" s="452"/>
      <c r="BD64" s="452"/>
      <c r="BE64" s="451">
        <v>0</v>
      </c>
      <c r="BF64" s="455"/>
      <c r="BG64" s="451"/>
      <c r="BH64" s="452"/>
      <c r="BI64" s="452"/>
      <c r="BJ64" s="451">
        <v>0</v>
      </c>
      <c r="BK64" s="455"/>
      <c r="BL64" s="451"/>
      <c r="BM64" s="452"/>
      <c r="BN64" s="452"/>
      <c r="BO64" s="451">
        <v>0</v>
      </c>
      <c r="BP64" s="455"/>
      <c r="BQ64" s="451"/>
      <c r="BR64" s="452"/>
      <c r="BS64" s="452"/>
      <c r="BT64" s="451">
        <f>SUM(L64:BO64)</f>
        <v>0</v>
      </c>
      <c r="BU64" s="455"/>
      <c r="BV64" s="451"/>
      <c r="BW64" s="452"/>
      <c r="BX64" s="452"/>
      <c r="BY64" s="451">
        <f>SUM(Q64:BT64)</f>
        <v>0</v>
      </c>
      <c r="BZ64" s="455"/>
      <c r="CA64" s="451"/>
      <c r="CB64" s="452"/>
      <c r="CC64" s="452"/>
      <c r="CD64" s="451">
        <v>0</v>
      </c>
      <c r="CE64" s="455"/>
      <c r="CF64" s="451"/>
      <c r="CG64" s="452"/>
      <c r="CH64" s="452"/>
      <c r="CI64" s="451">
        <v>0</v>
      </c>
      <c r="CJ64" s="455"/>
      <c r="CK64" s="451"/>
      <c r="CL64" s="452"/>
      <c r="CM64" s="452"/>
      <c r="CN64" s="451">
        <v>0</v>
      </c>
      <c r="CO64" s="455"/>
      <c r="CP64" s="451"/>
      <c r="CQ64" s="452"/>
      <c r="CR64" s="452"/>
      <c r="CS64" s="451">
        <v>0</v>
      </c>
      <c r="CT64" s="455"/>
      <c r="CU64" s="451"/>
      <c r="CV64" s="452"/>
      <c r="CW64" s="452"/>
      <c r="CX64" s="451">
        <v>0</v>
      </c>
      <c r="CY64" s="455"/>
      <c r="CZ64" s="451"/>
      <c r="DA64" s="452"/>
      <c r="DB64" s="452"/>
      <c r="DC64" s="451">
        <v>0</v>
      </c>
      <c r="DD64" s="455"/>
      <c r="DE64" s="451"/>
      <c r="DF64" s="452"/>
      <c r="DG64" s="452"/>
      <c r="DH64" s="451">
        <v>0</v>
      </c>
      <c r="DI64" s="455"/>
      <c r="DJ64" s="451"/>
      <c r="DK64" s="452"/>
      <c r="DL64" s="452"/>
      <c r="DM64" s="451">
        <v>0</v>
      </c>
      <c r="DN64" s="455"/>
      <c r="DO64" s="451"/>
      <c r="DP64" s="452"/>
      <c r="DQ64" s="452"/>
      <c r="DR64" s="451">
        <v>0</v>
      </c>
      <c r="DS64" s="455"/>
      <c r="DT64" s="451"/>
      <c r="DU64" s="452"/>
      <c r="DV64" s="452"/>
      <c r="DW64" s="451">
        <v>0</v>
      </c>
      <c r="DX64" s="455"/>
      <c r="DY64" s="451"/>
      <c r="DZ64" s="452"/>
      <c r="EA64" s="452"/>
      <c r="EB64" s="451">
        <v>0</v>
      </c>
      <c r="EC64" s="455"/>
      <c r="ED64" s="451"/>
      <c r="EE64" s="452"/>
      <c r="EF64" s="452"/>
      <c r="EG64" s="451">
        <v>0</v>
      </c>
      <c r="EH64" s="455"/>
      <c r="EI64" s="451"/>
      <c r="EJ64" s="452"/>
      <c r="EK64" s="452"/>
      <c r="EL64" s="451">
        <f>SUM(CD64:EG64)</f>
        <v>0</v>
      </c>
      <c r="EM64" s="455"/>
      <c r="EN64" s="451"/>
      <c r="EO64" s="13"/>
      <c r="ER64" s="14"/>
      <c r="ES64" s="14"/>
    </row>
    <row r="65" spans="4:149" ht="12.75" hidden="1" customHeight="1" x14ac:dyDescent="0.2">
      <c r="D65" s="13" t="s">
        <v>351</v>
      </c>
      <c r="E65" s="452"/>
      <c r="F65" s="385"/>
      <c r="G65" s="463">
        <v>0</v>
      </c>
      <c r="H65" s="464"/>
      <c r="I65" s="451"/>
      <c r="J65" s="452"/>
      <c r="K65" s="465"/>
      <c r="L65" s="463">
        <v>0</v>
      </c>
      <c r="M65" s="464"/>
      <c r="N65" s="451"/>
      <c r="O65" s="452"/>
      <c r="P65" s="465"/>
      <c r="Q65" s="463">
        <v>0</v>
      </c>
      <c r="R65" s="464"/>
      <c r="S65" s="451"/>
      <c r="T65" s="452"/>
      <c r="U65" s="465"/>
      <c r="V65" s="463">
        <v>0</v>
      </c>
      <c r="W65" s="464"/>
      <c r="X65" s="451"/>
      <c r="Y65" s="452"/>
      <c r="Z65" s="465"/>
      <c r="AA65" s="463">
        <v>0</v>
      </c>
      <c r="AB65" s="464"/>
      <c r="AC65" s="451"/>
      <c r="AD65" s="452"/>
      <c r="AE65" s="465"/>
      <c r="AF65" s="463">
        <v>0</v>
      </c>
      <c r="AG65" s="464"/>
      <c r="AH65" s="451"/>
      <c r="AI65" s="452"/>
      <c r="AJ65" s="465"/>
      <c r="AK65" s="463">
        <v>0</v>
      </c>
      <c r="AL65" s="464"/>
      <c r="AM65" s="451"/>
      <c r="AN65" s="452"/>
      <c r="AO65" s="465"/>
      <c r="AP65" s="463">
        <v>0</v>
      </c>
      <c r="AQ65" s="464"/>
      <c r="AR65" s="451"/>
      <c r="AS65" s="452"/>
      <c r="AT65" s="465"/>
      <c r="AU65" s="463">
        <v>0</v>
      </c>
      <c r="AV65" s="464"/>
      <c r="AW65" s="451"/>
      <c r="AX65" s="452"/>
      <c r="AY65" s="465"/>
      <c r="AZ65" s="463">
        <v>0</v>
      </c>
      <c r="BA65" s="464"/>
      <c r="BB65" s="451"/>
      <c r="BC65" s="452"/>
      <c r="BD65" s="465"/>
      <c r="BE65" s="463">
        <v>0</v>
      </c>
      <c r="BF65" s="464"/>
      <c r="BG65" s="451"/>
      <c r="BH65" s="452"/>
      <c r="BI65" s="465"/>
      <c r="BJ65" s="463">
        <v>0</v>
      </c>
      <c r="BK65" s="464"/>
      <c r="BL65" s="451"/>
      <c r="BM65" s="452"/>
      <c r="BN65" s="465"/>
      <c r="BO65" s="463">
        <v>0</v>
      </c>
      <c r="BP65" s="464"/>
      <c r="BQ65" s="451"/>
      <c r="BR65" s="452"/>
      <c r="BS65" s="465"/>
      <c r="BT65" s="463">
        <f>SUM(L65:BO65)</f>
        <v>0</v>
      </c>
      <c r="BU65" s="464"/>
      <c r="BV65" s="451"/>
      <c r="BW65" s="452"/>
      <c r="BX65" s="465"/>
      <c r="BY65" s="463">
        <f>SUM(Q65:BT65)</f>
        <v>0</v>
      </c>
      <c r="BZ65" s="464"/>
      <c r="CA65" s="451"/>
      <c r="CB65" s="452"/>
      <c r="CC65" s="465"/>
      <c r="CD65" s="463">
        <v>0</v>
      </c>
      <c r="CE65" s="464"/>
      <c r="CF65" s="451"/>
      <c r="CG65" s="452"/>
      <c r="CH65" s="465"/>
      <c r="CI65" s="463">
        <v>0</v>
      </c>
      <c r="CJ65" s="464"/>
      <c r="CK65" s="451"/>
      <c r="CL65" s="452"/>
      <c r="CM65" s="465"/>
      <c r="CN65" s="463">
        <v>0</v>
      </c>
      <c r="CO65" s="464"/>
      <c r="CP65" s="451"/>
      <c r="CQ65" s="452"/>
      <c r="CR65" s="465"/>
      <c r="CS65" s="463">
        <v>0</v>
      </c>
      <c r="CT65" s="464"/>
      <c r="CU65" s="451"/>
      <c r="CV65" s="452"/>
      <c r="CW65" s="465"/>
      <c r="CX65" s="463">
        <v>0</v>
      </c>
      <c r="CY65" s="464"/>
      <c r="CZ65" s="451"/>
      <c r="DA65" s="452"/>
      <c r="DB65" s="465"/>
      <c r="DC65" s="463">
        <v>0</v>
      </c>
      <c r="DD65" s="464"/>
      <c r="DE65" s="451"/>
      <c r="DF65" s="452"/>
      <c r="DG65" s="465"/>
      <c r="DH65" s="463">
        <v>0</v>
      </c>
      <c r="DI65" s="464"/>
      <c r="DJ65" s="451"/>
      <c r="DK65" s="452"/>
      <c r="DL65" s="465"/>
      <c r="DM65" s="463">
        <v>0</v>
      </c>
      <c r="DN65" s="464"/>
      <c r="DO65" s="451"/>
      <c r="DP65" s="452"/>
      <c r="DQ65" s="465"/>
      <c r="DR65" s="463">
        <v>0</v>
      </c>
      <c r="DS65" s="464"/>
      <c r="DT65" s="451"/>
      <c r="DU65" s="452"/>
      <c r="DV65" s="465"/>
      <c r="DW65" s="463">
        <v>0</v>
      </c>
      <c r="DX65" s="464"/>
      <c r="DY65" s="451"/>
      <c r="DZ65" s="452"/>
      <c r="EA65" s="465"/>
      <c r="EB65" s="463">
        <v>0</v>
      </c>
      <c r="EC65" s="464"/>
      <c r="ED65" s="451"/>
      <c r="EE65" s="452"/>
      <c r="EF65" s="465"/>
      <c r="EG65" s="463">
        <v>0</v>
      </c>
      <c r="EH65" s="464"/>
      <c r="EI65" s="451"/>
      <c r="EJ65" s="452"/>
      <c r="EK65" s="465"/>
      <c r="EL65" s="463">
        <f>SUM(CD65:EG65)</f>
        <v>0</v>
      </c>
      <c r="EM65" s="464"/>
      <c r="EN65" s="451"/>
      <c r="EO65" s="13"/>
      <c r="ER65" s="14"/>
      <c r="ES65" s="14"/>
    </row>
    <row r="66" spans="4:149" ht="12.75" hidden="1" customHeight="1" x14ac:dyDescent="0.2">
      <c r="D66" s="13"/>
      <c r="E66" s="452"/>
      <c r="G66" s="451"/>
      <c r="H66" s="451"/>
      <c r="I66" s="451"/>
      <c r="J66" s="452"/>
      <c r="K66" s="451"/>
      <c r="L66" s="451"/>
      <c r="M66" s="451"/>
      <c r="N66" s="451"/>
      <c r="O66" s="452"/>
      <c r="P66" s="451"/>
      <c r="Q66" s="451"/>
      <c r="R66" s="451"/>
      <c r="S66" s="451"/>
      <c r="T66" s="452"/>
      <c r="U66" s="451"/>
      <c r="V66" s="451"/>
      <c r="W66" s="451"/>
      <c r="X66" s="451"/>
      <c r="Y66" s="452"/>
      <c r="Z66" s="451"/>
      <c r="AA66" s="451"/>
      <c r="AB66" s="451"/>
      <c r="AC66" s="451"/>
      <c r="AD66" s="452"/>
      <c r="AE66" s="451"/>
      <c r="AF66" s="451"/>
      <c r="AG66" s="451"/>
      <c r="AH66" s="451"/>
      <c r="AI66" s="452"/>
      <c r="AJ66" s="451"/>
      <c r="AK66" s="451"/>
      <c r="AL66" s="451"/>
      <c r="AM66" s="451"/>
      <c r="AN66" s="452"/>
      <c r="AO66" s="451"/>
      <c r="AP66" s="451"/>
      <c r="AQ66" s="451"/>
      <c r="AR66" s="451"/>
      <c r="AS66" s="452"/>
      <c r="AT66" s="451"/>
      <c r="AU66" s="451"/>
      <c r="AV66" s="451"/>
      <c r="AW66" s="451"/>
      <c r="AX66" s="452"/>
      <c r="AY66" s="451"/>
      <c r="AZ66" s="451"/>
      <c r="BA66" s="451"/>
      <c r="BB66" s="451"/>
      <c r="BC66" s="452"/>
      <c r="BD66" s="451"/>
      <c r="BE66" s="451"/>
      <c r="BF66" s="451"/>
      <c r="BG66" s="451"/>
      <c r="BH66" s="452"/>
      <c r="BI66" s="451"/>
      <c r="BJ66" s="451"/>
      <c r="BK66" s="451"/>
      <c r="BL66" s="451"/>
      <c r="BM66" s="452"/>
      <c r="BN66" s="451"/>
      <c r="BO66" s="451"/>
      <c r="BP66" s="451"/>
      <c r="BQ66" s="451"/>
      <c r="BR66" s="452"/>
      <c r="BS66" s="451"/>
      <c r="BT66" s="451"/>
      <c r="BU66" s="451"/>
      <c r="BV66" s="451"/>
      <c r="BW66" s="452"/>
      <c r="BX66" s="451"/>
      <c r="BY66" s="451"/>
      <c r="BZ66" s="451"/>
      <c r="CA66" s="451"/>
      <c r="CB66" s="452"/>
      <c r="CC66" s="451"/>
      <c r="CD66" s="451"/>
      <c r="CE66" s="451"/>
      <c r="CF66" s="451"/>
      <c r="CG66" s="452"/>
      <c r="CH66" s="451"/>
      <c r="CI66" s="451"/>
      <c r="CJ66" s="451"/>
      <c r="CK66" s="451"/>
      <c r="CL66" s="452"/>
      <c r="CM66" s="451"/>
      <c r="CN66" s="451"/>
      <c r="CO66" s="451"/>
      <c r="CP66" s="451"/>
      <c r="CQ66" s="452"/>
      <c r="CR66" s="451"/>
      <c r="CS66" s="451"/>
      <c r="CT66" s="451"/>
      <c r="CU66" s="451"/>
      <c r="CV66" s="452"/>
      <c r="CW66" s="451"/>
      <c r="CX66" s="451"/>
      <c r="CY66" s="451"/>
      <c r="CZ66" s="451"/>
      <c r="DA66" s="452"/>
      <c r="DB66" s="451"/>
      <c r="DC66" s="451"/>
      <c r="DD66" s="451"/>
      <c r="DE66" s="451"/>
      <c r="DF66" s="452"/>
      <c r="DG66" s="451"/>
      <c r="DH66" s="451"/>
      <c r="DI66" s="451"/>
      <c r="DJ66" s="451"/>
      <c r="DK66" s="452"/>
      <c r="DL66" s="451"/>
      <c r="DM66" s="451"/>
      <c r="DN66" s="451"/>
      <c r="DO66" s="451"/>
      <c r="DP66" s="452"/>
      <c r="DQ66" s="451"/>
      <c r="DR66" s="451"/>
      <c r="DS66" s="451"/>
      <c r="DT66" s="451"/>
      <c r="DU66" s="452"/>
      <c r="DV66" s="451"/>
      <c r="DW66" s="451"/>
      <c r="DX66" s="451"/>
      <c r="DY66" s="451"/>
      <c r="DZ66" s="452"/>
      <c r="EA66" s="451"/>
      <c r="EB66" s="451"/>
      <c r="EC66" s="451"/>
      <c r="ED66" s="451"/>
      <c r="EE66" s="452"/>
      <c r="EF66" s="451"/>
      <c r="EG66" s="451"/>
      <c r="EH66" s="451"/>
      <c r="EI66" s="451"/>
      <c r="EJ66" s="452"/>
      <c r="EK66" s="451"/>
      <c r="EL66" s="451"/>
      <c r="EM66" s="451"/>
      <c r="EN66" s="451"/>
      <c r="EO66" s="13"/>
      <c r="ER66" s="14"/>
      <c r="ES66" s="14"/>
    </row>
    <row r="67" spans="4:149" ht="12.75" customHeight="1" x14ac:dyDescent="0.2">
      <c r="D67" s="13" t="s">
        <v>360</v>
      </c>
      <c r="E67" s="452"/>
      <c r="G67" s="451">
        <f>SUM(G68:G71)</f>
        <v>0</v>
      </c>
      <c r="H67" s="451"/>
      <c r="I67" s="451"/>
      <c r="J67" s="452"/>
      <c r="K67" s="451"/>
      <c r="L67" s="451">
        <f>SUM(L68:L71)</f>
        <v>0</v>
      </c>
      <c r="M67" s="451"/>
      <c r="N67" s="451"/>
      <c r="O67" s="452"/>
      <c r="P67" s="451"/>
      <c r="Q67" s="451">
        <f>SUM(Q68:Q71)</f>
        <v>0</v>
      </c>
      <c r="R67" s="451"/>
      <c r="S67" s="451"/>
      <c r="T67" s="452"/>
      <c r="U67" s="451"/>
      <c r="V67" s="451">
        <f>SUM(V68:V71)</f>
        <v>297021</v>
      </c>
      <c r="W67" s="451"/>
      <c r="X67" s="451"/>
      <c r="Y67" s="452"/>
      <c r="Z67" s="451"/>
      <c r="AA67" s="451">
        <f>SUM(AA68:AA71)</f>
        <v>854761</v>
      </c>
      <c r="AB67" s="451"/>
      <c r="AC67" s="451"/>
      <c r="AD67" s="452"/>
      <c r="AE67" s="451"/>
      <c r="AF67" s="451">
        <f>SUM(AF68:AF71)</f>
        <v>1016515</v>
      </c>
      <c r="AG67" s="451"/>
      <c r="AH67" s="451"/>
      <c r="AI67" s="452"/>
      <c r="AJ67" s="451"/>
      <c r="AK67" s="451">
        <f>SUM(AK68:AK71)</f>
        <v>816649</v>
      </c>
      <c r="AL67" s="451"/>
      <c r="AM67" s="451"/>
      <c r="AN67" s="452"/>
      <c r="AO67" s="451"/>
      <c r="AP67" s="451">
        <f>SUM(AP68:AP71)</f>
        <v>1476452</v>
      </c>
      <c r="AQ67" s="451"/>
      <c r="AR67" s="451"/>
      <c r="AS67" s="452"/>
      <c r="AT67" s="451"/>
      <c r="AU67" s="451">
        <f>SUM(AU68:AU71)</f>
        <v>1092190</v>
      </c>
      <c r="AV67" s="451"/>
      <c r="AW67" s="451"/>
      <c r="AX67" s="452"/>
      <c r="AY67" s="451"/>
      <c r="AZ67" s="451">
        <f>SUM(AZ68:AZ71)</f>
        <v>727090</v>
      </c>
      <c r="BA67" s="451"/>
      <c r="BB67" s="451"/>
      <c r="BC67" s="452"/>
      <c r="BD67" s="451"/>
      <c r="BE67" s="451">
        <f>SUM(BE68:BE71)</f>
        <v>1067242</v>
      </c>
      <c r="BF67" s="451"/>
      <c r="BG67" s="451"/>
      <c r="BH67" s="452"/>
      <c r="BI67" s="451"/>
      <c r="BJ67" s="451">
        <f>SUM(BJ68:BJ71)</f>
        <v>0</v>
      </c>
      <c r="BK67" s="451"/>
      <c r="BL67" s="451"/>
      <c r="BM67" s="452"/>
      <c r="BN67" s="451"/>
      <c r="BO67" s="451">
        <f>SUM(BO68:BO71)</f>
        <v>0</v>
      </c>
      <c r="BP67" s="451"/>
      <c r="BQ67" s="451"/>
      <c r="BR67" s="452"/>
      <c r="BS67" s="451"/>
      <c r="BT67" s="451">
        <f>SUM(BT68:BT71)</f>
        <v>7347920</v>
      </c>
      <c r="BU67" s="451"/>
      <c r="BV67" s="451"/>
      <c r="BW67" s="452"/>
      <c r="BX67" s="451"/>
      <c r="BY67" s="451">
        <f>SUM(BY68:BY71)</f>
        <v>4471814</v>
      </c>
      <c r="BZ67" s="451"/>
      <c r="CA67" s="451"/>
      <c r="CB67" s="452"/>
      <c r="CC67" s="451"/>
      <c r="CD67" s="451">
        <f>SUM(CD68:CD71)</f>
        <v>337942</v>
      </c>
      <c r="CE67" s="451"/>
      <c r="CF67" s="451"/>
      <c r="CG67" s="452"/>
      <c r="CH67" s="451"/>
      <c r="CI67" s="451">
        <f>SUM(CI68:CI71)</f>
        <v>248482</v>
      </c>
      <c r="CJ67" s="451"/>
      <c r="CK67" s="451"/>
      <c r="CL67" s="452"/>
      <c r="CM67" s="451"/>
      <c r="CN67" s="451">
        <f>SUM(CN68:CN71)</f>
        <v>22803</v>
      </c>
      <c r="CO67" s="451"/>
      <c r="CP67" s="451"/>
      <c r="CQ67" s="452"/>
      <c r="CR67" s="451"/>
      <c r="CS67" s="451">
        <f>SUM(CS68:CS71)</f>
        <v>234919</v>
      </c>
      <c r="CT67" s="451"/>
      <c r="CU67" s="451"/>
      <c r="CV67" s="452"/>
      <c r="CW67" s="451"/>
      <c r="CX67" s="451">
        <f>SUM(CX68:CX71)</f>
        <v>201859</v>
      </c>
      <c r="CY67" s="451"/>
      <c r="CZ67" s="451"/>
      <c r="DA67" s="452"/>
      <c r="DB67" s="451"/>
      <c r="DC67" s="451">
        <f>SUM(DC68:DC71)</f>
        <v>601319</v>
      </c>
      <c r="DD67" s="451"/>
      <c r="DE67" s="451"/>
      <c r="DF67" s="452"/>
      <c r="DG67" s="451"/>
      <c r="DH67" s="451">
        <f>SUM(DH68:DH71)</f>
        <v>0</v>
      </c>
      <c r="DI67" s="451"/>
      <c r="DJ67" s="451"/>
      <c r="DK67" s="452"/>
      <c r="DL67" s="451"/>
      <c r="DM67" s="451">
        <f>SUM(DM68:DM71)</f>
        <v>820361</v>
      </c>
      <c r="DN67" s="451"/>
      <c r="DO67" s="451"/>
      <c r="DP67" s="452"/>
      <c r="DQ67" s="451"/>
      <c r="DR67" s="451">
        <f>SUM(DR68:DR71)</f>
        <v>373187</v>
      </c>
      <c r="DS67" s="451"/>
      <c r="DT67" s="451"/>
      <c r="DU67" s="452"/>
      <c r="DV67" s="451"/>
      <c r="DW67" s="451">
        <f>SUM(DW68:DW71)</f>
        <v>1016423</v>
      </c>
      <c r="DX67" s="451"/>
      <c r="DY67" s="451"/>
      <c r="DZ67" s="452"/>
      <c r="EA67" s="451"/>
      <c r="EB67" s="451">
        <f>SUM(EB68:EB71)</f>
        <v>151995</v>
      </c>
      <c r="EC67" s="451"/>
      <c r="ED67" s="451"/>
      <c r="EE67" s="452"/>
      <c r="EF67" s="451"/>
      <c r="EG67" s="451">
        <f>SUM(EG68:EG71)</f>
        <v>462524</v>
      </c>
      <c r="EH67" s="451"/>
      <c r="EI67" s="451"/>
      <c r="EJ67" s="452"/>
      <c r="EK67" s="451"/>
      <c r="EL67" s="451">
        <f>SUM(EL68:EL71)</f>
        <v>3857295</v>
      </c>
      <c r="EM67" s="451"/>
      <c r="EN67" s="451"/>
      <c r="EO67" s="13"/>
      <c r="ER67" s="14"/>
      <c r="ES67" s="14"/>
    </row>
    <row r="68" spans="4:149" ht="12.75" customHeight="1" x14ac:dyDescent="0.2">
      <c r="D68" s="13" t="s">
        <v>347</v>
      </c>
      <c r="E68" s="452"/>
      <c r="F68" s="374"/>
      <c r="G68" s="449">
        <v>0</v>
      </c>
      <c r="H68" s="450"/>
      <c r="I68" s="451"/>
      <c r="J68" s="452"/>
      <c r="K68" s="453"/>
      <c r="L68" s="449">
        <v>0</v>
      </c>
      <c r="M68" s="450"/>
      <c r="N68" s="451"/>
      <c r="O68" s="452"/>
      <c r="P68" s="453"/>
      <c r="Q68" s="449">
        <v>0</v>
      </c>
      <c r="R68" s="450"/>
      <c r="S68" s="451"/>
      <c r="T68" s="452"/>
      <c r="U68" s="453"/>
      <c r="V68" s="449">
        <f>250000-49430</f>
        <v>200570</v>
      </c>
      <c r="W68" s="450"/>
      <c r="X68" s="451"/>
      <c r="Y68" s="452"/>
      <c r="Z68" s="453"/>
      <c r="AA68" s="449">
        <f>720000-156260</f>
        <v>563740</v>
      </c>
      <c r="AB68" s="450"/>
      <c r="AC68" s="451"/>
      <c r="AD68" s="452"/>
      <c r="AE68" s="453"/>
      <c r="AF68" s="449">
        <f>860000-183365</f>
        <v>676635</v>
      </c>
      <c r="AG68" s="450"/>
      <c r="AH68" s="451"/>
      <c r="AI68" s="452"/>
      <c r="AJ68" s="453"/>
      <c r="AK68" s="449">
        <f>690000-131934</f>
        <v>558066</v>
      </c>
      <c r="AL68" s="450"/>
      <c r="AM68" s="451"/>
      <c r="AN68" s="452"/>
      <c r="AO68" s="453"/>
      <c r="AP68" s="449">
        <f>1240000-243270</f>
        <v>996730</v>
      </c>
      <c r="AQ68" s="450"/>
      <c r="AR68" s="451"/>
      <c r="AS68" s="452"/>
      <c r="AT68" s="453"/>
      <c r="AU68" s="449">
        <f>910000-176856</f>
        <v>733144</v>
      </c>
      <c r="AV68" s="450"/>
      <c r="AW68" s="451"/>
      <c r="AX68" s="452"/>
      <c r="AY68" s="453"/>
      <c r="AZ68" s="449">
        <f>605000-112019</f>
        <v>492981</v>
      </c>
      <c r="BA68" s="450"/>
      <c r="BB68" s="451"/>
      <c r="BC68" s="452"/>
      <c r="BD68" s="453"/>
      <c r="BE68" s="449">
        <f>885000-145924</f>
        <v>739076</v>
      </c>
      <c r="BF68" s="450"/>
      <c r="BG68" s="451"/>
      <c r="BH68" s="452"/>
      <c r="BI68" s="453"/>
      <c r="BJ68" s="449">
        <v>0</v>
      </c>
      <c r="BK68" s="450"/>
      <c r="BL68" s="451"/>
      <c r="BM68" s="452"/>
      <c r="BN68" s="453"/>
      <c r="BO68" s="449">
        <v>0</v>
      </c>
      <c r="BP68" s="450"/>
      <c r="BQ68" s="451"/>
      <c r="BR68" s="452"/>
      <c r="BS68" s="453"/>
      <c r="BT68" s="449">
        <f>SUM(L68:BO68)</f>
        <v>4960942</v>
      </c>
      <c r="BU68" s="450"/>
      <c r="BV68" s="451"/>
      <c r="BW68" s="452"/>
      <c r="BX68" s="453"/>
      <c r="BY68" s="449">
        <v>3246668</v>
      </c>
      <c r="BZ68" s="450"/>
      <c r="CA68" s="451"/>
      <c r="CB68" s="452"/>
      <c r="CC68" s="453"/>
      <c r="CD68" s="449">
        <f>300000-40111</f>
        <v>259889</v>
      </c>
      <c r="CE68" s="450"/>
      <c r="CF68" s="451"/>
      <c r="CG68" s="452"/>
      <c r="CH68" s="453"/>
      <c r="CI68" s="449">
        <f>220000-22496</f>
        <v>197504</v>
      </c>
      <c r="CJ68" s="450"/>
      <c r="CK68" s="451"/>
      <c r="CL68" s="452"/>
      <c r="CM68" s="453"/>
      <c r="CN68" s="449">
        <f>20000-2609</f>
        <v>17391</v>
      </c>
      <c r="CO68" s="450"/>
      <c r="CP68" s="451"/>
      <c r="CQ68" s="452"/>
      <c r="CR68" s="453"/>
      <c r="CS68" s="449">
        <f>205000-25715</f>
        <v>179285</v>
      </c>
      <c r="CT68" s="450"/>
      <c r="CU68" s="451"/>
      <c r="CV68" s="452"/>
      <c r="CW68" s="453"/>
      <c r="CX68" s="449">
        <f>175000-25019</f>
        <v>149981</v>
      </c>
      <c r="CY68" s="450"/>
      <c r="CZ68" s="451"/>
      <c r="DA68" s="452"/>
      <c r="DB68" s="453"/>
      <c r="DC68" s="449">
        <f>520000-76548</f>
        <v>443452</v>
      </c>
      <c r="DD68" s="450"/>
      <c r="DE68" s="451"/>
      <c r="DF68" s="452"/>
      <c r="DG68" s="453"/>
      <c r="DH68" s="449">
        <v>0</v>
      </c>
      <c r="DI68" s="450"/>
      <c r="DJ68" s="451"/>
      <c r="DK68" s="452"/>
      <c r="DL68" s="453"/>
      <c r="DM68" s="449">
        <f>705000-113837</f>
        <v>591163</v>
      </c>
      <c r="DN68" s="450"/>
      <c r="DO68" s="451"/>
      <c r="DP68" s="452"/>
      <c r="DQ68" s="453"/>
      <c r="DR68" s="449">
        <f>320000-52806</f>
        <v>267194</v>
      </c>
      <c r="DS68" s="450"/>
      <c r="DT68" s="451"/>
      <c r="DU68" s="452"/>
      <c r="DV68" s="453"/>
      <c r="DW68" s="449">
        <f>870000-146244</f>
        <v>723756</v>
      </c>
      <c r="DX68" s="450"/>
      <c r="DY68" s="451"/>
      <c r="DZ68" s="452"/>
      <c r="EA68" s="453"/>
      <c r="EB68" s="449">
        <f>130000-20883</f>
        <v>109117</v>
      </c>
      <c r="EC68" s="450"/>
      <c r="ED68" s="451"/>
      <c r="EE68" s="452"/>
      <c r="EF68" s="453"/>
      <c r="EG68" s="449">
        <f>395000-87064</f>
        <v>307936</v>
      </c>
      <c r="EH68" s="450"/>
      <c r="EI68" s="451"/>
      <c r="EJ68" s="452"/>
      <c r="EK68" s="453"/>
      <c r="EL68" s="449">
        <f>SUM(CD68:DW68)</f>
        <v>2829615</v>
      </c>
      <c r="EM68" s="450"/>
      <c r="EN68" s="451"/>
      <c r="EO68" s="13"/>
      <c r="ER68" s="14"/>
      <c r="ES68" s="14"/>
    </row>
    <row r="69" spans="4:149" ht="12.75" customHeight="1" x14ac:dyDescent="0.2">
      <c r="D69" s="13" t="s">
        <v>349</v>
      </c>
      <c r="E69" s="452"/>
      <c r="F69" s="198"/>
      <c r="G69" s="451">
        <v>0</v>
      </c>
      <c r="H69" s="455"/>
      <c r="I69" s="451"/>
      <c r="J69" s="452"/>
      <c r="K69" s="452"/>
      <c r="L69" s="451">
        <v>0</v>
      </c>
      <c r="M69" s="455"/>
      <c r="N69" s="451"/>
      <c r="O69" s="452"/>
      <c r="P69" s="452"/>
      <c r="Q69" s="451">
        <v>0</v>
      </c>
      <c r="R69" s="455"/>
      <c r="S69" s="451"/>
      <c r="T69" s="452"/>
      <c r="U69" s="452"/>
      <c r="V69" s="451">
        <v>49430</v>
      </c>
      <c r="W69" s="455"/>
      <c r="X69" s="451"/>
      <c r="Y69" s="452"/>
      <c r="Z69" s="452"/>
      <c r="AA69" s="451">
        <v>156260</v>
      </c>
      <c r="AB69" s="455"/>
      <c r="AC69" s="451"/>
      <c r="AD69" s="452"/>
      <c r="AE69" s="452"/>
      <c r="AF69" s="451">
        <v>183365</v>
      </c>
      <c r="AG69" s="455"/>
      <c r="AH69" s="451"/>
      <c r="AI69" s="452"/>
      <c r="AJ69" s="452"/>
      <c r="AK69" s="451">
        <v>131934</v>
      </c>
      <c r="AL69" s="455"/>
      <c r="AM69" s="451"/>
      <c r="AN69" s="452"/>
      <c r="AO69" s="452"/>
      <c r="AP69" s="451">
        <v>243270</v>
      </c>
      <c r="AQ69" s="455"/>
      <c r="AR69" s="451"/>
      <c r="AS69" s="452"/>
      <c r="AT69" s="452"/>
      <c r="AU69" s="451">
        <v>176856</v>
      </c>
      <c r="AV69" s="455"/>
      <c r="AW69" s="451"/>
      <c r="AX69" s="452"/>
      <c r="AY69" s="452"/>
      <c r="AZ69" s="451">
        <v>112019</v>
      </c>
      <c r="BA69" s="455"/>
      <c r="BB69" s="451"/>
      <c r="BC69" s="452"/>
      <c r="BD69" s="452"/>
      <c r="BE69" s="451">
        <v>145924</v>
      </c>
      <c r="BF69" s="455"/>
      <c r="BG69" s="451"/>
      <c r="BH69" s="452"/>
      <c r="BI69" s="452"/>
      <c r="BJ69" s="451">
        <v>0</v>
      </c>
      <c r="BK69" s="455"/>
      <c r="BL69" s="451"/>
      <c r="BM69" s="452"/>
      <c r="BN69" s="452"/>
      <c r="BO69" s="451">
        <v>0</v>
      </c>
      <c r="BP69" s="455"/>
      <c r="BQ69" s="451"/>
      <c r="BR69" s="452"/>
      <c r="BS69" s="452"/>
      <c r="BT69" s="451">
        <f>SUM(L69:BO69)</f>
        <v>1199058</v>
      </c>
      <c r="BU69" s="455"/>
      <c r="BV69" s="451"/>
      <c r="BW69" s="452"/>
      <c r="BX69" s="452"/>
      <c r="BY69" s="451">
        <v>613332</v>
      </c>
      <c r="BZ69" s="455"/>
      <c r="CA69" s="451"/>
      <c r="CB69" s="452"/>
      <c r="CC69" s="452"/>
      <c r="CD69" s="451">
        <v>40111</v>
      </c>
      <c r="CE69" s="455"/>
      <c r="CF69" s="451"/>
      <c r="CG69" s="452"/>
      <c r="CH69" s="452"/>
      <c r="CI69" s="451">
        <v>22496</v>
      </c>
      <c r="CJ69" s="455"/>
      <c r="CK69" s="451"/>
      <c r="CL69" s="452"/>
      <c r="CM69" s="452"/>
      <c r="CN69" s="451">
        <v>2609</v>
      </c>
      <c r="CO69" s="455"/>
      <c r="CP69" s="451"/>
      <c r="CQ69" s="452"/>
      <c r="CR69" s="452"/>
      <c r="CS69" s="451">
        <v>25715</v>
      </c>
      <c r="CT69" s="455"/>
      <c r="CU69" s="451"/>
      <c r="CV69" s="452"/>
      <c r="CW69" s="452"/>
      <c r="CX69" s="451">
        <v>25019</v>
      </c>
      <c r="CY69" s="455"/>
      <c r="CZ69" s="451"/>
      <c r="DA69" s="452"/>
      <c r="DB69" s="452"/>
      <c r="DC69" s="451">
        <v>76548</v>
      </c>
      <c r="DD69" s="455"/>
      <c r="DE69" s="451"/>
      <c r="DF69" s="452"/>
      <c r="DG69" s="452"/>
      <c r="DH69" s="451">
        <v>0</v>
      </c>
      <c r="DI69" s="455"/>
      <c r="DJ69" s="451"/>
      <c r="DK69" s="452"/>
      <c r="DL69" s="452"/>
      <c r="DM69" s="451">
        <v>113837</v>
      </c>
      <c r="DN69" s="455"/>
      <c r="DO69" s="451"/>
      <c r="DP69" s="452"/>
      <c r="DQ69" s="452"/>
      <c r="DR69" s="451">
        <v>52806</v>
      </c>
      <c r="DS69" s="455"/>
      <c r="DT69" s="451"/>
      <c r="DU69" s="452"/>
      <c r="DV69" s="452"/>
      <c r="DW69" s="451">
        <f>146244</f>
        <v>146244</v>
      </c>
      <c r="DX69" s="455"/>
      <c r="DY69" s="451"/>
      <c r="DZ69" s="452"/>
      <c r="EA69" s="452"/>
      <c r="EB69" s="451">
        <v>20883</v>
      </c>
      <c r="EC69" s="455"/>
      <c r="ED69" s="451"/>
      <c r="EE69" s="452"/>
      <c r="EF69" s="452"/>
      <c r="EG69" s="451">
        <v>87064</v>
      </c>
      <c r="EH69" s="455"/>
      <c r="EI69" s="451"/>
      <c r="EJ69" s="452"/>
      <c r="EK69" s="452"/>
      <c r="EL69" s="451">
        <f>SUM(CD69:DW69)</f>
        <v>505385</v>
      </c>
      <c r="EM69" s="455"/>
      <c r="EN69" s="451"/>
      <c r="EO69" s="13"/>
      <c r="ER69" s="14"/>
      <c r="ES69" s="14"/>
    </row>
    <row r="70" spans="4:149" ht="12.75" customHeight="1" x14ac:dyDescent="0.2">
      <c r="D70" s="13" t="s">
        <v>350</v>
      </c>
      <c r="E70" s="452"/>
      <c r="F70" s="198"/>
      <c r="G70" s="451">
        <v>0</v>
      </c>
      <c r="H70" s="455"/>
      <c r="I70" s="451"/>
      <c r="J70" s="452"/>
      <c r="K70" s="452"/>
      <c r="L70" s="451">
        <v>0</v>
      </c>
      <c r="M70" s="455"/>
      <c r="N70" s="451"/>
      <c r="O70" s="452"/>
      <c r="P70" s="452"/>
      <c r="Q70" s="451">
        <v>0</v>
      </c>
      <c r="R70" s="455"/>
      <c r="S70" s="451"/>
      <c r="T70" s="452"/>
      <c r="U70" s="452"/>
      <c r="V70" s="451">
        <v>0</v>
      </c>
      <c r="W70" s="455"/>
      <c r="X70" s="451"/>
      <c r="Y70" s="452"/>
      <c r="Z70" s="452"/>
      <c r="AA70" s="451">
        <v>0</v>
      </c>
      <c r="AB70" s="455"/>
      <c r="AC70" s="451"/>
      <c r="AD70" s="452"/>
      <c r="AE70" s="452"/>
      <c r="AF70" s="451">
        <v>0</v>
      </c>
      <c r="AG70" s="455"/>
      <c r="AH70" s="451"/>
      <c r="AI70" s="452"/>
      <c r="AJ70" s="452"/>
      <c r="AK70" s="451">
        <v>0</v>
      </c>
      <c r="AL70" s="455"/>
      <c r="AM70" s="451"/>
      <c r="AN70" s="452"/>
      <c r="AO70" s="452"/>
      <c r="AP70" s="451">
        <v>0</v>
      </c>
      <c r="AQ70" s="455"/>
      <c r="AR70" s="451"/>
      <c r="AS70" s="452"/>
      <c r="AT70" s="452"/>
      <c r="AU70" s="451">
        <v>0</v>
      </c>
      <c r="AV70" s="455"/>
      <c r="AW70" s="451"/>
      <c r="AX70" s="452"/>
      <c r="AY70" s="452"/>
      <c r="AZ70" s="451">
        <v>0</v>
      </c>
      <c r="BA70" s="455"/>
      <c r="BB70" s="451"/>
      <c r="BC70" s="452"/>
      <c r="BD70" s="452"/>
      <c r="BE70" s="451">
        <v>0</v>
      </c>
      <c r="BF70" s="455"/>
      <c r="BG70" s="451"/>
      <c r="BH70" s="452"/>
      <c r="BI70" s="452"/>
      <c r="BJ70" s="451">
        <v>0</v>
      </c>
      <c r="BK70" s="455"/>
      <c r="BL70" s="451"/>
      <c r="BM70" s="452"/>
      <c r="BN70" s="452"/>
      <c r="BO70" s="451">
        <v>0</v>
      </c>
      <c r="BP70" s="455"/>
      <c r="BQ70" s="451"/>
      <c r="BR70" s="452"/>
      <c r="BS70" s="452"/>
      <c r="BT70" s="451">
        <f>SUM(L70:BO70)</f>
        <v>0</v>
      </c>
      <c r="BU70" s="455"/>
      <c r="BV70" s="451"/>
      <c r="BW70" s="452"/>
      <c r="BX70" s="452"/>
      <c r="BY70" s="451">
        <v>0</v>
      </c>
      <c r="BZ70" s="455"/>
      <c r="CA70" s="451"/>
      <c r="CB70" s="452"/>
      <c r="CC70" s="452"/>
      <c r="CD70" s="451">
        <v>0</v>
      </c>
      <c r="CE70" s="455"/>
      <c r="CF70" s="451"/>
      <c r="CG70" s="452"/>
      <c r="CH70" s="452"/>
      <c r="CI70" s="451">
        <v>0</v>
      </c>
      <c r="CJ70" s="455"/>
      <c r="CK70" s="451"/>
      <c r="CL70" s="452"/>
      <c r="CM70" s="452"/>
      <c r="CN70" s="451">
        <v>0</v>
      </c>
      <c r="CO70" s="455"/>
      <c r="CP70" s="451"/>
      <c r="CQ70" s="452"/>
      <c r="CR70" s="452"/>
      <c r="CS70" s="451">
        <v>0</v>
      </c>
      <c r="CT70" s="455"/>
      <c r="CU70" s="451"/>
      <c r="CV70" s="452"/>
      <c r="CW70" s="452"/>
      <c r="CX70" s="451">
        <v>0</v>
      </c>
      <c r="CY70" s="455"/>
      <c r="CZ70" s="451"/>
      <c r="DA70" s="452"/>
      <c r="DB70" s="452"/>
      <c r="DC70" s="451">
        <v>0</v>
      </c>
      <c r="DD70" s="455"/>
      <c r="DE70" s="451"/>
      <c r="DF70" s="452"/>
      <c r="DG70" s="452"/>
      <c r="DH70" s="451">
        <v>0</v>
      </c>
      <c r="DI70" s="455"/>
      <c r="DJ70" s="451"/>
      <c r="DK70" s="452"/>
      <c r="DL70" s="452"/>
      <c r="DM70" s="451">
        <v>0</v>
      </c>
      <c r="DN70" s="455"/>
      <c r="DO70" s="451"/>
      <c r="DP70" s="452"/>
      <c r="DQ70" s="452"/>
      <c r="DR70" s="451">
        <v>0</v>
      </c>
      <c r="DS70" s="455"/>
      <c r="DT70" s="451"/>
      <c r="DU70" s="452"/>
      <c r="DV70" s="452"/>
      <c r="DW70" s="451">
        <v>0</v>
      </c>
      <c r="DX70" s="455"/>
      <c r="DY70" s="451"/>
      <c r="DZ70" s="452"/>
      <c r="EA70" s="452"/>
      <c r="EB70" s="451">
        <v>0</v>
      </c>
      <c r="EC70" s="455"/>
      <c r="ED70" s="451"/>
      <c r="EE70" s="452"/>
      <c r="EF70" s="452"/>
      <c r="EG70" s="451">
        <v>0</v>
      </c>
      <c r="EH70" s="455"/>
      <c r="EI70" s="451"/>
      <c r="EJ70" s="452"/>
      <c r="EK70" s="452"/>
      <c r="EL70" s="451">
        <f>SUM(CD70:DW70)</f>
        <v>0</v>
      </c>
      <c r="EM70" s="455"/>
      <c r="EN70" s="451"/>
      <c r="EO70" s="13"/>
      <c r="ER70" s="14"/>
      <c r="ES70" s="14"/>
    </row>
    <row r="71" spans="4:149" ht="12.75" customHeight="1" x14ac:dyDescent="0.2">
      <c r="D71" s="13" t="s">
        <v>351</v>
      </c>
      <c r="E71" s="452"/>
      <c r="F71" s="385"/>
      <c r="G71" s="463">
        <v>0</v>
      </c>
      <c r="H71" s="464"/>
      <c r="I71" s="451"/>
      <c r="J71" s="452"/>
      <c r="K71" s="465"/>
      <c r="L71" s="463">
        <v>0</v>
      </c>
      <c r="M71" s="464"/>
      <c r="N71" s="451"/>
      <c r="O71" s="452"/>
      <c r="P71" s="465"/>
      <c r="Q71" s="463">
        <v>0</v>
      </c>
      <c r="R71" s="464"/>
      <c r="S71" s="451"/>
      <c r="T71" s="452"/>
      <c r="U71" s="465"/>
      <c r="V71" s="463">
        <v>47021</v>
      </c>
      <c r="W71" s="464"/>
      <c r="X71" s="451"/>
      <c r="Y71" s="452"/>
      <c r="Z71" s="465"/>
      <c r="AA71" s="463">
        <v>134761</v>
      </c>
      <c r="AB71" s="464"/>
      <c r="AC71" s="451"/>
      <c r="AD71" s="452"/>
      <c r="AE71" s="465"/>
      <c r="AF71" s="463">
        <v>156515</v>
      </c>
      <c r="AG71" s="464"/>
      <c r="AH71" s="451"/>
      <c r="AI71" s="452"/>
      <c r="AJ71" s="465"/>
      <c r="AK71" s="463">
        <v>126649</v>
      </c>
      <c r="AL71" s="464"/>
      <c r="AM71" s="451"/>
      <c r="AN71" s="452"/>
      <c r="AO71" s="465"/>
      <c r="AP71" s="463">
        <v>236452</v>
      </c>
      <c r="AQ71" s="464"/>
      <c r="AR71" s="451"/>
      <c r="AS71" s="452"/>
      <c r="AT71" s="465"/>
      <c r="AU71" s="463">
        <v>182190</v>
      </c>
      <c r="AV71" s="464"/>
      <c r="AW71" s="451"/>
      <c r="AX71" s="452"/>
      <c r="AY71" s="465"/>
      <c r="AZ71" s="463">
        <v>122090</v>
      </c>
      <c r="BA71" s="464"/>
      <c r="BB71" s="451"/>
      <c r="BC71" s="452"/>
      <c r="BD71" s="465"/>
      <c r="BE71" s="463">
        <v>182242</v>
      </c>
      <c r="BF71" s="464"/>
      <c r="BG71" s="451"/>
      <c r="BH71" s="452"/>
      <c r="BI71" s="465"/>
      <c r="BJ71" s="463">
        <v>0</v>
      </c>
      <c r="BK71" s="464"/>
      <c r="BL71" s="451"/>
      <c r="BM71" s="452"/>
      <c r="BN71" s="465"/>
      <c r="BO71" s="463">
        <v>0</v>
      </c>
      <c r="BP71" s="464"/>
      <c r="BQ71" s="451"/>
      <c r="BR71" s="452"/>
      <c r="BS71" s="465"/>
      <c r="BT71" s="463">
        <f>SUM(L71:BO71)</f>
        <v>1187920</v>
      </c>
      <c r="BU71" s="464"/>
      <c r="BV71" s="451"/>
      <c r="BW71" s="452"/>
      <c r="BX71" s="465"/>
      <c r="BY71" s="463">
        <v>611814</v>
      </c>
      <c r="BZ71" s="464"/>
      <c r="CA71" s="451"/>
      <c r="CB71" s="452"/>
      <c r="CC71" s="465"/>
      <c r="CD71" s="463">
        <v>37942</v>
      </c>
      <c r="CE71" s="464"/>
      <c r="CF71" s="451"/>
      <c r="CG71" s="452"/>
      <c r="CH71" s="465"/>
      <c r="CI71" s="463">
        <v>28482</v>
      </c>
      <c r="CJ71" s="464"/>
      <c r="CK71" s="451"/>
      <c r="CL71" s="452"/>
      <c r="CM71" s="465"/>
      <c r="CN71" s="463">
        <v>2803</v>
      </c>
      <c r="CO71" s="464"/>
      <c r="CP71" s="451"/>
      <c r="CQ71" s="452"/>
      <c r="CR71" s="465"/>
      <c r="CS71" s="463">
        <v>29919</v>
      </c>
      <c r="CT71" s="464"/>
      <c r="CU71" s="451"/>
      <c r="CV71" s="452"/>
      <c r="CW71" s="465"/>
      <c r="CX71" s="463">
        <v>26859</v>
      </c>
      <c r="CY71" s="464"/>
      <c r="CZ71" s="451"/>
      <c r="DA71" s="452"/>
      <c r="DB71" s="465"/>
      <c r="DC71" s="463">
        <v>81319</v>
      </c>
      <c r="DD71" s="464"/>
      <c r="DE71" s="451"/>
      <c r="DF71" s="452"/>
      <c r="DG71" s="465"/>
      <c r="DH71" s="463">
        <v>0</v>
      </c>
      <c r="DI71" s="464"/>
      <c r="DJ71" s="451"/>
      <c r="DK71" s="452"/>
      <c r="DL71" s="465"/>
      <c r="DM71" s="463">
        <v>115361</v>
      </c>
      <c r="DN71" s="464"/>
      <c r="DO71" s="451"/>
      <c r="DP71" s="452"/>
      <c r="DQ71" s="465"/>
      <c r="DR71" s="463">
        <v>53187</v>
      </c>
      <c r="DS71" s="464"/>
      <c r="DT71" s="451"/>
      <c r="DU71" s="452"/>
      <c r="DV71" s="465"/>
      <c r="DW71" s="463">
        <v>146423</v>
      </c>
      <c r="DX71" s="464"/>
      <c r="DY71" s="451"/>
      <c r="DZ71" s="452"/>
      <c r="EA71" s="465"/>
      <c r="EB71" s="463">
        <v>21995</v>
      </c>
      <c r="EC71" s="464"/>
      <c r="ED71" s="451"/>
      <c r="EE71" s="452"/>
      <c r="EF71" s="465"/>
      <c r="EG71" s="463">
        <v>67524</v>
      </c>
      <c r="EH71" s="464"/>
      <c r="EI71" s="451"/>
      <c r="EJ71" s="452"/>
      <c r="EK71" s="465"/>
      <c r="EL71" s="463">
        <f>SUM(CD71:DW71)</f>
        <v>522295</v>
      </c>
      <c r="EM71" s="464"/>
      <c r="EN71" s="451"/>
      <c r="EO71" s="13"/>
      <c r="ER71" s="14"/>
      <c r="ES71" s="14"/>
    </row>
    <row r="72" spans="4:149" ht="12.75" customHeight="1" x14ac:dyDescent="0.2">
      <c r="D72" s="13"/>
      <c r="E72" s="452"/>
      <c r="G72" s="451"/>
      <c r="H72" s="451"/>
      <c r="I72" s="451"/>
      <c r="J72" s="452"/>
      <c r="K72" s="451"/>
      <c r="L72" s="451"/>
      <c r="M72" s="451"/>
      <c r="N72" s="451"/>
      <c r="O72" s="452"/>
      <c r="P72" s="451"/>
      <c r="Q72" s="451"/>
      <c r="R72" s="451"/>
      <c r="S72" s="451"/>
      <c r="T72" s="452"/>
      <c r="U72" s="451"/>
      <c r="V72" s="451"/>
      <c r="W72" s="451"/>
      <c r="X72" s="451"/>
      <c r="Y72" s="452"/>
      <c r="Z72" s="451"/>
      <c r="AA72" s="451"/>
      <c r="AB72" s="451"/>
      <c r="AC72" s="451"/>
      <c r="AD72" s="452"/>
      <c r="AE72" s="451"/>
      <c r="AF72" s="451"/>
      <c r="AG72" s="451"/>
      <c r="AH72" s="451"/>
      <c r="AI72" s="452"/>
      <c r="AJ72" s="451"/>
      <c r="AK72" s="451"/>
      <c r="AL72" s="451"/>
      <c r="AM72" s="451"/>
      <c r="AN72" s="452"/>
      <c r="AO72" s="451"/>
      <c r="AP72" s="451"/>
      <c r="AQ72" s="451"/>
      <c r="AR72" s="451"/>
      <c r="AS72" s="452"/>
      <c r="AT72" s="451"/>
      <c r="AU72" s="451"/>
      <c r="AV72" s="451"/>
      <c r="AW72" s="451"/>
      <c r="AX72" s="452"/>
      <c r="AY72" s="451"/>
      <c r="AZ72" s="451"/>
      <c r="BA72" s="451"/>
      <c r="BB72" s="451"/>
      <c r="BC72" s="452"/>
      <c r="BD72" s="451"/>
      <c r="BE72" s="451"/>
      <c r="BF72" s="451"/>
      <c r="BG72" s="451"/>
      <c r="BH72" s="452"/>
      <c r="BI72" s="451"/>
      <c r="BJ72" s="451"/>
      <c r="BK72" s="451"/>
      <c r="BL72" s="451"/>
      <c r="BM72" s="452"/>
      <c r="BN72" s="451"/>
      <c r="BO72" s="451"/>
      <c r="BP72" s="451"/>
      <c r="BQ72" s="451"/>
      <c r="BR72" s="452"/>
      <c r="BS72" s="451"/>
      <c r="BT72" s="451"/>
      <c r="BU72" s="451"/>
      <c r="BV72" s="451"/>
      <c r="BW72" s="452"/>
      <c r="BX72" s="451"/>
      <c r="BY72" s="451"/>
      <c r="BZ72" s="451"/>
      <c r="CA72" s="451"/>
      <c r="CB72" s="452"/>
      <c r="CC72" s="451"/>
      <c r="CD72" s="451"/>
      <c r="CE72" s="451"/>
      <c r="CF72" s="451"/>
      <c r="CG72" s="452"/>
      <c r="CH72" s="451"/>
      <c r="CI72" s="451"/>
      <c r="CJ72" s="451"/>
      <c r="CK72" s="451"/>
      <c r="CL72" s="452"/>
      <c r="CM72" s="451"/>
      <c r="CN72" s="451"/>
      <c r="CO72" s="451"/>
      <c r="CP72" s="451"/>
      <c r="CQ72" s="452"/>
      <c r="CR72" s="451"/>
      <c r="CS72" s="451"/>
      <c r="CT72" s="451"/>
      <c r="CU72" s="451"/>
      <c r="CV72" s="452"/>
      <c r="CW72" s="451"/>
      <c r="CX72" s="451"/>
      <c r="CY72" s="451"/>
      <c r="CZ72" s="451"/>
      <c r="DA72" s="452"/>
      <c r="DB72" s="451"/>
      <c r="DC72" s="451"/>
      <c r="DD72" s="451"/>
      <c r="DE72" s="451"/>
      <c r="DF72" s="452"/>
      <c r="DG72" s="451"/>
      <c r="DH72" s="451"/>
      <c r="DI72" s="451"/>
      <c r="DJ72" s="451"/>
      <c r="DK72" s="452"/>
      <c r="DL72" s="451"/>
      <c r="DM72" s="451"/>
      <c r="DN72" s="451"/>
      <c r="DO72" s="451"/>
      <c r="DP72" s="452"/>
      <c r="DQ72" s="451"/>
      <c r="DR72" s="451"/>
      <c r="DS72" s="451"/>
      <c r="DT72" s="451"/>
      <c r="DU72" s="452"/>
      <c r="DV72" s="451"/>
      <c r="DW72" s="451"/>
      <c r="DX72" s="451"/>
      <c r="DY72" s="451"/>
      <c r="DZ72" s="452"/>
      <c r="EA72" s="451"/>
      <c r="EB72" s="451"/>
      <c r="EC72" s="451"/>
      <c r="ED72" s="451"/>
      <c r="EE72" s="452"/>
      <c r="EF72" s="451"/>
      <c r="EG72" s="451"/>
      <c r="EH72" s="451"/>
      <c r="EI72" s="451"/>
      <c r="EJ72" s="452"/>
      <c r="EK72" s="451"/>
      <c r="EL72" s="451"/>
      <c r="EM72" s="451"/>
      <c r="EN72" s="451"/>
      <c r="EO72" s="13"/>
      <c r="ER72" s="14"/>
      <c r="ES72" s="14"/>
    </row>
    <row r="73" spans="4:149" ht="12.75" customHeight="1" x14ac:dyDescent="0.2">
      <c r="D73" s="13" t="s">
        <v>361</v>
      </c>
      <c r="E73" s="452"/>
      <c r="G73" s="451">
        <f>SUM(G74:G76)</f>
        <v>0</v>
      </c>
      <c r="H73" s="451"/>
      <c r="I73" s="451"/>
      <c r="J73" s="452"/>
      <c r="K73" s="451"/>
      <c r="L73" s="451">
        <f>SUM(L74:L76)</f>
        <v>0</v>
      </c>
      <c r="M73" s="451"/>
      <c r="N73" s="451"/>
      <c r="O73" s="452"/>
      <c r="P73" s="451"/>
      <c r="Q73" s="451">
        <f>SUM(Q74:Q76)</f>
        <v>0</v>
      </c>
      <c r="R73" s="451"/>
      <c r="S73" s="451"/>
      <c r="T73" s="452"/>
      <c r="U73" s="451"/>
      <c r="V73" s="451">
        <f>SUM(V74:V76)</f>
        <v>0</v>
      </c>
      <c r="W73" s="451"/>
      <c r="X73" s="451"/>
      <c r="Y73" s="452"/>
      <c r="Z73" s="451"/>
      <c r="AA73" s="451">
        <f>SUM(AA74:AA76)</f>
        <v>0</v>
      </c>
      <c r="AB73" s="451"/>
      <c r="AC73" s="451"/>
      <c r="AD73" s="452"/>
      <c r="AE73" s="451"/>
      <c r="AF73" s="451">
        <f>SUM(AF74:AF76)</f>
        <v>0</v>
      </c>
      <c r="AG73" s="451"/>
      <c r="AH73" s="451"/>
      <c r="AI73" s="452"/>
      <c r="AJ73" s="451"/>
      <c r="AK73" s="451">
        <f>SUM(AK74:AK76)</f>
        <v>0</v>
      </c>
      <c r="AL73" s="451"/>
      <c r="AM73" s="451"/>
      <c r="AN73" s="452"/>
      <c r="AO73" s="451"/>
      <c r="AP73" s="451">
        <f>SUM(AP74:AP76)</f>
        <v>0</v>
      </c>
      <c r="AQ73" s="451"/>
      <c r="AR73" s="451"/>
      <c r="AS73" s="452"/>
      <c r="AT73" s="451"/>
      <c r="AU73" s="451">
        <f>SUM(AU74:AU76)</f>
        <v>0</v>
      </c>
      <c r="AV73" s="451"/>
      <c r="AW73" s="451"/>
      <c r="AX73" s="452"/>
      <c r="AY73" s="451"/>
      <c r="AZ73" s="451">
        <f>SUM(AZ74:AZ76)</f>
        <v>0</v>
      </c>
      <c r="BA73" s="451"/>
      <c r="BB73" s="451"/>
      <c r="BC73" s="452"/>
      <c r="BD73" s="451"/>
      <c r="BE73" s="451">
        <f>SUM(BE74:BE76)</f>
        <v>0</v>
      </c>
      <c r="BF73" s="451"/>
      <c r="BG73" s="451"/>
      <c r="BH73" s="452"/>
      <c r="BI73" s="451"/>
      <c r="BJ73" s="451">
        <f>SUM(BJ74:BJ76)</f>
        <v>0</v>
      </c>
      <c r="BK73" s="451"/>
      <c r="BL73" s="451"/>
      <c r="BM73" s="452"/>
      <c r="BN73" s="451"/>
      <c r="BO73" s="451">
        <f>SUM(BO74:BO76)</f>
        <v>0</v>
      </c>
      <c r="BP73" s="451"/>
      <c r="BQ73" s="451"/>
      <c r="BR73" s="452"/>
      <c r="BS73" s="451"/>
      <c r="BT73" s="451">
        <f>SUM(BT74:BT76)</f>
        <v>0</v>
      </c>
      <c r="BU73" s="451"/>
      <c r="BV73" s="451"/>
      <c r="BW73" s="452"/>
      <c r="BX73" s="451"/>
      <c r="BY73" s="451">
        <f>SUM(BY74:BY76)</f>
        <v>1781</v>
      </c>
      <c r="BZ73" s="451"/>
      <c r="CA73" s="451"/>
      <c r="CB73" s="452"/>
      <c r="CC73" s="451"/>
      <c r="CD73" s="451">
        <f>SUM(CD74:CD76)</f>
        <v>0</v>
      </c>
      <c r="CE73" s="451"/>
      <c r="CF73" s="451"/>
      <c r="CG73" s="452"/>
      <c r="CH73" s="451"/>
      <c r="CI73" s="451">
        <f>SUM(CI74:CI76)</f>
        <v>1781</v>
      </c>
      <c r="CJ73" s="451"/>
      <c r="CK73" s="451"/>
      <c r="CL73" s="452"/>
      <c r="CM73" s="451"/>
      <c r="CN73" s="451">
        <f>SUM(CN74:CN76)</f>
        <v>0</v>
      </c>
      <c r="CO73" s="451"/>
      <c r="CP73" s="451"/>
      <c r="CQ73" s="452"/>
      <c r="CR73" s="451"/>
      <c r="CS73" s="451">
        <f>SUM(CS74:CS76)</f>
        <v>0</v>
      </c>
      <c r="CT73" s="451"/>
      <c r="CU73" s="451"/>
      <c r="CV73" s="452"/>
      <c r="CW73" s="451"/>
      <c r="CX73" s="451">
        <f>SUM(CX74:CX76)</f>
        <v>0</v>
      </c>
      <c r="CY73" s="451"/>
      <c r="CZ73" s="451"/>
      <c r="DA73" s="452"/>
      <c r="DB73" s="451"/>
      <c r="DC73" s="451">
        <f>SUM(DC74:DC76)</f>
        <v>0</v>
      </c>
      <c r="DD73" s="451"/>
      <c r="DE73" s="451"/>
      <c r="DF73" s="452"/>
      <c r="DG73" s="451"/>
      <c r="DH73" s="451">
        <f>SUM(DH74:DH76)</f>
        <v>0</v>
      </c>
      <c r="DI73" s="451"/>
      <c r="DJ73" s="451"/>
      <c r="DK73" s="452"/>
      <c r="DL73" s="451"/>
      <c r="DM73" s="451">
        <f>SUM(DM74:DM76)</f>
        <v>0</v>
      </c>
      <c r="DN73" s="451"/>
      <c r="DO73" s="451"/>
      <c r="DP73" s="452"/>
      <c r="DQ73" s="451"/>
      <c r="DR73" s="451">
        <f>SUM(DR74:DR76)</f>
        <v>0</v>
      </c>
      <c r="DS73" s="451"/>
      <c r="DT73" s="451"/>
      <c r="DU73" s="452"/>
      <c r="DV73" s="451"/>
      <c r="DW73" s="451">
        <f>SUM(DW74:DW76)</f>
        <v>0</v>
      </c>
      <c r="DX73" s="451"/>
      <c r="DY73" s="451"/>
      <c r="DZ73" s="452"/>
      <c r="EA73" s="451"/>
      <c r="EB73" s="451">
        <f>SUM(EB74:EB76)</f>
        <v>0</v>
      </c>
      <c r="EC73" s="451"/>
      <c r="ED73" s="451"/>
      <c r="EE73" s="452"/>
      <c r="EF73" s="451"/>
      <c r="EG73" s="451">
        <f>SUM(EG74:EG76)</f>
        <v>0</v>
      </c>
      <c r="EH73" s="451"/>
      <c r="EI73" s="451"/>
      <c r="EJ73" s="452"/>
      <c r="EK73" s="451"/>
      <c r="EL73" s="451">
        <f>SUM(EL74:EL76)</f>
        <v>1781</v>
      </c>
      <c r="EM73" s="451"/>
      <c r="EN73" s="451"/>
      <c r="EO73" s="13"/>
      <c r="ER73" s="14"/>
      <c r="ES73" s="14"/>
    </row>
    <row r="74" spans="4:149" ht="12.75" customHeight="1" x14ac:dyDescent="0.2">
      <c r="D74" s="13" t="s">
        <v>347</v>
      </c>
      <c r="E74" s="452"/>
      <c r="F74" s="374"/>
      <c r="G74" s="449">
        <v>0</v>
      </c>
      <c r="H74" s="450"/>
      <c r="I74" s="451"/>
      <c r="J74" s="452"/>
      <c r="K74" s="453"/>
      <c r="L74" s="449">
        <v>0</v>
      </c>
      <c r="M74" s="450"/>
      <c r="N74" s="451"/>
      <c r="O74" s="452"/>
      <c r="P74" s="453"/>
      <c r="Q74" s="449">
        <v>0</v>
      </c>
      <c r="R74" s="450"/>
      <c r="S74" s="451"/>
      <c r="T74" s="452"/>
      <c r="U74" s="453"/>
      <c r="V74" s="449">
        <v>0</v>
      </c>
      <c r="W74" s="450"/>
      <c r="X74" s="451"/>
      <c r="Y74" s="452"/>
      <c r="Z74" s="453"/>
      <c r="AA74" s="449">
        <v>0</v>
      </c>
      <c r="AB74" s="450"/>
      <c r="AC74" s="451"/>
      <c r="AD74" s="452"/>
      <c r="AE74" s="453"/>
      <c r="AF74" s="449">
        <v>0</v>
      </c>
      <c r="AG74" s="450"/>
      <c r="AH74" s="451"/>
      <c r="AI74" s="452"/>
      <c r="AJ74" s="453"/>
      <c r="AK74" s="449">
        <v>0</v>
      </c>
      <c r="AL74" s="450"/>
      <c r="AM74" s="451"/>
      <c r="AN74" s="452"/>
      <c r="AO74" s="453"/>
      <c r="AP74" s="449">
        <v>0</v>
      </c>
      <c r="AQ74" s="450"/>
      <c r="AR74" s="451"/>
      <c r="AS74" s="452"/>
      <c r="AT74" s="453"/>
      <c r="AU74" s="449">
        <v>0</v>
      </c>
      <c r="AV74" s="450"/>
      <c r="AW74" s="451"/>
      <c r="AX74" s="452"/>
      <c r="AY74" s="453"/>
      <c r="AZ74" s="449">
        <v>0</v>
      </c>
      <c r="BA74" s="450"/>
      <c r="BB74" s="451"/>
      <c r="BC74" s="452"/>
      <c r="BD74" s="453"/>
      <c r="BE74" s="449">
        <v>0</v>
      </c>
      <c r="BF74" s="450"/>
      <c r="BG74" s="451"/>
      <c r="BH74" s="452"/>
      <c r="BI74" s="453"/>
      <c r="BJ74" s="449">
        <v>0</v>
      </c>
      <c r="BK74" s="450"/>
      <c r="BL74" s="451"/>
      <c r="BM74" s="452"/>
      <c r="BN74" s="453"/>
      <c r="BO74" s="449">
        <v>0</v>
      </c>
      <c r="BP74" s="450"/>
      <c r="BQ74" s="451"/>
      <c r="BR74" s="452"/>
      <c r="BS74" s="453"/>
      <c r="BT74" s="449">
        <f>SUM(L74:BO74)</f>
        <v>0</v>
      </c>
      <c r="BU74" s="450"/>
      <c r="BV74" s="451"/>
      <c r="BW74" s="452"/>
      <c r="BX74" s="453"/>
      <c r="BY74" s="449">
        <v>1289</v>
      </c>
      <c r="BZ74" s="450"/>
      <c r="CA74" s="451"/>
      <c r="CB74" s="452"/>
      <c r="CC74" s="453"/>
      <c r="CD74" s="449">
        <v>0</v>
      </c>
      <c r="CE74" s="450"/>
      <c r="CF74" s="451"/>
      <c r="CG74" s="452"/>
      <c r="CH74" s="453"/>
      <c r="CI74" s="449">
        <f>1781-492</f>
        <v>1289</v>
      </c>
      <c r="CJ74" s="450"/>
      <c r="CK74" s="451"/>
      <c r="CL74" s="452"/>
      <c r="CM74" s="453"/>
      <c r="CN74" s="449">
        <v>0</v>
      </c>
      <c r="CO74" s="450"/>
      <c r="CP74" s="451"/>
      <c r="CQ74" s="452"/>
      <c r="CR74" s="453"/>
      <c r="CS74" s="449">
        <v>0</v>
      </c>
      <c r="CT74" s="450"/>
      <c r="CU74" s="451"/>
      <c r="CV74" s="452"/>
      <c r="CW74" s="453"/>
      <c r="CX74" s="449">
        <v>0</v>
      </c>
      <c r="CY74" s="450"/>
      <c r="CZ74" s="451"/>
      <c r="DA74" s="452"/>
      <c r="DB74" s="453"/>
      <c r="DC74" s="449">
        <v>0</v>
      </c>
      <c r="DD74" s="450"/>
      <c r="DE74" s="451"/>
      <c r="DF74" s="452"/>
      <c r="DG74" s="453"/>
      <c r="DH74" s="449">
        <v>0</v>
      </c>
      <c r="DI74" s="450"/>
      <c r="DJ74" s="451"/>
      <c r="DK74" s="452"/>
      <c r="DL74" s="453"/>
      <c r="DM74" s="449">
        <v>0</v>
      </c>
      <c r="DN74" s="450"/>
      <c r="DO74" s="451"/>
      <c r="DP74" s="452"/>
      <c r="DQ74" s="453"/>
      <c r="DR74" s="449">
        <v>0</v>
      </c>
      <c r="DS74" s="450"/>
      <c r="DT74" s="451"/>
      <c r="DU74" s="452"/>
      <c r="DV74" s="453"/>
      <c r="DW74" s="449">
        <v>0</v>
      </c>
      <c r="DX74" s="450"/>
      <c r="DY74" s="451"/>
      <c r="DZ74" s="452"/>
      <c r="EA74" s="453"/>
      <c r="EB74" s="449">
        <v>0</v>
      </c>
      <c r="EC74" s="450"/>
      <c r="ED74" s="451"/>
      <c r="EE74" s="452"/>
      <c r="EF74" s="453"/>
      <c r="EG74" s="449">
        <v>0</v>
      </c>
      <c r="EH74" s="450"/>
      <c r="EI74" s="451"/>
      <c r="EJ74" s="452"/>
      <c r="EK74" s="453"/>
      <c r="EL74" s="449">
        <f>SUM(CD74:DW74)</f>
        <v>1289</v>
      </c>
      <c r="EM74" s="450"/>
      <c r="EN74" s="451"/>
      <c r="EO74" s="13"/>
      <c r="ER74" s="14"/>
      <c r="ES74" s="14"/>
    </row>
    <row r="75" spans="4:149" ht="12.75" customHeight="1" x14ac:dyDescent="0.2">
      <c r="D75" s="13" t="s">
        <v>349</v>
      </c>
      <c r="E75" s="452"/>
      <c r="F75" s="198"/>
      <c r="G75" s="451">
        <v>0</v>
      </c>
      <c r="H75" s="455"/>
      <c r="I75" s="451"/>
      <c r="J75" s="452"/>
      <c r="K75" s="452"/>
      <c r="L75" s="451">
        <v>0</v>
      </c>
      <c r="M75" s="455"/>
      <c r="N75" s="451"/>
      <c r="O75" s="452"/>
      <c r="P75" s="452"/>
      <c r="Q75" s="451">
        <v>0</v>
      </c>
      <c r="R75" s="455"/>
      <c r="S75" s="451"/>
      <c r="T75" s="452"/>
      <c r="U75" s="452"/>
      <c r="V75" s="451">
        <v>0</v>
      </c>
      <c r="W75" s="455"/>
      <c r="X75" s="451"/>
      <c r="Y75" s="452"/>
      <c r="Z75" s="452"/>
      <c r="AA75" s="451">
        <v>0</v>
      </c>
      <c r="AB75" s="455"/>
      <c r="AC75" s="451"/>
      <c r="AD75" s="452"/>
      <c r="AE75" s="452"/>
      <c r="AF75" s="451">
        <v>0</v>
      </c>
      <c r="AG75" s="455"/>
      <c r="AH75" s="451"/>
      <c r="AI75" s="452"/>
      <c r="AJ75" s="452"/>
      <c r="AK75" s="451">
        <v>0</v>
      </c>
      <c r="AL75" s="455"/>
      <c r="AM75" s="451"/>
      <c r="AN75" s="452"/>
      <c r="AO75" s="452"/>
      <c r="AP75" s="451">
        <v>0</v>
      </c>
      <c r="AQ75" s="455"/>
      <c r="AR75" s="451"/>
      <c r="AS75" s="452"/>
      <c r="AT75" s="452"/>
      <c r="AU75" s="451">
        <v>0</v>
      </c>
      <c r="AV75" s="455"/>
      <c r="AW75" s="451"/>
      <c r="AX75" s="452"/>
      <c r="AY75" s="452"/>
      <c r="AZ75" s="451">
        <v>0</v>
      </c>
      <c r="BA75" s="455"/>
      <c r="BB75" s="451"/>
      <c r="BC75" s="452"/>
      <c r="BD75" s="452"/>
      <c r="BE75" s="451">
        <v>0</v>
      </c>
      <c r="BF75" s="455"/>
      <c r="BG75" s="451"/>
      <c r="BH75" s="452"/>
      <c r="BI75" s="452"/>
      <c r="BJ75" s="451">
        <v>0</v>
      </c>
      <c r="BK75" s="455"/>
      <c r="BL75" s="451"/>
      <c r="BM75" s="452"/>
      <c r="BN75" s="452"/>
      <c r="BO75" s="451">
        <v>0</v>
      </c>
      <c r="BP75" s="455"/>
      <c r="BQ75" s="451"/>
      <c r="BR75" s="452"/>
      <c r="BS75" s="452"/>
      <c r="BT75" s="451">
        <f>SUM(L75:BO75)</f>
        <v>0</v>
      </c>
      <c r="BU75" s="455"/>
      <c r="BV75" s="451"/>
      <c r="BW75" s="452"/>
      <c r="BX75" s="452"/>
      <c r="BY75" s="451">
        <v>492</v>
      </c>
      <c r="BZ75" s="455"/>
      <c r="CA75" s="451"/>
      <c r="CB75" s="452"/>
      <c r="CC75" s="452"/>
      <c r="CD75" s="451">
        <v>0</v>
      </c>
      <c r="CE75" s="455"/>
      <c r="CF75" s="451"/>
      <c r="CG75" s="452"/>
      <c r="CH75" s="452"/>
      <c r="CI75" s="451">
        <v>492</v>
      </c>
      <c r="CJ75" s="455"/>
      <c r="CK75" s="451"/>
      <c r="CL75" s="452"/>
      <c r="CM75" s="452"/>
      <c r="CN75" s="451">
        <v>0</v>
      </c>
      <c r="CO75" s="455"/>
      <c r="CP75" s="451"/>
      <c r="CQ75" s="452"/>
      <c r="CR75" s="452"/>
      <c r="CS75" s="451">
        <v>0</v>
      </c>
      <c r="CT75" s="455"/>
      <c r="CU75" s="451"/>
      <c r="CV75" s="452"/>
      <c r="CW75" s="452"/>
      <c r="CX75" s="451">
        <v>0</v>
      </c>
      <c r="CY75" s="455"/>
      <c r="CZ75" s="451"/>
      <c r="DA75" s="452"/>
      <c r="DB75" s="452"/>
      <c r="DC75" s="451">
        <v>0</v>
      </c>
      <c r="DD75" s="455"/>
      <c r="DE75" s="451"/>
      <c r="DF75" s="452"/>
      <c r="DG75" s="452"/>
      <c r="DH75" s="451">
        <v>0</v>
      </c>
      <c r="DI75" s="455"/>
      <c r="DJ75" s="451"/>
      <c r="DK75" s="452"/>
      <c r="DL75" s="452"/>
      <c r="DM75" s="451">
        <v>0</v>
      </c>
      <c r="DN75" s="455"/>
      <c r="DO75" s="451"/>
      <c r="DP75" s="452"/>
      <c r="DQ75" s="452"/>
      <c r="DR75" s="451">
        <v>0</v>
      </c>
      <c r="DS75" s="455"/>
      <c r="DT75" s="451"/>
      <c r="DU75" s="452"/>
      <c r="DV75" s="452"/>
      <c r="DW75" s="451">
        <v>0</v>
      </c>
      <c r="DX75" s="455"/>
      <c r="DY75" s="451"/>
      <c r="DZ75" s="452"/>
      <c r="EA75" s="452"/>
      <c r="EB75" s="451">
        <v>0</v>
      </c>
      <c r="EC75" s="455"/>
      <c r="ED75" s="451"/>
      <c r="EE75" s="452"/>
      <c r="EF75" s="452"/>
      <c r="EG75" s="451">
        <v>0</v>
      </c>
      <c r="EH75" s="455"/>
      <c r="EI75" s="451"/>
      <c r="EJ75" s="452"/>
      <c r="EK75" s="452"/>
      <c r="EL75" s="451">
        <f>SUM(CD75:DW75)</f>
        <v>492</v>
      </c>
      <c r="EM75" s="455"/>
      <c r="EN75" s="451"/>
      <c r="EO75" s="13"/>
      <c r="ER75" s="14"/>
      <c r="ES75" s="14"/>
    </row>
    <row r="76" spans="4:149" ht="12.75" customHeight="1" x14ac:dyDescent="0.2">
      <c r="D76" s="13" t="s">
        <v>357</v>
      </c>
      <c r="E76" s="452"/>
      <c r="F76" s="385"/>
      <c r="G76" s="463">
        <v>0</v>
      </c>
      <c r="H76" s="464"/>
      <c r="I76" s="451"/>
      <c r="J76" s="452"/>
      <c r="K76" s="465"/>
      <c r="L76" s="463">
        <v>0</v>
      </c>
      <c r="M76" s="464"/>
      <c r="N76" s="451"/>
      <c r="O76" s="452"/>
      <c r="P76" s="465"/>
      <c r="Q76" s="463">
        <v>0</v>
      </c>
      <c r="R76" s="464"/>
      <c r="S76" s="451"/>
      <c r="T76" s="452"/>
      <c r="U76" s="465"/>
      <c r="V76" s="463">
        <v>0</v>
      </c>
      <c r="W76" s="464"/>
      <c r="X76" s="451"/>
      <c r="Y76" s="452"/>
      <c r="Z76" s="465"/>
      <c r="AA76" s="463">
        <v>0</v>
      </c>
      <c r="AB76" s="464"/>
      <c r="AC76" s="451"/>
      <c r="AD76" s="452"/>
      <c r="AE76" s="465"/>
      <c r="AF76" s="463">
        <v>0</v>
      </c>
      <c r="AG76" s="464"/>
      <c r="AH76" s="451"/>
      <c r="AI76" s="452"/>
      <c r="AJ76" s="465"/>
      <c r="AK76" s="463">
        <v>0</v>
      </c>
      <c r="AL76" s="464"/>
      <c r="AM76" s="451"/>
      <c r="AN76" s="452"/>
      <c r="AO76" s="465"/>
      <c r="AP76" s="463">
        <v>0</v>
      </c>
      <c r="AQ76" s="464"/>
      <c r="AR76" s="451"/>
      <c r="AS76" s="452"/>
      <c r="AT76" s="465"/>
      <c r="AU76" s="463">
        <v>0</v>
      </c>
      <c r="AV76" s="464"/>
      <c r="AW76" s="451"/>
      <c r="AX76" s="452"/>
      <c r="AY76" s="465"/>
      <c r="AZ76" s="463">
        <v>0</v>
      </c>
      <c r="BA76" s="464"/>
      <c r="BB76" s="451"/>
      <c r="BC76" s="452"/>
      <c r="BD76" s="465"/>
      <c r="BE76" s="463">
        <v>0</v>
      </c>
      <c r="BF76" s="464"/>
      <c r="BG76" s="451"/>
      <c r="BH76" s="452"/>
      <c r="BI76" s="465"/>
      <c r="BJ76" s="463">
        <v>0</v>
      </c>
      <c r="BK76" s="464"/>
      <c r="BL76" s="451"/>
      <c r="BM76" s="452"/>
      <c r="BN76" s="465"/>
      <c r="BO76" s="463">
        <v>0</v>
      </c>
      <c r="BP76" s="464"/>
      <c r="BQ76" s="451"/>
      <c r="BR76" s="452"/>
      <c r="BS76" s="465"/>
      <c r="BT76" s="463">
        <f>SUM(L76:BO76)</f>
        <v>0</v>
      </c>
      <c r="BU76" s="464"/>
      <c r="BV76" s="451"/>
      <c r="BW76" s="452"/>
      <c r="BX76" s="465"/>
      <c r="BY76" s="463">
        <v>0</v>
      </c>
      <c r="BZ76" s="464"/>
      <c r="CA76" s="451"/>
      <c r="CB76" s="452"/>
      <c r="CC76" s="465"/>
      <c r="CD76" s="463">
        <v>0</v>
      </c>
      <c r="CE76" s="464"/>
      <c r="CF76" s="451"/>
      <c r="CG76" s="452"/>
      <c r="CH76" s="465"/>
      <c r="CI76" s="463">
        <v>0</v>
      </c>
      <c r="CJ76" s="464"/>
      <c r="CK76" s="451"/>
      <c r="CL76" s="452"/>
      <c r="CM76" s="465"/>
      <c r="CN76" s="463">
        <v>0</v>
      </c>
      <c r="CO76" s="464"/>
      <c r="CP76" s="451"/>
      <c r="CQ76" s="452"/>
      <c r="CR76" s="465"/>
      <c r="CS76" s="463">
        <v>0</v>
      </c>
      <c r="CT76" s="464"/>
      <c r="CU76" s="451"/>
      <c r="CV76" s="452"/>
      <c r="CW76" s="465"/>
      <c r="CX76" s="463">
        <v>0</v>
      </c>
      <c r="CY76" s="464"/>
      <c r="CZ76" s="451"/>
      <c r="DA76" s="452"/>
      <c r="DB76" s="465"/>
      <c r="DC76" s="463">
        <v>0</v>
      </c>
      <c r="DD76" s="464"/>
      <c r="DE76" s="451"/>
      <c r="DF76" s="452"/>
      <c r="DG76" s="465"/>
      <c r="DH76" s="463">
        <v>0</v>
      </c>
      <c r="DI76" s="464"/>
      <c r="DJ76" s="451"/>
      <c r="DK76" s="452"/>
      <c r="DL76" s="465"/>
      <c r="DM76" s="463">
        <v>0</v>
      </c>
      <c r="DN76" s="464"/>
      <c r="DO76" s="451"/>
      <c r="DP76" s="452"/>
      <c r="DQ76" s="465"/>
      <c r="DR76" s="463">
        <v>0</v>
      </c>
      <c r="DS76" s="464"/>
      <c r="DT76" s="451"/>
      <c r="DU76" s="452"/>
      <c r="DV76" s="465"/>
      <c r="DW76" s="463">
        <v>0</v>
      </c>
      <c r="DX76" s="464"/>
      <c r="DY76" s="451"/>
      <c r="DZ76" s="452"/>
      <c r="EA76" s="465"/>
      <c r="EB76" s="463">
        <v>0</v>
      </c>
      <c r="EC76" s="464"/>
      <c r="ED76" s="451"/>
      <c r="EE76" s="452"/>
      <c r="EF76" s="465"/>
      <c r="EG76" s="463">
        <v>0</v>
      </c>
      <c r="EH76" s="464"/>
      <c r="EI76" s="451"/>
      <c r="EJ76" s="452"/>
      <c r="EK76" s="465"/>
      <c r="EL76" s="463">
        <f>SUM(CD76:DW76)</f>
        <v>0</v>
      </c>
      <c r="EM76" s="464"/>
      <c r="EN76" s="451"/>
      <c r="EO76" s="13"/>
      <c r="ER76" s="14"/>
      <c r="ES76" s="14"/>
    </row>
    <row r="77" spans="4:149" ht="12.75" customHeight="1" x14ac:dyDescent="0.2">
      <c r="D77" s="468"/>
      <c r="E77" s="389"/>
      <c r="F77" s="390"/>
      <c r="G77" s="388"/>
      <c r="H77" s="388"/>
      <c r="I77" s="388"/>
      <c r="J77" s="387"/>
      <c r="K77" s="388"/>
      <c r="L77" s="388"/>
      <c r="M77" s="388"/>
      <c r="N77" s="388"/>
      <c r="O77" s="387"/>
      <c r="P77" s="388"/>
      <c r="Q77" s="388"/>
      <c r="R77" s="388"/>
      <c r="S77" s="388"/>
      <c r="T77" s="387"/>
      <c r="U77" s="388"/>
      <c r="V77" s="388"/>
      <c r="W77" s="388"/>
      <c r="X77" s="388"/>
      <c r="Y77" s="387"/>
      <c r="Z77" s="388"/>
      <c r="AA77" s="388"/>
      <c r="AB77" s="388"/>
      <c r="AC77" s="388"/>
      <c r="AD77" s="387"/>
      <c r="AE77" s="388"/>
      <c r="AF77" s="388"/>
      <c r="AG77" s="388"/>
      <c r="AH77" s="388"/>
      <c r="AI77" s="387"/>
      <c r="AJ77" s="388"/>
      <c r="AK77" s="388"/>
      <c r="AL77" s="388"/>
      <c r="AM77" s="388"/>
      <c r="AN77" s="387"/>
      <c r="AO77" s="388"/>
      <c r="AP77" s="388"/>
      <c r="AQ77" s="388"/>
      <c r="AR77" s="388"/>
      <c r="AS77" s="387"/>
      <c r="AT77" s="388"/>
      <c r="AU77" s="388"/>
      <c r="AV77" s="388"/>
      <c r="AW77" s="388"/>
      <c r="AX77" s="387"/>
      <c r="AY77" s="388"/>
      <c r="AZ77" s="388"/>
      <c r="BA77" s="388"/>
      <c r="BB77" s="388"/>
      <c r="BC77" s="387"/>
      <c r="BD77" s="388"/>
      <c r="BE77" s="388"/>
      <c r="BF77" s="388"/>
      <c r="BG77" s="388"/>
      <c r="BH77" s="387"/>
      <c r="BI77" s="388"/>
      <c r="BJ77" s="388"/>
      <c r="BK77" s="388"/>
      <c r="BL77" s="388"/>
      <c r="BM77" s="387"/>
      <c r="BN77" s="388"/>
      <c r="BO77" s="388"/>
      <c r="BP77" s="388"/>
      <c r="BQ77" s="388"/>
      <c r="BR77" s="387"/>
      <c r="BS77" s="388"/>
      <c r="BT77" s="388"/>
      <c r="BU77" s="388"/>
      <c r="BV77" s="388"/>
      <c r="BW77" s="387"/>
      <c r="BX77" s="388"/>
      <c r="BY77" s="388"/>
      <c r="BZ77" s="388"/>
      <c r="CA77" s="388"/>
      <c r="CB77" s="387"/>
      <c r="CC77" s="388"/>
      <c r="CD77" s="388"/>
      <c r="CE77" s="388"/>
      <c r="CF77" s="388"/>
      <c r="CG77" s="387"/>
      <c r="CH77" s="388"/>
      <c r="CI77" s="388"/>
      <c r="CJ77" s="388"/>
      <c r="CK77" s="388"/>
      <c r="CL77" s="387"/>
      <c r="CM77" s="388"/>
      <c r="CN77" s="388"/>
      <c r="CO77" s="388"/>
      <c r="CP77" s="388"/>
      <c r="CQ77" s="387"/>
      <c r="CR77" s="388"/>
      <c r="CS77" s="388"/>
      <c r="CT77" s="388"/>
      <c r="CU77" s="388"/>
      <c r="CV77" s="387"/>
      <c r="CW77" s="388"/>
      <c r="CX77" s="388"/>
      <c r="CY77" s="388"/>
      <c r="CZ77" s="388"/>
      <c r="DA77" s="387"/>
      <c r="DB77" s="388"/>
      <c r="DC77" s="388"/>
      <c r="DD77" s="388"/>
      <c r="DE77" s="388"/>
      <c r="DF77" s="387"/>
      <c r="DG77" s="388"/>
      <c r="DH77" s="388"/>
      <c r="DI77" s="388"/>
      <c r="DJ77" s="388"/>
      <c r="DK77" s="387"/>
      <c r="DL77" s="388"/>
      <c r="DM77" s="388"/>
      <c r="DN77" s="388"/>
      <c r="DO77" s="388"/>
      <c r="DP77" s="387"/>
      <c r="DQ77" s="388"/>
      <c r="DR77" s="388"/>
      <c r="DS77" s="388"/>
      <c r="DT77" s="388"/>
      <c r="DU77" s="387"/>
      <c r="DV77" s="388"/>
      <c r="DW77" s="388"/>
      <c r="DX77" s="388"/>
      <c r="DY77" s="388"/>
      <c r="DZ77" s="387"/>
      <c r="EA77" s="388"/>
      <c r="EB77" s="388"/>
      <c r="EC77" s="388"/>
      <c r="ED77" s="388"/>
      <c r="EE77" s="387"/>
      <c r="EF77" s="388"/>
      <c r="EG77" s="388"/>
      <c r="EH77" s="388"/>
      <c r="EI77" s="388"/>
      <c r="EJ77" s="387"/>
      <c r="EK77" s="388"/>
      <c r="EL77" s="388"/>
      <c r="EM77" s="390"/>
      <c r="EN77" s="390"/>
      <c r="EO77" s="13"/>
      <c r="ER77" s="14"/>
      <c r="ES77" s="14"/>
    </row>
    <row r="78" spans="4:149" ht="12.75" hidden="1" customHeight="1" x14ac:dyDescent="0.2">
      <c r="D78" s="13" t="s">
        <v>362</v>
      </c>
      <c r="E78" s="452"/>
      <c r="G78" s="451">
        <f>SUM(G79:G82)</f>
        <v>0</v>
      </c>
      <c r="H78" s="451"/>
      <c r="I78" s="451"/>
      <c r="J78" s="452"/>
      <c r="K78" s="451"/>
      <c r="L78" s="451">
        <f>SUM(L79:L82)</f>
        <v>0</v>
      </c>
      <c r="M78" s="451"/>
      <c r="N78" s="451"/>
      <c r="O78" s="452"/>
      <c r="P78" s="451"/>
      <c r="Q78" s="451">
        <f>SUM(Q79:Q82)</f>
        <v>0</v>
      </c>
      <c r="R78" s="451"/>
      <c r="S78" s="451"/>
      <c r="T78" s="452"/>
      <c r="U78" s="451"/>
      <c r="V78" s="451">
        <f>SUM(V79:V82)</f>
        <v>0</v>
      </c>
      <c r="W78" s="451"/>
      <c r="X78" s="451"/>
      <c r="Y78" s="452"/>
      <c r="Z78" s="451"/>
      <c r="AA78" s="451">
        <f>SUM(AA79:AA82)</f>
        <v>0</v>
      </c>
      <c r="AB78" s="451"/>
      <c r="AC78" s="451"/>
      <c r="AD78" s="452"/>
      <c r="AE78" s="451"/>
      <c r="AF78" s="451">
        <f>SUM(AF79:AF82)</f>
        <v>0</v>
      </c>
      <c r="AG78" s="451"/>
      <c r="AH78" s="451"/>
      <c r="AI78" s="452"/>
      <c r="AJ78" s="451"/>
      <c r="AK78" s="451">
        <f>SUM(AK79:AK82)</f>
        <v>0</v>
      </c>
      <c r="AL78" s="451"/>
      <c r="AM78" s="451"/>
      <c r="AN78" s="452"/>
      <c r="AO78" s="451"/>
      <c r="AP78" s="451">
        <f>SUM(AP79:AP82)</f>
        <v>0</v>
      </c>
      <c r="AQ78" s="451"/>
      <c r="AR78" s="451"/>
      <c r="AS78" s="452"/>
      <c r="AT78" s="451"/>
      <c r="AU78" s="451">
        <f>SUM(AU79:AU82)</f>
        <v>0</v>
      </c>
      <c r="AV78" s="451"/>
      <c r="AW78" s="451"/>
      <c r="AX78" s="452"/>
      <c r="AY78" s="451"/>
      <c r="AZ78" s="451">
        <f>SUM(AZ79:AZ82)</f>
        <v>0</v>
      </c>
      <c r="BA78" s="451"/>
      <c r="BB78" s="451"/>
      <c r="BC78" s="452"/>
      <c r="BD78" s="451"/>
      <c r="BE78" s="451">
        <f>SUM(BE79:BE82)</f>
        <v>0</v>
      </c>
      <c r="BF78" s="451"/>
      <c r="BG78" s="451"/>
      <c r="BH78" s="452"/>
      <c r="BI78" s="451"/>
      <c r="BJ78" s="451">
        <f>SUM(BJ79:BJ82)</f>
        <v>0</v>
      </c>
      <c r="BK78" s="451"/>
      <c r="BL78" s="451"/>
      <c r="BM78" s="452"/>
      <c r="BN78" s="451"/>
      <c r="BO78" s="451">
        <f>SUM(BO79:BO82)</f>
        <v>0</v>
      </c>
      <c r="BP78" s="451"/>
      <c r="BQ78" s="451"/>
      <c r="BR78" s="452"/>
      <c r="BS78" s="451"/>
      <c r="BT78" s="451">
        <f>SUM(BT79:BT82)</f>
        <v>0</v>
      </c>
      <c r="BU78" s="451"/>
      <c r="BV78" s="451"/>
      <c r="BW78" s="452"/>
      <c r="BX78" s="451"/>
      <c r="BY78" s="451">
        <f>SUM(BY79:BY82)</f>
        <v>0</v>
      </c>
      <c r="BZ78" s="451"/>
      <c r="CA78" s="451"/>
      <c r="CB78" s="452"/>
      <c r="CC78" s="451"/>
      <c r="CD78" s="451">
        <f>SUM(CD79:CD82)</f>
        <v>0</v>
      </c>
      <c r="CE78" s="451"/>
      <c r="CF78" s="451"/>
      <c r="CG78" s="452"/>
      <c r="CH78" s="451"/>
      <c r="CI78" s="451">
        <f>SUM(CI79:CI82)</f>
        <v>0</v>
      </c>
      <c r="CJ78" s="451"/>
      <c r="CK78" s="451"/>
      <c r="CL78" s="452"/>
      <c r="CM78" s="451"/>
      <c r="CN78" s="451">
        <f>SUM(CN79:CN82)</f>
        <v>0</v>
      </c>
      <c r="CO78" s="451"/>
      <c r="CP78" s="451"/>
      <c r="CQ78" s="452"/>
      <c r="CR78" s="451"/>
      <c r="CS78" s="451">
        <f>SUM(CS79:CS82)</f>
        <v>0</v>
      </c>
      <c r="CT78" s="451"/>
      <c r="CU78" s="451"/>
      <c r="CV78" s="452"/>
      <c r="CW78" s="451"/>
      <c r="CX78" s="451">
        <f>SUM(CX79:CX82)</f>
        <v>0</v>
      </c>
      <c r="CY78" s="451"/>
      <c r="CZ78" s="451"/>
      <c r="DA78" s="452"/>
      <c r="DB78" s="451"/>
      <c r="DC78" s="451">
        <f>SUM(DC79:DC82)</f>
        <v>0</v>
      </c>
      <c r="DD78" s="451"/>
      <c r="DE78" s="451"/>
      <c r="DF78" s="452"/>
      <c r="DG78" s="451"/>
      <c r="DH78" s="451">
        <f>SUM(DH79:DH82)</f>
        <v>0</v>
      </c>
      <c r="DI78" s="451"/>
      <c r="DJ78" s="451"/>
      <c r="DK78" s="452"/>
      <c r="DL78" s="451"/>
      <c r="DM78" s="451">
        <f>SUM(DM79:DM82)</f>
        <v>0</v>
      </c>
      <c r="DN78" s="451"/>
      <c r="DO78" s="451"/>
      <c r="DP78" s="452"/>
      <c r="DQ78" s="451"/>
      <c r="DR78" s="451">
        <f>SUM(DR79:DR82)</f>
        <v>0</v>
      </c>
      <c r="DS78" s="451"/>
      <c r="DT78" s="451"/>
      <c r="DU78" s="452"/>
      <c r="DV78" s="451"/>
      <c r="DW78" s="451">
        <f>SUM(DW79:DW82)</f>
        <v>0</v>
      </c>
      <c r="DX78" s="451"/>
      <c r="DY78" s="451"/>
      <c r="DZ78" s="452"/>
      <c r="EA78" s="451"/>
      <c r="EB78" s="451">
        <f>SUM(EB79:EB82)</f>
        <v>0</v>
      </c>
      <c r="EC78" s="451"/>
      <c r="ED78" s="451"/>
      <c r="EE78" s="452"/>
      <c r="EF78" s="451"/>
      <c r="EG78" s="451">
        <f>SUM(EG79:EG82)</f>
        <v>0</v>
      </c>
      <c r="EH78" s="451"/>
      <c r="EI78" s="451"/>
      <c r="EJ78" s="452"/>
      <c r="EK78" s="451"/>
      <c r="EL78" s="451">
        <f>SUM(EL79:EL82)</f>
        <v>0</v>
      </c>
      <c r="EM78" s="451"/>
      <c r="EN78" s="451"/>
      <c r="EO78" s="13"/>
      <c r="ER78" s="14"/>
      <c r="ES78" s="14"/>
    </row>
    <row r="79" spans="4:149" ht="12.75" hidden="1" customHeight="1" x14ac:dyDescent="0.2">
      <c r="D79" s="461" t="s">
        <v>347</v>
      </c>
      <c r="E79" s="452"/>
      <c r="F79" s="374"/>
      <c r="G79" s="449">
        <v>0</v>
      </c>
      <c r="H79" s="450"/>
      <c r="I79" s="451"/>
      <c r="J79" s="452"/>
      <c r="K79" s="453"/>
      <c r="L79" s="449">
        <v>0</v>
      </c>
      <c r="M79" s="450"/>
      <c r="N79" s="451"/>
      <c r="O79" s="452"/>
      <c r="P79" s="453"/>
      <c r="Q79" s="449">
        <v>0</v>
      </c>
      <c r="R79" s="450"/>
      <c r="S79" s="451"/>
      <c r="T79" s="452"/>
      <c r="U79" s="453"/>
      <c r="V79" s="449">
        <v>0</v>
      </c>
      <c r="W79" s="450"/>
      <c r="X79" s="451"/>
      <c r="Y79" s="452"/>
      <c r="Z79" s="453"/>
      <c r="AA79" s="449">
        <v>0</v>
      </c>
      <c r="AB79" s="450"/>
      <c r="AC79" s="451"/>
      <c r="AD79" s="452"/>
      <c r="AE79" s="453"/>
      <c r="AF79" s="449">
        <v>0</v>
      </c>
      <c r="AG79" s="450"/>
      <c r="AH79" s="451"/>
      <c r="AI79" s="452"/>
      <c r="AJ79" s="453"/>
      <c r="AK79" s="449">
        <v>0</v>
      </c>
      <c r="AL79" s="450"/>
      <c r="AM79" s="451"/>
      <c r="AN79" s="452"/>
      <c r="AO79" s="453"/>
      <c r="AP79" s="449">
        <v>0</v>
      </c>
      <c r="AQ79" s="450"/>
      <c r="AR79" s="451"/>
      <c r="AS79" s="452"/>
      <c r="AT79" s="453"/>
      <c r="AU79" s="449">
        <v>0</v>
      </c>
      <c r="AV79" s="450"/>
      <c r="AW79" s="451"/>
      <c r="AX79" s="452"/>
      <c r="AY79" s="453"/>
      <c r="AZ79" s="449">
        <v>0</v>
      </c>
      <c r="BA79" s="450"/>
      <c r="BB79" s="451"/>
      <c r="BC79" s="452"/>
      <c r="BD79" s="453"/>
      <c r="BE79" s="449">
        <v>0</v>
      </c>
      <c r="BF79" s="450"/>
      <c r="BG79" s="451"/>
      <c r="BH79" s="452"/>
      <c r="BI79" s="453"/>
      <c r="BJ79" s="449">
        <v>0</v>
      </c>
      <c r="BK79" s="450"/>
      <c r="BL79" s="451"/>
      <c r="BM79" s="452"/>
      <c r="BN79" s="453"/>
      <c r="BO79" s="449">
        <v>0</v>
      </c>
      <c r="BP79" s="450"/>
      <c r="BQ79" s="451"/>
      <c r="BR79" s="452"/>
      <c r="BS79" s="453"/>
      <c r="BT79" s="449">
        <f>SUM(L79:BO79)</f>
        <v>0</v>
      </c>
      <c r="BU79" s="450"/>
      <c r="BV79" s="451"/>
      <c r="BW79" s="452"/>
      <c r="BX79" s="453"/>
      <c r="BY79" s="449">
        <v>0</v>
      </c>
      <c r="BZ79" s="450"/>
      <c r="CA79" s="451"/>
      <c r="CB79" s="452"/>
      <c r="CC79" s="453"/>
      <c r="CD79" s="449">
        <v>0</v>
      </c>
      <c r="CE79" s="450"/>
      <c r="CF79" s="451"/>
      <c r="CG79" s="452"/>
      <c r="CH79" s="453"/>
      <c r="CI79" s="449">
        <v>0</v>
      </c>
      <c r="CJ79" s="450"/>
      <c r="CK79" s="451"/>
      <c r="CL79" s="452"/>
      <c r="CM79" s="453"/>
      <c r="CN79" s="449">
        <v>0</v>
      </c>
      <c r="CO79" s="450"/>
      <c r="CP79" s="451"/>
      <c r="CQ79" s="452"/>
      <c r="CR79" s="453"/>
      <c r="CS79" s="449">
        <v>0</v>
      </c>
      <c r="CT79" s="450"/>
      <c r="CU79" s="451"/>
      <c r="CV79" s="452"/>
      <c r="CW79" s="453"/>
      <c r="CX79" s="449">
        <v>0</v>
      </c>
      <c r="CY79" s="450"/>
      <c r="CZ79" s="451"/>
      <c r="DA79" s="452"/>
      <c r="DB79" s="453"/>
      <c r="DC79" s="449">
        <v>0</v>
      </c>
      <c r="DD79" s="450"/>
      <c r="DE79" s="451"/>
      <c r="DF79" s="452"/>
      <c r="DG79" s="453"/>
      <c r="DH79" s="449">
        <v>0</v>
      </c>
      <c r="DI79" s="450"/>
      <c r="DJ79" s="451"/>
      <c r="DK79" s="452"/>
      <c r="DL79" s="453"/>
      <c r="DM79" s="449">
        <v>0</v>
      </c>
      <c r="DN79" s="450"/>
      <c r="DO79" s="451"/>
      <c r="DP79" s="452"/>
      <c r="DQ79" s="453"/>
      <c r="DR79" s="449">
        <v>0</v>
      </c>
      <c r="DS79" s="450"/>
      <c r="DT79" s="451"/>
      <c r="DU79" s="452"/>
      <c r="DV79" s="453"/>
      <c r="DW79" s="449">
        <v>0</v>
      </c>
      <c r="DX79" s="450"/>
      <c r="DY79" s="451"/>
      <c r="DZ79" s="452"/>
      <c r="EA79" s="453"/>
      <c r="EB79" s="449">
        <v>0</v>
      </c>
      <c r="EC79" s="450"/>
      <c r="ED79" s="451"/>
      <c r="EE79" s="452"/>
      <c r="EF79" s="453"/>
      <c r="EG79" s="449">
        <v>0</v>
      </c>
      <c r="EH79" s="450"/>
      <c r="EI79" s="451"/>
      <c r="EJ79" s="452"/>
      <c r="EK79" s="453"/>
      <c r="EL79" s="449">
        <f>SUM(CD79:DM79)</f>
        <v>0</v>
      </c>
      <c r="EM79" s="450"/>
      <c r="EN79" s="451"/>
      <c r="EO79" s="13"/>
      <c r="ER79" s="14"/>
      <c r="ES79" s="14"/>
    </row>
    <row r="80" spans="4:149" ht="12.75" hidden="1" customHeight="1" x14ac:dyDescent="0.2">
      <c r="D80" s="461" t="s">
        <v>349</v>
      </c>
      <c r="E80" s="452"/>
      <c r="F80" s="198"/>
      <c r="G80" s="451">
        <v>0</v>
      </c>
      <c r="H80" s="455"/>
      <c r="I80" s="451"/>
      <c r="J80" s="452"/>
      <c r="K80" s="452"/>
      <c r="L80" s="451">
        <v>0</v>
      </c>
      <c r="M80" s="455"/>
      <c r="N80" s="451"/>
      <c r="O80" s="452"/>
      <c r="P80" s="452"/>
      <c r="Q80" s="451">
        <v>0</v>
      </c>
      <c r="R80" s="455"/>
      <c r="S80" s="451"/>
      <c r="T80" s="452"/>
      <c r="U80" s="452"/>
      <c r="V80" s="451">
        <v>0</v>
      </c>
      <c r="W80" s="455"/>
      <c r="X80" s="451"/>
      <c r="Y80" s="452"/>
      <c r="Z80" s="452"/>
      <c r="AA80" s="451">
        <v>0</v>
      </c>
      <c r="AB80" s="455"/>
      <c r="AC80" s="451"/>
      <c r="AD80" s="452"/>
      <c r="AE80" s="452"/>
      <c r="AF80" s="451">
        <v>0</v>
      </c>
      <c r="AG80" s="455"/>
      <c r="AH80" s="451"/>
      <c r="AI80" s="452"/>
      <c r="AJ80" s="452"/>
      <c r="AK80" s="451">
        <v>0</v>
      </c>
      <c r="AL80" s="455"/>
      <c r="AM80" s="451"/>
      <c r="AN80" s="452"/>
      <c r="AO80" s="452"/>
      <c r="AP80" s="451">
        <v>0</v>
      </c>
      <c r="AQ80" s="455"/>
      <c r="AR80" s="451"/>
      <c r="AS80" s="452"/>
      <c r="AT80" s="452"/>
      <c r="AU80" s="451">
        <v>0</v>
      </c>
      <c r="AV80" s="455"/>
      <c r="AW80" s="451"/>
      <c r="AX80" s="452"/>
      <c r="AY80" s="452"/>
      <c r="AZ80" s="451">
        <v>0</v>
      </c>
      <c r="BA80" s="455"/>
      <c r="BB80" s="451"/>
      <c r="BC80" s="452"/>
      <c r="BD80" s="452"/>
      <c r="BE80" s="451">
        <v>0</v>
      </c>
      <c r="BF80" s="455"/>
      <c r="BG80" s="451"/>
      <c r="BH80" s="452"/>
      <c r="BI80" s="452"/>
      <c r="BJ80" s="451">
        <v>0</v>
      </c>
      <c r="BK80" s="455"/>
      <c r="BL80" s="451"/>
      <c r="BM80" s="452"/>
      <c r="BN80" s="452"/>
      <c r="BO80" s="451">
        <v>0</v>
      </c>
      <c r="BP80" s="455"/>
      <c r="BQ80" s="451"/>
      <c r="BR80" s="452"/>
      <c r="BS80" s="452"/>
      <c r="BT80" s="451">
        <f>SUM(L80:BO80)</f>
        <v>0</v>
      </c>
      <c r="BU80" s="455"/>
      <c r="BV80" s="451"/>
      <c r="BW80" s="452"/>
      <c r="BX80" s="452"/>
      <c r="BY80" s="451">
        <v>0</v>
      </c>
      <c r="BZ80" s="455"/>
      <c r="CA80" s="451"/>
      <c r="CB80" s="452"/>
      <c r="CC80" s="452"/>
      <c r="CD80" s="451">
        <v>0</v>
      </c>
      <c r="CE80" s="455"/>
      <c r="CF80" s="451"/>
      <c r="CG80" s="452"/>
      <c r="CH80" s="452"/>
      <c r="CI80" s="451">
        <v>0</v>
      </c>
      <c r="CJ80" s="455"/>
      <c r="CK80" s="451"/>
      <c r="CL80" s="452"/>
      <c r="CM80" s="452"/>
      <c r="CN80" s="451">
        <v>0</v>
      </c>
      <c r="CO80" s="455"/>
      <c r="CP80" s="451"/>
      <c r="CQ80" s="452"/>
      <c r="CR80" s="452"/>
      <c r="CS80" s="451">
        <v>0</v>
      </c>
      <c r="CT80" s="455"/>
      <c r="CU80" s="451"/>
      <c r="CV80" s="452"/>
      <c r="CW80" s="452"/>
      <c r="CX80" s="451">
        <v>0</v>
      </c>
      <c r="CY80" s="455"/>
      <c r="CZ80" s="451"/>
      <c r="DA80" s="452"/>
      <c r="DB80" s="452"/>
      <c r="DC80" s="451">
        <v>0</v>
      </c>
      <c r="DD80" s="455"/>
      <c r="DE80" s="451"/>
      <c r="DF80" s="452"/>
      <c r="DG80" s="452"/>
      <c r="DH80" s="451">
        <v>0</v>
      </c>
      <c r="DI80" s="455"/>
      <c r="DJ80" s="451"/>
      <c r="DK80" s="452"/>
      <c r="DL80" s="452"/>
      <c r="DM80" s="451">
        <v>0</v>
      </c>
      <c r="DN80" s="455"/>
      <c r="DO80" s="451"/>
      <c r="DP80" s="452"/>
      <c r="DQ80" s="452"/>
      <c r="DR80" s="451">
        <v>0</v>
      </c>
      <c r="DS80" s="455"/>
      <c r="DT80" s="451"/>
      <c r="DU80" s="452"/>
      <c r="DV80" s="452"/>
      <c r="DW80" s="451">
        <v>0</v>
      </c>
      <c r="DX80" s="455"/>
      <c r="DY80" s="451"/>
      <c r="DZ80" s="452"/>
      <c r="EA80" s="452"/>
      <c r="EB80" s="451">
        <v>0</v>
      </c>
      <c r="EC80" s="455"/>
      <c r="ED80" s="451"/>
      <c r="EE80" s="452"/>
      <c r="EF80" s="452"/>
      <c r="EG80" s="451">
        <v>0</v>
      </c>
      <c r="EH80" s="455"/>
      <c r="EI80" s="451"/>
      <c r="EJ80" s="452"/>
      <c r="EK80" s="452"/>
      <c r="EL80" s="451">
        <f>SUM(CD80:DM80)</f>
        <v>0</v>
      </c>
      <c r="EM80" s="455"/>
      <c r="EN80" s="451"/>
      <c r="EO80" s="13"/>
      <c r="ER80" s="14"/>
      <c r="ES80" s="14"/>
    </row>
    <row r="81" spans="3:149" ht="12.75" hidden="1" customHeight="1" x14ac:dyDescent="0.2">
      <c r="D81" s="13" t="s">
        <v>350</v>
      </c>
      <c r="E81" s="452"/>
      <c r="F81" s="198"/>
      <c r="G81" s="451">
        <v>0</v>
      </c>
      <c r="H81" s="455"/>
      <c r="I81" s="451"/>
      <c r="J81" s="452"/>
      <c r="K81" s="452"/>
      <c r="L81" s="451">
        <v>0</v>
      </c>
      <c r="M81" s="455"/>
      <c r="N81" s="451"/>
      <c r="O81" s="452"/>
      <c r="P81" s="452"/>
      <c r="Q81" s="451">
        <v>0</v>
      </c>
      <c r="R81" s="455"/>
      <c r="S81" s="451"/>
      <c r="T81" s="452"/>
      <c r="U81" s="452"/>
      <c r="V81" s="451">
        <v>0</v>
      </c>
      <c r="W81" s="455"/>
      <c r="X81" s="451"/>
      <c r="Y81" s="452"/>
      <c r="Z81" s="452"/>
      <c r="AA81" s="451">
        <v>0</v>
      </c>
      <c r="AB81" s="455"/>
      <c r="AC81" s="451"/>
      <c r="AD81" s="452"/>
      <c r="AE81" s="452"/>
      <c r="AF81" s="451">
        <v>0</v>
      </c>
      <c r="AG81" s="455"/>
      <c r="AH81" s="451"/>
      <c r="AI81" s="452"/>
      <c r="AJ81" s="452"/>
      <c r="AK81" s="451">
        <v>0</v>
      </c>
      <c r="AL81" s="455"/>
      <c r="AM81" s="451"/>
      <c r="AN81" s="452"/>
      <c r="AO81" s="452"/>
      <c r="AP81" s="451">
        <v>0</v>
      </c>
      <c r="AQ81" s="455"/>
      <c r="AR81" s="451"/>
      <c r="AS81" s="452"/>
      <c r="AT81" s="452"/>
      <c r="AU81" s="451">
        <v>0</v>
      </c>
      <c r="AV81" s="455"/>
      <c r="AW81" s="451"/>
      <c r="AX81" s="452"/>
      <c r="AY81" s="452"/>
      <c r="AZ81" s="451">
        <v>0</v>
      </c>
      <c r="BA81" s="455"/>
      <c r="BB81" s="451"/>
      <c r="BC81" s="452"/>
      <c r="BD81" s="452"/>
      <c r="BE81" s="451">
        <v>0</v>
      </c>
      <c r="BF81" s="455"/>
      <c r="BG81" s="451"/>
      <c r="BH81" s="452"/>
      <c r="BI81" s="452"/>
      <c r="BJ81" s="451">
        <v>0</v>
      </c>
      <c r="BK81" s="455"/>
      <c r="BL81" s="451"/>
      <c r="BM81" s="452"/>
      <c r="BN81" s="452"/>
      <c r="BO81" s="451">
        <v>0</v>
      </c>
      <c r="BP81" s="455"/>
      <c r="BQ81" s="451"/>
      <c r="BR81" s="452"/>
      <c r="BS81" s="452"/>
      <c r="BT81" s="451">
        <f>SUM(L81:BO81)</f>
        <v>0</v>
      </c>
      <c r="BU81" s="455"/>
      <c r="BV81" s="451"/>
      <c r="BW81" s="452"/>
      <c r="BX81" s="452"/>
      <c r="BY81" s="451">
        <v>0</v>
      </c>
      <c r="BZ81" s="455"/>
      <c r="CA81" s="451"/>
      <c r="CB81" s="452"/>
      <c r="CC81" s="452"/>
      <c r="CD81" s="451">
        <v>0</v>
      </c>
      <c r="CE81" s="455"/>
      <c r="CF81" s="451"/>
      <c r="CG81" s="452"/>
      <c r="CH81" s="452"/>
      <c r="CI81" s="451">
        <v>0</v>
      </c>
      <c r="CJ81" s="455"/>
      <c r="CK81" s="451"/>
      <c r="CL81" s="452"/>
      <c r="CM81" s="452"/>
      <c r="CN81" s="451">
        <v>0</v>
      </c>
      <c r="CO81" s="455"/>
      <c r="CP81" s="451"/>
      <c r="CQ81" s="452"/>
      <c r="CR81" s="452"/>
      <c r="CS81" s="451">
        <v>0</v>
      </c>
      <c r="CT81" s="455"/>
      <c r="CU81" s="451"/>
      <c r="CV81" s="452"/>
      <c r="CW81" s="452"/>
      <c r="CX81" s="451">
        <v>0</v>
      </c>
      <c r="CY81" s="455"/>
      <c r="CZ81" s="451"/>
      <c r="DA81" s="452"/>
      <c r="DB81" s="452"/>
      <c r="DC81" s="451">
        <v>0</v>
      </c>
      <c r="DD81" s="455"/>
      <c r="DE81" s="451"/>
      <c r="DF81" s="452"/>
      <c r="DG81" s="452"/>
      <c r="DH81" s="451">
        <v>0</v>
      </c>
      <c r="DI81" s="455"/>
      <c r="DJ81" s="451"/>
      <c r="DK81" s="452"/>
      <c r="DL81" s="452"/>
      <c r="DM81" s="451">
        <v>0</v>
      </c>
      <c r="DN81" s="455"/>
      <c r="DO81" s="451"/>
      <c r="DP81" s="452"/>
      <c r="DQ81" s="452"/>
      <c r="DR81" s="451">
        <v>0</v>
      </c>
      <c r="DS81" s="455"/>
      <c r="DT81" s="451"/>
      <c r="DU81" s="452"/>
      <c r="DV81" s="452"/>
      <c r="DW81" s="451">
        <v>0</v>
      </c>
      <c r="DX81" s="455"/>
      <c r="DY81" s="451"/>
      <c r="DZ81" s="452"/>
      <c r="EA81" s="452"/>
      <c r="EB81" s="451">
        <v>0</v>
      </c>
      <c r="EC81" s="455"/>
      <c r="ED81" s="451"/>
      <c r="EE81" s="452"/>
      <c r="EF81" s="452"/>
      <c r="EG81" s="451">
        <v>0</v>
      </c>
      <c r="EH81" s="455"/>
      <c r="EI81" s="451"/>
      <c r="EJ81" s="452"/>
      <c r="EK81" s="452"/>
      <c r="EL81" s="451">
        <f>SUM(CD81:DM81)</f>
        <v>0</v>
      </c>
      <c r="EM81" s="455"/>
      <c r="EN81" s="451"/>
      <c r="EO81" s="13"/>
      <c r="ER81" s="14"/>
      <c r="ES81" s="14"/>
    </row>
    <row r="82" spans="3:149" ht="12.75" hidden="1" customHeight="1" x14ac:dyDescent="0.2">
      <c r="D82" s="13" t="s">
        <v>351</v>
      </c>
      <c r="E82" s="452"/>
      <c r="F82" s="385"/>
      <c r="G82" s="463">
        <v>0</v>
      </c>
      <c r="H82" s="464"/>
      <c r="I82" s="451"/>
      <c r="J82" s="452"/>
      <c r="K82" s="465"/>
      <c r="L82" s="463">
        <v>0</v>
      </c>
      <c r="M82" s="464"/>
      <c r="N82" s="451"/>
      <c r="O82" s="452"/>
      <c r="P82" s="465"/>
      <c r="Q82" s="463">
        <v>0</v>
      </c>
      <c r="R82" s="464"/>
      <c r="S82" s="451"/>
      <c r="T82" s="452"/>
      <c r="U82" s="465"/>
      <c r="V82" s="463">
        <v>0</v>
      </c>
      <c r="W82" s="464"/>
      <c r="X82" s="451"/>
      <c r="Y82" s="452"/>
      <c r="Z82" s="465"/>
      <c r="AA82" s="463">
        <v>0</v>
      </c>
      <c r="AB82" s="464"/>
      <c r="AC82" s="451"/>
      <c r="AD82" s="452"/>
      <c r="AE82" s="465"/>
      <c r="AF82" s="463">
        <v>0</v>
      </c>
      <c r="AG82" s="464"/>
      <c r="AH82" s="451"/>
      <c r="AI82" s="452"/>
      <c r="AJ82" s="465"/>
      <c r="AK82" s="463">
        <v>0</v>
      </c>
      <c r="AL82" s="464"/>
      <c r="AM82" s="451"/>
      <c r="AN82" s="452"/>
      <c r="AO82" s="465"/>
      <c r="AP82" s="463">
        <v>0</v>
      </c>
      <c r="AQ82" s="464"/>
      <c r="AR82" s="451"/>
      <c r="AS82" s="452"/>
      <c r="AT82" s="465"/>
      <c r="AU82" s="463">
        <v>0</v>
      </c>
      <c r="AV82" s="464"/>
      <c r="AW82" s="451"/>
      <c r="AX82" s="452"/>
      <c r="AY82" s="465"/>
      <c r="AZ82" s="463">
        <v>0</v>
      </c>
      <c r="BA82" s="464"/>
      <c r="BB82" s="451"/>
      <c r="BC82" s="452"/>
      <c r="BD82" s="465"/>
      <c r="BE82" s="463">
        <v>0</v>
      </c>
      <c r="BF82" s="464"/>
      <c r="BG82" s="451"/>
      <c r="BH82" s="452"/>
      <c r="BI82" s="465"/>
      <c r="BJ82" s="463">
        <v>0</v>
      </c>
      <c r="BK82" s="464"/>
      <c r="BL82" s="451"/>
      <c r="BM82" s="452"/>
      <c r="BN82" s="465"/>
      <c r="BO82" s="463">
        <v>0</v>
      </c>
      <c r="BP82" s="464"/>
      <c r="BQ82" s="451"/>
      <c r="BR82" s="452"/>
      <c r="BS82" s="465"/>
      <c r="BT82" s="463">
        <f>SUM(L82:BO82)</f>
        <v>0</v>
      </c>
      <c r="BU82" s="464"/>
      <c r="BV82" s="451"/>
      <c r="BW82" s="452"/>
      <c r="BX82" s="465"/>
      <c r="BY82" s="463">
        <v>0</v>
      </c>
      <c r="BZ82" s="464"/>
      <c r="CA82" s="451"/>
      <c r="CB82" s="452"/>
      <c r="CC82" s="465"/>
      <c r="CD82" s="463">
        <v>0</v>
      </c>
      <c r="CE82" s="464"/>
      <c r="CF82" s="451"/>
      <c r="CG82" s="452"/>
      <c r="CH82" s="465"/>
      <c r="CI82" s="463">
        <v>0</v>
      </c>
      <c r="CJ82" s="464"/>
      <c r="CK82" s="451"/>
      <c r="CL82" s="452"/>
      <c r="CM82" s="465"/>
      <c r="CN82" s="463">
        <v>0</v>
      </c>
      <c r="CO82" s="464"/>
      <c r="CP82" s="451"/>
      <c r="CQ82" s="452"/>
      <c r="CR82" s="465"/>
      <c r="CS82" s="463">
        <v>0</v>
      </c>
      <c r="CT82" s="464"/>
      <c r="CU82" s="451"/>
      <c r="CV82" s="452"/>
      <c r="CW82" s="465"/>
      <c r="CX82" s="463">
        <v>0</v>
      </c>
      <c r="CY82" s="464"/>
      <c r="CZ82" s="451"/>
      <c r="DA82" s="452"/>
      <c r="DB82" s="465"/>
      <c r="DC82" s="463">
        <v>0</v>
      </c>
      <c r="DD82" s="464"/>
      <c r="DE82" s="451"/>
      <c r="DF82" s="452"/>
      <c r="DG82" s="465"/>
      <c r="DH82" s="463">
        <v>0</v>
      </c>
      <c r="DI82" s="464"/>
      <c r="DJ82" s="451"/>
      <c r="DK82" s="452"/>
      <c r="DL82" s="465"/>
      <c r="DM82" s="463">
        <v>0</v>
      </c>
      <c r="DN82" s="464"/>
      <c r="DO82" s="451"/>
      <c r="DP82" s="452"/>
      <c r="DQ82" s="465"/>
      <c r="DR82" s="463">
        <v>0</v>
      </c>
      <c r="DS82" s="464"/>
      <c r="DT82" s="451"/>
      <c r="DU82" s="452"/>
      <c r="DV82" s="465"/>
      <c r="DW82" s="463">
        <v>0</v>
      </c>
      <c r="DX82" s="464"/>
      <c r="DY82" s="451"/>
      <c r="DZ82" s="452"/>
      <c r="EA82" s="465"/>
      <c r="EB82" s="463">
        <v>0</v>
      </c>
      <c r="EC82" s="464"/>
      <c r="ED82" s="451"/>
      <c r="EE82" s="452"/>
      <c r="EF82" s="465"/>
      <c r="EG82" s="463">
        <v>0</v>
      </c>
      <c r="EH82" s="464"/>
      <c r="EI82" s="451"/>
      <c r="EJ82" s="452"/>
      <c r="EK82" s="465"/>
      <c r="EL82" s="463">
        <f>SUM(CD82:DM82)</f>
        <v>0</v>
      </c>
      <c r="EM82" s="464"/>
      <c r="EN82" s="451"/>
      <c r="EO82" s="13"/>
      <c r="ER82" s="14"/>
      <c r="ES82" s="14"/>
    </row>
    <row r="83" spans="3:149" ht="12.75" hidden="1" customHeight="1" x14ac:dyDescent="0.2">
      <c r="D83" s="13"/>
      <c r="E83" s="452"/>
      <c r="G83" s="451"/>
      <c r="H83" s="451"/>
      <c r="I83" s="451"/>
      <c r="J83" s="452"/>
      <c r="K83" s="451"/>
      <c r="L83" s="451"/>
      <c r="M83" s="451"/>
      <c r="N83" s="451"/>
      <c r="O83" s="452"/>
      <c r="P83" s="451"/>
      <c r="Q83" s="451"/>
      <c r="R83" s="451"/>
      <c r="S83" s="451"/>
      <c r="T83" s="452"/>
      <c r="U83" s="451"/>
      <c r="V83" s="451"/>
      <c r="W83" s="451"/>
      <c r="X83" s="451"/>
      <c r="Y83" s="452"/>
      <c r="Z83" s="451"/>
      <c r="AA83" s="451"/>
      <c r="AB83" s="451"/>
      <c r="AC83" s="451"/>
      <c r="AD83" s="452"/>
      <c r="AE83" s="451"/>
      <c r="AF83" s="451"/>
      <c r="AG83" s="451"/>
      <c r="AH83" s="451"/>
      <c r="AI83" s="452"/>
      <c r="AJ83" s="451"/>
      <c r="AK83" s="451"/>
      <c r="AL83" s="451"/>
      <c r="AM83" s="451"/>
      <c r="AN83" s="452"/>
      <c r="AO83" s="451"/>
      <c r="AP83" s="451"/>
      <c r="AQ83" s="451"/>
      <c r="AR83" s="451"/>
      <c r="AS83" s="452"/>
      <c r="AT83" s="451"/>
      <c r="AU83" s="451"/>
      <c r="AV83" s="451"/>
      <c r="AW83" s="451"/>
      <c r="AX83" s="452"/>
      <c r="AY83" s="451"/>
      <c r="AZ83" s="451"/>
      <c r="BA83" s="451"/>
      <c r="BB83" s="451"/>
      <c r="BC83" s="452"/>
      <c r="BD83" s="451"/>
      <c r="BE83" s="451"/>
      <c r="BF83" s="451"/>
      <c r="BG83" s="451"/>
      <c r="BH83" s="452"/>
      <c r="BI83" s="451"/>
      <c r="BJ83" s="451"/>
      <c r="BK83" s="451"/>
      <c r="BL83" s="451"/>
      <c r="BM83" s="452"/>
      <c r="BN83" s="451"/>
      <c r="BO83" s="451"/>
      <c r="BP83" s="451"/>
      <c r="BQ83" s="451"/>
      <c r="BR83" s="452"/>
      <c r="BS83" s="451"/>
      <c r="BT83" s="451"/>
      <c r="BU83" s="451"/>
      <c r="BV83" s="451"/>
      <c r="BW83" s="452"/>
      <c r="BX83" s="451"/>
      <c r="BY83" s="451"/>
      <c r="BZ83" s="451"/>
      <c r="CA83" s="451"/>
      <c r="CB83" s="452"/>
      <c r="CC83" s="451"/>
      <c r="CD83" s="451"/>
      <c r="CE83" s="451"/>
      <c r="CF83" s="451"/>
      <c r="CG83" s="452"/>
      <c r="CH83" s="451"/>
      <c r="CI83" s="451"/>
      <c r="CJ83" s="451"/>
      <c r="CK83" s="451"/>
      <c r="CL83" s="452"/>
      <c r="CM83" s="451"/>
      <c r="CN83" s="451"/>
      <c r="CO83" s="451"/>
      <c r="CP83" s="451"/>
      <c r="CQ83" s="452"/>
      <c r="CR83" s="451"/>
      <c r="CS83" s="451"/>
      <c r="CT83" s="451"/>
      <c r="CU83" s="451"/>
      <c r="CV83" s="452"/>
      <c r="CW83" s="451"/>
      <c r="CX83" s="451"/>
      <c r="CY83" s="451"/>
      <c r="CZ83" s="451"/>
      <c r="DA83" s="452"/>
      <c r="DB83" s="451"/>
      <c r="DC83" s="451"/>
      <c r="DD83" s="451"/>
      <c r="DE83" s="451"/>
      <c r="DF83" s="452"/>
      <c r="DG83" s="451"/>
      <c r="DH83" s="451"/>
      <c r="DI83" s="451"/>
      <c r="DJ83" s="451"/>
      <c r="DK83" s="452"/>
      <c r="DL83" s="451"/>
      <c r="DM83" s="451"/>
      <c r="DN83" s="451"/>
      <c r="DO83" s="451"/>
      <c r="DP83" s="452"/>
      <c r="DQ83" s="451"/>
      <c r="DR83" s="451"/>
      <c r="DS83" s="451"/>
      <c r="DT83" s="451"/>
      <c r="DU83" s="452"/>
      <c r="DV83" s="451"/>
      <c r="DW83" s="451"/>
      <c r="DX83" s="451"/>
      <c r="DY83" s="451"/>
      <c r="DZ83" s="452"/>
      <c r="EA83" s="451"/>
      <c r="EB83" s="451"/>
      <c r="EC83" s="451"/>
      <c r="ED83" s="451"/>
      <c r="EE83" s="452"/>
      <c r="EF83" s="451"/>
      <c r="EG83" s="451"/>
      <c r="EH83" s="451"/>
      <c r="EI83" s="451"/>
      <c r="EJ83" s="452"/>
      <c r="EK83" s="451"/>
      <c r="EL83" s="451"/>
      <c r="EM83" s="451"/>
      <c r="EN83" s="451"/>
      <c r="EO83" s="13"/>
      <c r="ER83" s="14"/>
      <c r="ES83" s="14"/>
    </row>
    <row r="84" spans="3:149" ht="12.75" hidden="1" customHeight="1" x14ac:dyDescent="0.2">
      <c r="D84" s="13" t="s">
        <v>363</v>
      </c>
      <c r="E84" s="452"/>
      <c r="G84" s="451">
        <f>SUM(G85:G87)</f>
        <v>0</v>
      </c>
      <c r="H84" s="451"/>
      <c r="I84" s="451"/>
      <c r="J84" s="452"/>
      <c r="K84" s="451"/>
      <c r="L84" s="451">
        <f>SUM(L85:L87)</f>
        <v>0</v>
      </c>
      <c r="M84" s="451"/>
      <c r="N84" s="451"/>
      <c r="O84" s="452"/>
      <c r="P84" s="451"/>
      <c r="Q84" s="451">
        <f>SUM(Q85:Q87)</f>
        <v>0</v>
      </c>
      <c r="R84" s="451"/>
      <c r="S84" s="451"/>
      <c r="T84" s="452"/>
      <c r="U84" s="451"/>
      <c r="V84" s="451">
        <f>SUM(V85:V87)</f>
        <v>0</v>
      </c>
      <c r="W84" s="451"/>
      <c r="X84" s="451"/>
      <c r="Y84" s="452"/>
      <c r="Z84" s="451"/>
      <c r="AA84" s="451">
        <f>SUM(AA85:AA87)</f>
        <v>0</v>
      </c>
      <c r="AB84" s="451"/>
      <c r="AC84" s="451"/>
      <c r="AD84" s="452"/>
      <c r="AE84" s="451"/>
      <c r="AF84" s="451">
        <f>SUM(AF85:AF87)</f>
        <v>0</v>
      </c>
      <c r="AG84" s="451"/>
      <c r="AH84" s="451"/>
      <c r="AI84" s="452"/>
      <c r="AJ84" s="451"/>
      <c r="AK84" s="451">
        <f>SUM(AK85:AK87)</f>
        <v>0</v>
      </c>
      <c r="AL84" s="451"/>
      <c r="AM84" s="451"/>
      <c r="AN84" s="452"/>
      <c r="AO84" s="451"/>
      <c r="AP84" s="451">
        <f>SUM(AP85:AP87)</f>
        <v>0</v>
      </c>
      <c r="AQ84" s="451"/>
      <c r="AR84" s="451"/>
      <c r="AS84" s="452"/>
      <c r="AT84" s="451"/>
      <c r="AU84" s="451">
        <f>SUM(AU85:AU87)</f>
        <v>0</v>
      </c>
      <c r="AV84" s="451"/>
      <c r="AW84" s="451"/>
      <c r="AX84" s="452"/>
      <c r="AY84" s="451"/>
      <c r="AZ84" s="451">
        <f>SUM(AZ85:AZ87)</f>
        <v>0</v>
      </c>
      <c r="BA84" s="451"/>
      <c r="BB84" s="451"/>
      <c r="BC84" s="452"/>
      <c r="BD84" s="451"/>
      <c r="BE84" s="451">
        <f>SUM(BE85:BE87)</f>
        <v>0</v>
      </c>
      <c r="BF84" s="451"/>
      <c r="BG84" s="451"/>
      <c r="BH84" s="452"/>
      <c r="BI84" s="451"/>
      <c r="BJ84" s="451">
        <f>SUM(BJ85:BJ87)</f>
        <v>0</v>
      </c>
      <c r="BK84" s="451"/>
      <c r="BL84" s="451"/>
      <c r="BM84" s="452"/>
      <c r="BN84" s="451"/>
      <c r="BO84" s="451">
        <f>SUM(BO85:BO87)</f>
        <v>0</v>
      </c>
      <c r="BP84" s="451"/>
      <c r="BQ84" s="451"/>
      <c r="BR84" s="452"/>
      <c r="BS84" s="451"/>
      <c r="BT84" s="451">
        <f>SUM(BT85:BT87)</f>
        <v>0</v>
      </c>
      <c r="BU84" s="451"/>
      <c r="BV84" s="451"/>
      <c r="BW84" s="452"/>
      <c r="BX84" s="451"/>
      <c r="BY84" s="451">
        <f>SUM(BY85:BY87)</f>
        <v>0</v>
      </c>
      <c r="BZ84" s="451"/>
      <c r="CA84" s="451"/>
      <c r="CB84" s="452"/>
      <c r="CC84" s="451"/>
      <c r="CD84" s="451">
        <f>SUM(CD85:CD87)</f>
        <v>0</v>
      </c>
      <c r="CE84" s="451"/>
      <c r="CF84" s="451"/>
      <c r="CG84" s="452"/>
      <c r="CH84" s="451"/>
      <c r="CI84" s="451">
        <f>SUM(CI85:CI87)</f>
        <v>0</v>
      </c>
      <c r="CJ84" s="451"/>
      <c r="CK84" s="451"/>
      <c r="CL84" s="452"/>
      <c r="CM84" s="451"/>
      <c r="CN84" s="451">
        <f>SUM(CN85:CN87)</f>
        <v>0</v>
      </c>
      <c r="CO84" s="451"/>
      <c r="CP84" s="451"/>
      <c r="CQ84" s="452"/>
      <c r="CR84" s="451"/>
      <c r="CS84" s="451">
        <f>SUM(CS85:CS87)</f>
        <v>0</v>
      </c>
      <c r="CT84" s="451"/>
      <c r="CU84" s="451"/>
      <c r="CV84" s="452"/>
      <c r="CW84" s="451"/>
      <c r="CX84" s="451">
        <f>SUM(CX85:CX87)</f>
        <v>0</v>
      </c>
      <c r="CY84" s="451"/>
      <c r="CZ84" s="451"/>
      <c r="DA84" s="452"/>
      <c r="DB84" s="451"/>
      <c r="DC84" s="451">
        <f>SUM(DC85:DC87)</f>
        <v>0</v>
      </c>
      <c r="DD84" s="451"/>
      <c r="DE84" s="451"/>
      <c r="DF84" s="452"/>
      <c r="DG84" s="451"/>
      <c r="DH84" s="451">
        <f>SUM(DH85:DH87)</f>
        <v>0</v>
      </c>
      <c r="DI84" s="451"/>
      <c r="DJ84" s="451"/>
      <c r="DK84" s="452"/>
      <c r="DL84" s="451"/>
      <c r="DM84" s="451">
        <f>SUM(DM85:DM87)</f>
        <v>0</v>
      </c>
      <c r="DN84" s="451"/>
      <c r="DO84" s="451"/>
      <c r="DP84" s="452"/>
      <c r="DQ84" s="451"/>
      <c r="DR84" s="451">
        <f>SUM(DR85:DR87)</f>
        <v>0</v>
      </c>
      <c r="DS84" s="451"/>
      <c r="DT84" s="451"/>
      <c r="DU84" s="452"/>
      <c r="DV84" s="451"/>
      <c r="DW84" s="451">
        <f>SUM(DW85:DW87)</f>
        <v>0</v>
      </c>
      <c r="DX84" s="451"/>
      <c r="DY84" s="451"/>
      <c r="DZ84" s="452"/>
      <c r="EA84" s="451"/>
      <c r="EB84" s="451">
        <f>SUM(EB85:EB87)</f>
        <v>0</v>
      </c>
      <c r="EC84" s="451"/>
      <c r="ED84" s="451"/>
      <c r="EE84" s="452"/>
      <c r="EF84" s="451"/>
      <c r="EG84" s="451">
        <f>SUM(EG85:EG87)</f>
        <v>0</v>
      </c>
      <c r="EH84" s="451"/>
      <c r="EI84" s="451"/>
      <c r="EJ84" s="452"/>
      <c r="EK84" s="451"/>
      <c r="EL84" s="451">
        <f>SUM(EL85:EL87)</f>
        <v>0</v>
      </c>
      <c r="EM84" s="451"/>
      <c r="EN84" s="451"/>
      <c r="EO84" s="13"/>
      <c r="ER84" s="14"/>
      <c r="ES84" s="14"/>
    </row>
    <row r="85" spans="3:149" ht="12.75" hidden="1" customHeight="1" x14ac:dyDescent="0.2">
      <c r="D85" s="13" t="s">
        <v>347</v>
      </c>
      <c r="E85" s="452"/>
      <c r="F85" s="374"/>
      <c r="G85" s="449">
        <v>0</v>
      </c>
      <c r="H85" s="450"/>
      <c r="I85" s="451"/>
      <c r="J85" s="452"/>
      <c r="K85" s="453"/>
      <c r="L85" s="449">
        <v>0</v>
      </c>
      <c r="M85" s="450"/>
      <c r="N85" s="451"/>
      <c r="O85" s="452"/>
      <c r="P85" s="453"/>
      <c r="Q85" s="449">
        <v>0</v>
      </c>
      <c r="R85" s="450"/>
      <c r="S85" s="451"/>
      <c r="T85" s="452"/>
      <c r="U85" s="374"/>
      <c r="V85" s="449">
        <v>0</v>
      </c>
      <c r="W85" s="450"/>
      <c r="X85" s="451"/>
      <c r="Y85" s="452"/>
      <c r="Z85" s="453"/>
      <c r="AA85" s="449">
        <v>0</v>
      </c>
      <c r="AB85" s="450"/>
      <c r="AC85" s="451"/>
      <c r="AD85" s="452"/>
      <c r="AE85" s="453"/>
      <c r="AF85" s="449">
        <v>0</v>
      </c>
      <c r="AG85" s="450"/>
      <c r="AH85" s="451"/>
      <c r="AI85" s="452"/>
      <c r="AJ85" s="453"/>
      <c r="AK85" s="449">
        <v>0</v>
      </c>
      <c r="AL85" s="450"/>
      <c r="AM85" s="451"/>
      <c r="AN85" s="452"/>
      <c r="AO85" s="453"/>
      <c r="AP85" s="449">
        <v>0</v>
      </c>
      <c r="AQ85" s="450"/>
      <c r="AR85" s="451"/>
      <c r="AS85" s="452"/>
      <c r="AT85" s="453"/>
      <c r="AU85" s="449">
        <v>0</v>
      </c>
      <c r="AV85" s="450"/>
      <c r="AW85" s="451"/>
      <c r="AX85" s="452"/>
      <c r="AY85" s="453"/>
      <c r="AZ85" s="449">
        <v>0</v>
      </c>
      <c r="BA85" s="450"/>
      <c r="BB85" s="451"/>
      <c r="BC85" s="452"/>
      <c r="BD85" s="453"/>
      <c r="BE85" s="449">
        <v>0</v>
      </c>
      <c r="BF85" s="450"/>
      <c r="BG85" s="451"/>
      <c r="BH85" s="452"/>
      <c r="BI85" s="453"/>
      <c r="BJ85" s="449">
        <v>0</v>
      </c>
      <c r="BK85" s="450"/>
      <c r="BL85" s="451"/>
      <c r="BM85" s="452"/>
      <c r="BN85" s="453"/>
      <c r="BO85" s="449">
        <v>0</v>
      </c>
      <c r="BP85" s="450"/>
      <c r="BQ85" s="451"/>
      <c r="BR85" s="452"/>
      <c r="BS85" s="453"/>
      <c r="BT85" s="449">
        <f>SUM(L85:BO85)</f>
        <v>0</v>
      </c>
      <c r="BU85" s="450"/>
      <c r="BV85" s="451"/>
      <c r="BW85" s="452"/>
      <c r="BX85" s="453"/>
      <c r="BY85" s="449">
        <f>SUM(Q85:BT85)</f>
        <v>0</v>
      </c>
      <c r="BZ85" s="450"/>
      <c r="CA85" s="451"/>
      <c r="CB85" s="452"/>
      <c r="CC85" s="453"/>
      <c r="CD85" s="449">
        <v>0</v>
      </c>
      <c r="CE85" s="450"/>
      <c r="CF85" s="451"/>
      <c r="CG85" s="452"/>
      <c r="CH85" s="453"/>
      <c r="CI85" s="449">
        <v>0</v>
      </c>
      <c r="CJ85" s="450"/>
      <c r="CK85" s="451"/>
      <c r="CL85" s="452"/>
      <c r="CM85" s="374"/>
      <c r="CN85" s="449">
        <v>0</v>
      </c>
      <c r="CO85" s="450"/>
      <c r="CP85" s="451"/>
      <c r="CQ85" s="452"/>
      <c r="CR85" s="453"/>
      <c r="CS85" s="449">
        <v>0</v>
      </c>
      <c r="CT85" s="450"/>
      <c r="CU85" s="451"/>
      <c r="CV85" s="452"/>
      <c r="CW85" s="453"/>
      <c r="CX85" s="449">
        <v>0</v>
      </c>
      <c r="CY85" s="450"/>
      <c r="CZ85" s="451"/>
      <c r="DA85" s="452"/>
      <c r="DB85" s="453"/>
      <c r="DC85" s="449">
        <v>0</v>
      </c>
      <c r="DD85" s="450"/>
      <c r="DE85" s="451"/>
      <c r="DF85" s="452"/>
      <c r="DG85" s="453"/>
      <c r="DH85" s="449">
        <v>0</v>
      </c>
      <c r="DI85" s="450"/>
      <c r="DJ85" s="451"/>
      <c r="DK85" s="452"/>
      <c r="DL85" s="453"/>
      <c r="DM85" s="449">
        <v>0</v>
      </c>
      <c r="DN85" s="450"/>
      <c r="DO85" s="451"/>
      <c r="DP85" s="452"/>
      <c r="DQ85" s="453"/>
      <c r="DR85" s="449">
        <v>0</v>
      </c>
      <c r="DS85" s="450"/>
      <c r="DT85" s="451"/>
      <c r="DU85" s="452"/>
      <c r="DV85" s="453"/>
      <c r="DW85" s="449">
        <v>0</v>
      </c>
      <c r="DX85" s="450"/>
      <c r="DY85" s="451"/>
      <c r="DZ85" s="452"/>
      <c r="EA85" s="453"/>
      <c r="EB85" s="449">
        <v>0</v>
      </c>
      <c r="EC85" s="450"/>
      <c r="ED85" s="451"/>
      <c r="EE85" s="452"/>
      <c r="EF85" s="453"/>
      <c r="EG85" s="449">
        <v>0</v>
      </c>
      <c r="EH85" s="450"/>
      <c r="EI85" s="451"/>
      <c r="EJ85" s="452"/>
      <c r="EK85" s="453"/>
      <c r="EL85" s="449">
        <f>SUM(CD85:EG85)</f>
        <v>0</v>
      </c>
      <c r="EM85" s="450"/>
      <c r="EN85" s="451"/>
      <c r="EO85" s="13"/>
      <c r="ER85" s="14"/>
      <c r="ES85" s="14"/>
    </row>
    <row r="86" spans="3:149" ht="12.75" hidden="1" customHeight="1" x14ac:dyDescent="0.2">
      <c r="D86" s="13" t="s">
        <v>349</v>
      </c>
      <c r="E86" s="452"/>
      <c r="F86" s="198"/>
      <c r="G86" s="451">
        <v>0</v>
      </c>
      <c r="H86" s="455"/>
      <c r="I86" s="451"/>
      <c r="J86" s="452"/>
      <c r="K86" s="452"/>
      <c r="L86" s="451">
        <v>0</v>
      </c>
      <c r="M86" s="455"/>
      <c r="N86" s="451"/>
      <c r="O86" s="452"/>
      <c r="P86" s="452"/>
      <c r="Q86" s="451">
        <v>0</v>
      </c>
      <c r="R86" s="455"/>
      <c r="S86" s="451"/>
      <c r="T86" s="452"/>
      <c r="U86" s="198"/>
      <c r="V86" s="451">
        <v>0</v>
      </c>
      <c r="W86" s="455"/>
      <c r="X86" s="451"/>
      <c r="Y86" s="452"/>
      <c r="Z86" s="452"/>
      <c r="AA86" s="451">
        <v>0</v>
      </c>
      <c r="AB86" s="455"/>
      <c r="AC86" s="451"/>
      <c r="AD86" s="452"/>
      <c r="AE86" s="452"/>
      <c r="AF86" s="451">
        <v>0</v>
      </c>
      <c r="AG86" s="455"/>
      <c r="AH86" s="451"/>
      <c r="AI86" s="452"/>
      <c r="AJ86" s="452"/>
      <c r="AK86" s="451">
        <v>0</v>
      </c>
      <c r="AL86" s="455"/>
      <c r="AM86" s="451"/>
      <c r="AN86" s="452"/>
      <c r="AO86" s="452"/>
      <c r="AP86" s="451">
        <v>0</v>
      </c>
      <c r="AQ86" s="455"/>
      <c r="AR86" s="451"/>
      <c r="AS86" s="452"/>
      <c r="AT86" s="452"/>
      <c r="AU86" s="451">
        <v>0</v>
      </c>
      <c r="AV86" s="455"/>
      <c r="AW86" s="451"/>
      <c r="AX86" s="452"/>
      <c r="AY86" s="452"/>
      <c r="AZ86" s="451">
        <v>0</v>
      </c>
      <c r="BA86" s="455"/>
      <c r="BB86" s="451"/>
      <c r="BC86" s="452"/>
      <c r="BD86" s="452"/>
      <c r="BE86" s="451">
        <v>0</v>
      </c>
      <c r="BF86" s="455"/>
      <c r="BG86" s="451"/>
      <c r="BH86" s="452"/>
      <c r="BI86" s="452"/>
      <c r="BJ86" s="451">
        <v>0</v>
      </c>
      <c r="BK86" s="455"/>
      <c r="BL86" s="451"/>
      <c r="BM86" s="452"/>
      <c r="BN86" s="452"/>
      <c r="BO86" s="451">
        <v>0</v>
      </c>
      <c r="BP86" s="455"/>
      <c r="BQ86" s="451"/>
      <c r="BR86" s="452"/>
      <c r="BS86" s="452"/>
      <c r="BT86" s="451">
        <f>SUM(L86:BO86)</f>
        <v>0</v>
      </c>
      <c r="BU86" s="455"/>
      <c r="BV86" s="451"/>
      <c r="BW86" s="452"/>
      <c r="BX86" s="452"/>
      <c r="BY86" s="451">
        <f>SUM(Q86:BT86)</f>
        <v>0</v>
      </c>
      <c r="BZ86" s="455"/>
      <c r="CA86" s="451"/>
      <c r="CB86" s="452"/>
      <c r="CC86" s="452"/>
      <c r="CD86" s="451">
        <v>0</v>
      </c>
      <c r="CE86" s="455"/>
      <c r="CF86" s="451"/>
      <c r="CG86" s="452"/>
      <c r="CH86" s="452"/>
      <c r="CI86" s="451">
        <v>0</v>
      </c>
      <c r="CJ86" s="455"/>
      <c r="CK86" s="451"/>
      <c r="CL86" s="452"/>
      <c r="CM86" s="198"/>
      <c r="CN86" s="451">
        <v>0</v>
      </c>
      <c r="CO86" s="455"/>
      <c r="CP86" s="451"/>
      <c r="CQ86" s="452"/>
      <c r="CR86" s="452"/>
      <c r="CS86" s="451">
        <v>0</v>
      </c>
      <c r="CT86" s="455"/>
      <c r="CU86" s="451"/>
      <c r="CV86" s="452"/>
      <c r="CW86" s="452"/>
      <c r="CX86" s="451">
        <v>0</v>
      </c>
      <c r="CY86" s="455"/>
      <c r="CZ86" s="451"/>
      <c r="DA86" s="452"/>
      <c r="DB86" s="452"/>
      <c r="DC86" s="451">
        <v>0</v>
      </c>
      <c r="DD86" s="455"/>
      <c r="DE86" s="451"/>
      <c r="DF86" s="452"/>
      <c r="DG86" s="452"/>
      <c r="DH86" s="451">
        <v>0</v>
      </c>
      <c r="DI86" s="455"/>
      <c r="DJ86" s="451"/>
      <c r="DK86" s="452"/>
      <c r="DL86" s="452"/>
      <c r="DM86" s="451">
        <v>0</v>
      </c>
      <c r="DN86" s="455"/>
      <c r="DO86" s="451"/>
      <c r="DP86" s="452"/>
      <c r="DQ86" s="452"/>
      <c r="DR86" s="451">
        <v>0</v>
      </c>
      <c r="DS86" s="455"/>
      <c r="DT86" s="451"/>
      <c r="DU86" s="452"/>
      <c r="DV86" s="452"/>
      <c r="DW86" s="451">
        <v>0</v>
      </c>
      <c r="DX86" s="455"/>
      <c r="DY86" s="451"/>
      <c r="DZ86" s="452"/>
      <c r="EA86" s="452"/>
      <c r="EB86" s="451">
        <v>0</v>
      </c>
      <c r="EC86" s="455"/>
      <c r="ED86" s="451"/>
      <c r="EE86" s="452"/>
      <c r="EF86" s="452"/>
      <c r="EG86" s="451">
        <v>0</v>
      </c>
      <c r="EH86" s="455"/>
      <c r="EI86" s="451"/>
      <c r="EJ86" s="452"/>
      <c r="EK86" s="452"/>
      <c r="EL86" s="451">
        <f>SUM(CD86:EG86)</f>
        <v>0</v>
      </c>
      <c r="EM86" s="455"/>
      <c r="EN86" s="451"/>
      <c r="EO86" s="13"/>
      <c r="ER86" s="14"/>
      <c r="ES86" s="14"/>
    </row>
    <row r="87" spans="3:149" ht="12.75" hidden="1" customHeight="1" x14ac:dyDescent="0.2">
      <c r="D87" s="13" t="s">
        <v>357</v>
      </c>
      <c r="E87" s="452"/>
      <c r="F87" s="385"/>
      <c r="G87" s="463">
        <v>0</v>
      </c>
      <c r="H87" s="464"/>
      <c r="I87" s="451"/>
      <c r="J87" s="452"/>
      <c r="K87" s="465"/>
      <c r="L87" s="463">
        <v>0</v>
      </c>
      <c r="M87" s="464"/>
      <c r="N87" s="451"/>
      <c r="O87" s="452"/>
      <c r="P87" s="465"/>
      <c r="Q87" s="463">
        <v>0</v>
      </c>
      <c r="R87" s="464"/>
      <c r="S87" s="451"/>
      <c r="T87" s="452"/>
      <c r="U87" s="385"/>
      <c r="V87" s="463">
        <v>0</v>
      </c>
      <c r="W87" s="464"/>
      <c r="X87" s="451"/>
      <c r="Y87" s="452"/>
      <c r="Z87" s="465"/>
      <c r="AA87" s="463">
        <v>0</v>
      </c>
      <c r="AB87" s="464"/>
      <c r="AC87" s="451"/>
      <c r="AD87" s="452"/>
      <c r="AE87" s="465"/>
      <c r="AF87" s="463">
        <v>0</v>
      </c>
      <c r="AG87" s="464"/>
      <c r="AH87" s="451"/>
      <c r="AI87" s="452"/>
      <c r="AJ87" s="465"/>
      <c r="AK87" s="463">
        <v>0</v>
      </c>
      <c r="AL87" s="464"/>
      <c r="AM87" s="451"/>
      <c r="AN87" s="452"/>
      <c r="AO87" s="465"/>
      <c r="AP87" s="463">
        <v>0</v>
      </c>
      <c r="AQ87" s="464"/>
      <c r="AR87" s="451"/>
      <c r="AS87" s="452"/>
      <c r="AT87" s="465"/>
      <c r="AU87" s="463">
        <v>0</v>
      </c>
      <c r="AV87" s="464"/>
      <c r="AW87" s="451"/>
      <c r="AX87" s="452"/>
      <c r="AY87" s="465"/>
      <c r="AZ87" s="463">
        <v>0</v>
      </c>
      <c r="BA87" s="464"/>
      <c r="BB87" s="451"/>
      <c r="BC87" s="452"/>
      <c r="BD87" s="465"/>
      <c r="BE87" s="463">
        <v>0</v>
      </c>
      <c r="BF87" s="464"/>
      <c r="BG87" s="451"/>
      <c r="BH87" s="452"/>
      <c r="BI87" s="465"/>
      <c r="BJ87" s="463">
        <v>0</v>
      </c>
      <c r="BK87" s="464"/>
      <c r="BL87" s="451"/>
      <c r="BM87" s="452"/>
      <c r="BN87" s="465"/>
      <c r="BO87" s="463">
        <v>0</v>
      </c>
      <c r="BP87" s="464"/>
      <c r="BQ87" s="451"/>
      <c r="BR87" s="452"/>
      <c r="BS87" s="465"/>
      <c r="BT87" s="463">
        <f>SUM(L87:BO87)</f>
        <v>0</v>
      </c>
      <c r="BU87" s="464"/>
      <c r="BV87" s="451"/>
      <c r="BW87" s="452"/>
      <c r="BX87" s="465"/>
      <c r="BY87" s="463">
        <f>SUM(Q87:BT87)</f>
        <v>0</v>
      </c>
      <c r="BZ87" s="464"/>
      <c r="CA87" s="451"/>
      <c r="CB87" s="452"/>
      <c r="CC87" s="465"/>
      <c r="CD87" s="463">
        <v>0</v>
      </c>
      <c r="CE87" s="464"/>
      <c r="CF87" s="451"/>
      <c r="CG87" s="452"/>
      <c r="CH87" s="465"/>
      <c r="CI87" s="463">
        <v>0</v>
      </c>
      <c r="CJ87" s="464"/>
      <c r="CK87" s="451"/>
      <c r="CL87" s="452"/>
      <c r="CM87" s="385"/>
      <c r="CN87" s="463">
        <v>0</v>
      </c>
      <c r="CO87" s="464"/>
      <c r="CP87" s="451"/>
      <c r="CQ87" s="452"/>
      <c r="CR87" s="465"/>
      <c r="CS87" s="463">
        <v>0</v>
      </c>
      <c r="CT87" s="464"/>
      <c r="CU87" s="451"/>
      <c r="CV87" s="452"/>
      <c r="CW87" s="465"/>
      <c r="CX87" s="463">
        <v>0</v>
      </c>
      <c r="CY87" s="464"/>
      <c r="CZ87" s="451"/>
      <c r="DA87" s="452"/>
      <c r="DB87" s="465"/>
      <c r="DC87" s="463">
        <v>0</v>
      </c>
      <c r="DD87" s="464"/>
      <c r="DE87" s="451"/>
      <c r="DF87" s="452"/>
      <c r="DG87" s="465"/>
      <c r="DH87" s="463">
        <v>0</v>
      </c>
      <c r="DI87" s="464"/>
      <c r="DJ87" s="451"/>
      <c r="DK87" s="452"/>
      <c r="DL87" s="465"/>
      <c r="DM87" s="463">
        <v>0</v>
      </c>
      <c r="DN87" s="464"/>
      <c r="DO87" s="451"/>
      <c r="DP87" s="452"/>
      <c r="DQ87" s="465"/>
      <c r="DR87" s="463">
        <v>0</v>
      </c>
      <c r="DS87" s="464"/>
      <c r="DT87" s="451"/>
      <c r="DU87" s="452"/>
      <c r="DV87" s="465"/>
      <c r="DW87" s="463">
        <v>0</v>
      </c>
      <c r="DX87" s="464"/>
      <c r="DY87" s="451"/>
      <c r="DZ87" s="452"/>
      <c r="EA87" s="465"/>
      <c r="EB87" s="463">
        <v>0</v>
      </c>
      <c r="EC87" s="464"/>
      <c r="ED87" s="451"/>
      <c r="EE87" s="452"/>
      <c r="EF87" s="465"/>
      <c r="EG87" s="463">
        <v>0</v>
      </c>
      <c r="EH87" s="464"/>
      <c r="EI87" s="451"/>
      <c r="EJ87" s="452"/>
      <c r="EK87" s="465"/>
      <c r="EL87" s="463">
        <f>SUM(CD87:EG87)</f>
        <v>0</v>
      </c>
      <c r="EM87" s="464"/>
      <c r="EN87" s="451"/>
      <c r="EO87" s="13"/>
      <c r="ER87" s="14"/>
      <c r="ES87" s="14"/>
    </row>
    <row r="88" spans="3:149" ht="12.75" hidden="1" customHeight="1" x14ac:dyDescent="0.2">
      <c r="D88" s="13"/>
      <c r="E88" s="452"/>
      <c r="G88" s="451"/>
      <c r="H88" s="451"/>
      <c r="I88" s="451"/>
      <c r="J88" s="452"/>
      <c r="K88" s="451"/>
      <c r="L88" s="451"/>
      <c r="M88" s="451"/>
      <c r="N88" s="451"/>
      <c r="O88" s="452"/>
      <c r="P88" s="451"/>
      <c r="Q88" s="451"/>
      <c r="R88" s="451"/>
      <c r="S88" s="451"/>
      <c r="T88" s="452"/>
      <c r="U88" s="451"/>
      <c r="V88" s="451"/>
      <c r="W88" s="451"/>
      <c r="X88" s="451"/>
      <c r="Y88" s="452"/>
      <c r="Z88" s="451"/>
      <c r="AA88" s="451"/>
      <c r="AB88" s="451"/>
      <c r="AC88" s="451"/>
      <c r="AD88" s="452"/>
      <c r="AE88" s="451"/>
      <c r="AF88" s="451"/>
      <c r="AG88" s="451"/>
      <c r="AH88" s="451"/>
      <c r="AI88" s="452"/>
      <c r="AJ88" s="451"/>
      <c r="AK88" s="451"/>
      <c r="AL88" s="451"/>
      <c r="AM88" s="451"/>
      <c r="AN88" s="452"/>
      <c r="AO88" s="451"/>
      <c r="AP88" s="451"/>
      <c r="AQ88" s="451"/>
      <c r="AR88" s="451"/>
      <c r="AS88" s="452"/>
      <c r="AT88" s="451"/>
      <c r="AU88" s="451"/>
      <c r="AV88" s="451"/>
      <c r="AW88" s="451"/>
      <c r="AX88" s="452"/>
      <c r="AY88" s="451"/>
      <c r="AZ88" s="451"/>
      <c r="BA88" s="451"/>
      <c r="BB88" s="451"/>
      <c r="BC88" s="452"/>
      <c r="BD88" s="451"/>
      <c r="BE88" s="451"/>
      <c r="BF88" s="451"/>
      <c r="BG88" s="451"/>
      <c r="BH88" s="452"/>
      <c r="BI88" s="451"/>
      <c r="BJ88" s="451"/>
      <c r="BK88" s="451"/>
      <c r="BL88" s="451"/>
      <c r="BM88" s="452"/>
      <c r="BN88" s="451"/>
      <c r="BO88" s="451"/>
      <c r="BP88" s="451"/>
      <c r="BQ88" s="451"/>
      <c r="BR88" s="452"/>
      <c r="BS88" s="451"/>
      <c r="BT88" s="451"/>
      <c r="BU88" s="451"/>
      <c r="BV88" s="451"/>
      <c r="BW88" s="452"/>
      <c r="BX88" s="451"/>
      <c r="BY88" s="451"/>
      <c r="BZ88" s="451"/>
      <c r="CA88" s="451"/>
      <c r="CB88" s="452"/>
      <c r="CC88" s="451"/>
      <c r="CD88" s="451"/>
      <c r="CE88" s="451"/>
      <c r="CF88" s="451"/>
      <c r="CG88" s="452"/>
      <c r="CH88" s="451"/>
      <c r="CI88" s="451"/>
      <c r="CJ88" s="451"/>
      <c r="CK88" s="451"/>
      <c r="CL88" s="452"/>
      <c r="CM88" s="451"/>
      <c r="CN88" s="451"/>
      <c r="CO88" s="451"/>
      <c r="CP88" s="451"/>
      <c r="CQ88" s="452"/>
      <c r="CR88" s="451"/>
      <c r="CS88" s="451"/>
      <c r="CT88" s="451"/>
      <c r="CU88" s="451"/>
      <c r="CV88" s="452"/>
      <c r="CW88" s="451"/>
      <c r="CX88" s="451"/>
      <c r="CY88" s="451"/>
      <c r="CZ88" s="451"/>
      <c r="DA88" s="452"/>
      <c r="DB88" s="451"/>
      <c r="DC88" s="451"/>
      <c r="DD88" s="451"/>
      <c r="DE88" s="451"/>
      <c r="DF88" s="452"/>
      <c r="DG88" s="451"/>
      <c r="DH88" s="451"/>
      <c r="DI88" s="451"/>
      <c r="DJ88" s="451"/>
      <c r="DK88" s="452"/>
      <c r="DL88" s="451"/>
      <c r="DM88" s="451"/>
      <c r="DN88" s="451"/>
      <c r="DO88" s="451"/>
      <c r="DP88" s="452"/>
      <c r="DQ88" s="451"/>
      <c r="DR88" s="451"/>
      <c r="DS88" s="451"/>
      <c r="DT88" s="451"/>
      <c r="DU88" s="452"/>
      <c r="DV88" s="451"/>
      <c r="DW88" s="451"/>
      <c r="DX88" s="451"/>
      <c r="DY88" s="451"/>
      <c r="DZ88" s="452"/>
      <c r="EA88" s="451"/>
      <c r="EB88" s="451"/>
      <c r="EC88" s="451"/>
      <c r="ED88" s="451"/>
      <c r="EE88" s="452"/>
      <c r="EF88" s="451"/>
      <c r="EG88" s="451"/>
      <c r="EH88" s="451"/>
      <c r="EI88" s="451"/>
      <c r="EJ88" s="452"/>
      <c r="EK88" s="451"/>
      <c r="EL88" s="451"/>
      <c r="EM88" s="451"/>
      <c r="EN88" s="451"/>
      <c r="EO88" s="13"/>
      <c r="ER88" s="14"/>
      <c r="ES88" s="14"/>
    </row>
    <row r="89" spans="3:149" ht="12.75" hidden="1" customHeight="1" x14ac:dyDescent="0.2">
      <c r="C89" s="190"/>
      <c r="D89" s="189" t="s">
        <v>364</v>
      </c>
      <c r="E89" s="452"/>
      <c r="G89" s="451">
        <f>SUM(G90:G92)</f>
        <v>0</v>
      </c>
      <c r="H89" s="451"/>
      <c r="I89" s="451"/>
      <c r="J89" s="452"/>
      <c r="K89" s="451"/>
      <c r="L89" s="451">
        <f>SUM(L90:L92)</f>
        <v>0</v>
      </c>
      <c r="M89" s="451"/>
      <c r="N89" s="451"/>
      <c r="O89" s="452"/>
      <c r="P89" s="451"/>
      <c r="Q89" s="451">
        <f>SUM(Q90:Q92)</f>
        <v>0</v>
      </c>
      <c r="R89" s="451"/>
      <c r="S89" s="451"/>
      <c r="T89" s="452"/>
      <c r="U89" s="451"/>
      <c r="V89" s="451">
        <f>SUM(V90:V92)</f>
        <v>0</v>
      </c>
      <c r="W89" s="451"/>
      <c r="X89" s="451"/>
      <c r="Y89" s="452"/>
      <c r="Z89" s="451"/>
      <c r="AA89" s="451">
        <f>SUM(AA90:AA92)</f>
        <v>0</v>
      </c>
      <c r="AB89" s="451"/>
      <c r="AC89" s="451"/>
      <c r="AD89" s="452"/>
      <c r="AE89" s="451"/>
      <c r="AF89" s="451">
        <f>SUM(AF90:AF92)</f>
        <v>0</v>
      </c>
      <c r="AG89" s="451"/>
      <c r="AH89" s="451"/>
      <c r="AI89" s="452"/>
      <c r="AJ89" s="451"/>
      <c r="AK89" s="451">
        <f>SUM(AK90:AK92)</f>
        <v>0</v>
      </c>
      <c r="AL89" s="451"/>
      <c r="AM89" s="451"/>
      <c r="AN89" s="452"/>
      <c r="AO89" s="451"/>
      <c r="AP89" s="451">
        <f>SUM(AP90:AP92)</f>
        <v>0</v>
      </c>
      <c r="AQ89" s="451"/>
      <c r="AR89" s="451"/>
      <c r="AS89" s="452"/>
      <c r="AT89" s="451"/>
      <c r="AU89" s="451">
        <f>SUM(AU90:AU92)</f>
        <v>0</v>
      </c>
      <c r="AV89" s="451"/>
      <c r="AW89" s="451"/>
      <c r="AX89" s="452"/>
      <c r="AY89" s="451"/>
      <c r="AZ89" s="451">
        <f>SUM(AZ90:AZ92)</f>
        <v>0</v>
      </c>
      <c r="BA89" s="451"/>
      <c r="BB89" s="451"/>
      <c r="BC89" s="452"/>
      <c r="BD89" s="451"/>
      <c r="BE89" s="451">
        <f>SUM(BE90:BE92)</f>
        <v>0</v>
      </c>
      <c r="BF89" s="451"/>
      <c r="BG89" s="451"/>
      <c r="BH89" s="452"/>
      <c r="BI89" s="451"/>
      <c r="BJ89" s="451">
        <f>SUM(BJ90:BJ92)</f>
        <v>0</v>
      </c>
      <c r="BK89" s="451"/>
      <c r="BL89" s="451"/>
      <c r="BM89" s="452"/>
      <c r="BN89" s="451"/>
      <c r="BO89" s="451">
        <f>SUM(BO90:BO92)</f>
        <v>0</v>
      </c>
      <c r="BP89" s="451"/>
      <c r="BQ89" s="451"/>
      <c r="BR89" s="452"/>
      <c r="BS89" s="451"/>
      <c r="BT89" s="451">
        <f>SUM(BT90:BT92)</f>
        <v>0</v>
      </c>
      <c r="BU89" s="451"/>
      <c r="BV89" s="451"/>
      <c r="BW89" s="452"/>
      <c r="BX89" s="451"/>
      <c r="BY89" s="451">
        <f>SUM(BY90:BY92)</f>
        <v>0</v>
      </c>
      <c r="BZ89" s="451"/>
      <c r="CA89" s="451"/>
      <c r="CB89" s="452"/>
      <c r="CC89" s="451"/>
      <c r="CD89" s="451">
        <f>SUM(CD90:CD92)</f>
        <v>0</v>
      </c>
      <c r="CE89" s="451"/>
      <c r="CF89" s="451"/>
      <c r="CG89" s="452"/>
      <c r="CH89" s="451"/>
      <c r="CI89" s="451">
        <f>SUM(CI90:CI92)</f>
        <v>0</v>
      </c>
      <c r="CJ89" s="451"/>
      <c r="CK89" s="451"/>
      <c r="CL89" s="452"/>
      <c r="CM89" s="451"/>
      <c r="CN89" s="451">
        <f>SUM(CN90:CN92)</f>
        <v>0</v>
      </c>
      <c r="CO89" s="451"/>
      <c r="CP89" s="451"/>
      <c r="CQ89" s="452"/>
      <c r="CR89" s="451"/>
      <c r="CS89" s="451">
        <f>SUM(CS90:CS92)</f>
        <v>0</v>
      </c>
      <c r="CT89" s="451"/>
      <c r="CU89" s="451"/>
      <c r="CV89" s="452"/>
      <c r="CW89" s="451"/>
      <c r="CX89" s="451">
        <f>SUM(CX90:CX92)</f>
        <v>0</v>
      </c>
      <c r="CY89" s="451"/>
      <c r="CZ89" s="451"/>
      <c r="DA89" s="452"/>
      <c r="DB89" s="451"/>
      <c r="DC89" s="451">
        <f>SUM(DC90:DC92)</f>
        <v>0</v>
      </c>
      <c r="DD89" s="451"/>
      <c r="DE89" s="451"/>
      <c r="DF89" s="452"/>
      <c r="DG89" s="451"/>
      <c r="DH89" s="451">
        <f>SUM(DH90:DH92)</f>
        <v>0</v>
      </c>
      <c r="DI89" s="451"/>
      <c r="DJ89" s="451"/>
      <c r="DK89" s="452"/>
      <c r="DL89" s="451"/>
      <c r="DM89" s="451">
        <f>SUM(DM90:DM92)</f>
        <v>0</v>
      </c>
      <c r="DN89" s="451"/>
      <c r="DO89" s="451"/>
      <c r="DP89" s="452"/>
      <c r="DQ89" s="451"/>
      <c r="DR89" s="451">
        <f>SUM(DR90:DR92)</f>
        <v>0</v>
      </c>
      <c r="DS89" s="451"/>
      <c r="DT89" s="451"/>
      <c r="DU89" s="452"/>
      <c r="DV89" s="451"/>
      <c r="DW89" s="451">
        <f>SUM(DW90:DW92)</f>
        <v>0</v>
      </c>
      <c r="DX89" s="451"/>
      <c r="DY89" s="451"/>
      <c r="DZ89" s="452"/>
      <c r="EA89" s="451"/>
      <c r="EB89" s="451">
        <f>SUM(EB90:EB92)</f>
        <v>0</v>
      </c>
      <c r="EC89" s="451"/>
      <c r="ED89" s="451"/>
      <c r="EE89" s="452"/>
      <c r="EF89" s="451"/>
      <c r="EG89" s="451">
        <f>SUM(EG90:EG92)</f>
        <v>0</v>
      </c>
      <c r="EH89" s="451"/>
      <c r="EI89" s="451"/>
      <c r="EJ89" s="452"/>
      <c r="EK89" s="451"/>
      <c r="EL89" s="451">
        <f>SUM(EL90:EL92)</f>
        <v>0</v>
      </c>
      <c r="EM89" s="451"/>
      <c r="EN89" s="451"/>
      <c r="EO89" s="13"/>
      <c r="ER89" s="14"/>
      <c r="ES89" s="14"/>
    </row>
    <row r="90" spans="3:149" ht="12.75" hidden="1" customHeight="1" x14ac:dyDescent="0.2">
      <c r="D90" s="13" t="s">
        <v>347</v>
      </c>
      <c r="E90" s="452"/>
      <c r="F90" s="374"/>
      <c r="G90" s="449">
        <v>0</v>
      </c>
      <c r="H90" s="450"/>
      <c r="I90" s="451"/>
      <c r="J90" s="452"/>
      <c r="K90" s="453"/>
      <c r="L90" s="449">
        <v>0</v>
      </c>
      <c r="M90" s="450"/>
      <c r="N90" s="451"/>
      <c r="O90" s="452"/>
      <c r="P90" s="453"/>
      <c r="Q90" s="449">
        <v>0</v>
      </c>
      <c r="R90" s="450"/>
      <c r="S90" s="451"/>
      <c r="T90" s="452"/>
      <c r="U90" s="453"/>
      <c r="V90" s="449">
        <v>0</v>
      </c>
      <c r="W90" s="450"/>
      <c r="X90" s="451"/>
      <c r="Y90" s="452"/>
      <c r="Z90" s="453"/>
      <c r="AA90" s="449">
        <v>0</v>
      </c>
      <c r="AB90" s="450"/>
      <c r="AC90" s="451"/>
      <c r="AD90" s="452"/>
      <c r="AE90" s="453"/>
      <c r="AF90" s="449">
        <v>0</v>
      </c>
      <c r="AG90" s="450"/>
      <c r="AH90" s="451"/>
      <c r="AI90" s="452"/>
      <c r="AJ90" s="453"/>
      <c r="AK90" s="449">
        <v>0</v>
      </c>
      <c r="AL90" s="450"/>
      <c r="AM90" s="451"/>
      <c r="AN90" s="452"/>
      <c r="AO90" s="453"/>
      <c r="AP90" s="449">
        <v>0</v>
      </c>
      <c r="AQ90" s="450"/>
      <c r="AR90" s="451"/>
      <c r="AS90" s="452"/>
      <c r="AT90" s="453"/>
      <c r="AU90" s="449">
        <v>0</v>
      </c>
      <c r="AV90" s="450"/>
      <c r="AW90" s="451"/>
      <c r="AX90" s="452"/>
      <c r="AY90" s="453"/>
      <c r="AZ90" s="449">
        <v>0</v>
      </c>
      <c r="BA90" s="450"/>
      <c r="BB90" s="451"/>
      <c r="BC90" s="452"/>
      <c r="BD90" s="453"/>
      <c r="BE90" s="449">
        <v>0</v>
      </c>
      <c r="BF90" s="450"/>
      <c r="BG90" s="451"/>
      <c r="BH90" s="452"/>
      <c r="BI90" s="453"/>
      <c r="BJ90" s="449">
        <v>0</v>
      </c>
      <c r="BK90" s="450"/>
      <c r="BL90" s="451"/>
      <c r="BM90" s="452"/>
      <c r="BN90" s="453"/>
      <c r="BO90" s="449">
        <v>0</v>
      </c>
      <c r="BP90" s="450"/>
      <c r="BQ90" s="451"/>
      <c r="BR90" s="452"/>
      <c r="BS90" s="453"/>
      <c r="BT90" s="449">
        <f>SUM(L90:BO90)</f>
        <v>0</v>
      </c>
      <c r="BU90" s="450"/>
      <c r="BV90" s="451"/>
      <c r="BW90" s="452"/>
      <c r="BX90" s="453"/>
      <c r="BY90" s="449">
        <f>SUM(Q90:BT90)</f>
        <v>0</v>
      </c>
      <c r="BZ90" s="450"/>
      <c r="CA90" s="451"/>
      <c r="CB90" s="452"/>
      <c r="CC90" s="453"/>
      <c r="CD90" s="449">
        <v>0</v>
      </c>
      <c r="CE90" s="450"/>
      <c r="CF90" s="451"/>
      <c r="CG90" s="452"/>
      <c r="CH90" s="453"/>
      <c r="CI90" s="449">
        <v>0</v>
      </c>
      <c r="CJ90" s="450"/>
      <c r="CK90" s="451"/>
      <c r="CL90" s="452"/>
      <c r="CM90" s="453"/>
      <c r="CN90" s="449">
        <v>0</v>
      </c>
      <c r="CO90" s="450"/>
      <c r="CP90" s="451"/>
      <c r="CQ90" s="452"/>
      <c r="CR90" s="453"/>
      <c r="CS90" s="449">
        <v>0</v>
      </c>
      <c r="CT90" s="450"/>
      <c r="CU90" s="451"/>
      <c r="CV90" s="452"/>
      <c r="CW90" s="453"/>
      <c r="CX90" s="449">
        <v>0</v>
      </c>
      <c r="CY90" s="450"/>
      <c r="CZ90" s="451"/>
      <c r="DA90" s="452"/>
      <c r="DB90" s="453"/>
      <c r="DC90" s="449">
        <v>0</v>
      </c>
      <c r="DD90" s="450"/>
      <c r="DE90" s="451"/>
      <c r="DF90" s="452"/>
      <c r="DG90" s="453"/>
      <c r="DH90" s="449">
        <v>0</v>
      </c>
      <c r="DI90" s="450"/>
      <c r="DJ90" s="451"/>
      <c r="DK90" s="452"/>
      <c r="DL90" s="453"/>
      <c r="DM90" s="449">
        <v>0</v>
      </c>
      <c r="DN90" s="450"/>
      <c r="DO90" s="451"/>
      <c r="DP90" s="452"/>
      <c r="DQ90" s="453"/>
      <c r="DR90" s="449">
        <v>0</v>
      </c>
      <c r="DS90" s="450"/>
      <c r="DT90" s="451"/>
      <c r="DU90" s="452"/>
      <c r="DV90" s="453"/>
      <c r="DW90" s="449">
        <v>0</v>
      </c>
      <c r="DX90" s="450"/>
      <c r="DY90" s="451"/>
      <c r="DZ90" s="452"/>
      <c r="EA90" s="453"/>
      <c r="EB90" s="449">
        <v>0</v>
      </c>
      <c r="EC90" s="450"/>
      <c r="ED90" s="451"/>
      <c r="EE90" s="452"/>
      <c r="EF90" s="453"/>
      <c r="EG90" s="449">
        <v>0</v>
      </c>
      <c r="EH90" s="450"/>
      <c r="EI90" s="451"/>
      <c r="EJ90" s="452"/>
      <c r="EK90" s="453"/>
      <c r="EL90" s="449">
        <f>SUM(CD90:EG90)</f>
        <v>0</v>
      </c>
      <c r="EM90" s="450"/>
      <c r="EN90" s="451"/>
      <c r="EO90" s="13"/>
      <c r="ER90" s="14"/>
      <c r="ES90" s="14"/>
    </row>
    <row r="91" spans="3:149" ht="12.75" hidden="1" customHeight="1" x14ac:dyDescent="0.2">
      <c r="D91" s="13" t="s">
        <v>349</v>
      </c>
      <c r="E91" s="452"/>
      <c r="F91" s="198"/>
      <c r="G91" s="451">
        <v>0</v>
      </c>
      <c r="H91" s="455"/>
      <c r="I91" s="451"/>
      <c r="J91" s="452"/>
      <c r="K91" s="452"/>
      <c r="L91" s="451">
        <v>0</v>
      </c>
      <c r="M91" s="455"/>
      <c r="N91" s="451"/>
      <c r="O91" s="452"/>
      <c r="P91" s="452"/>
      <c r="Q91" s="451">
        <v>0</v>
      </c>
      <c r="R91" s="455"/>
      <c r="S91" s="451"/>
      <c r="T91" s="452"/>
      <c r="U91" s="452"/>
      <c r="V91" s="451">
        <v>0</v>
      </c>
      <c r="W91" s="455"/>
      <c r="X91" s="451"/>
      <c r="Y91" s="452"/>
      <c r="Z91" s="452"/>
      <c r="AA91" s="451">
        <v>0</v>
      </c>
      <c r="AB91" s="455"/>
      <c r="AC91" s="451"/>
      <c r="AD91" s="452"/>
      <c r="AE91" s="452"/>
      <c r="AF91" s="451">
        <v>0</v>
      </c>
      <c r="AG91" s="455"/>
      <c r="AH91" s="451"/>
      <c r="AI91" s="452"/>
      <c r="AJ91" s="452"/>
      <c r="AK91" s="451">
        <v>0</v>
      </c>
      <c r="AL91" s="455"/>
      <c r="AM91" s="451"/>
      <c r="AN91" s="452"/>
      <c r="AO91" s="452"/>
      <c r="AP91" s="451">
        <v>0</v>
      </c>
      <c r="AQ91" s="455"/>
      <c r="AR91" s="451"/>
      <c r="AS91" s="452"/>
      <c r="AT91" s="452"/>
      <c r="AU91" s="451">
        <v>0</v>
      </c>
      <c r="AV91" s="455"/>
      <c r="AW91" s="451"/>
      <c r="AX91" s="452"/>
      <c r="AY91" s="452"/>
      <c r="AZ91" s="451">
        <v>0</v>
      </c>
      <c r="BA91" s="455"/>
      <c r="BB91" s="451"/>
      <c r="BC91" s="452"/>
      <c r="BD91" s="452"/>
      <c r="BE91" s="451">
        <v>0</v>
      </c>
      <c r="BF91" s="455"/>
      <c r="BG91" s="451"/>
      <c r="BH91" s="452"/>
      <c r="BI91" s="452"/>
      <c r="BJ91" s="451">
        <v>0</v>
      </c>
      <c r="BK91" s="455"/>
      <c r="BL91" s="451"/>
      <c r="BM91" s="452"/>
      <c r="BN91" s="452"/>
      <c r="BO91" s="451">
        <v>0</v>
      </c>
      <c r="BP91" s="455"/>
      <c r="BQ91" s="451"/>
      <c r="BR91" s="452"/>
      <c r="BS91" s="452"/>
      <c r="BT91" s="451">
        <f>SUM(L91:BO91)</f>
        <v>0</v>
      </c>
      <c r="BU91" s="455"/>
      <c r="BV91" s="451"/>
      <c r="BW91" s="452"/>
      <c r="BX91" s="452"/>
      <c r="BY91" s="451">
        <f>SUM(Q91:BT91)</f>
        <v>0</v>
      </c>
      <c r="BZ91" s="455"/>
      <c r="CA91" s="451"/>
      <c r="CB91" s="452"/>
      <c r="CC91" s="452"/>
      <c r="CD91" s="451">
        <v>0</v>
      </c>
      <c r="CE91" s="455"/>
      <c r="CF91" s="451"/>
      <c r="CG91" s="452"/>
      <c r="CH91" s="452"/>
      <c r="CI91" s="451">
        <v>0</v>
      </c>
      <c r="CJ91" s="455"/>
      <c r="CK91" s="451"/>
      <c r="CL91" s="452"/>
      <c r="CM91" s="452"/>
      <c r="CN91" s="451">
        <v>0</v>
      </c>
      <c r="CO91" s="455"/>
      <c r="CP91" s="451"/>
      <c r="CQ91" s="452"/>
      <c r="CR91" s="452"/>
      <c r="CS91" s="451">
        <v>0</v>
      </c>
      <c r="CT91" s="455"/>
      <c r="CU91" s="451"/>
      <c r="CV91" s="452"/>
      <c r="CW91" s="452"/>
      <c r="CX91" s="451">
        <v>0</v>
      </c>
      <c r="CY91" s="455"/>
      <c r="CZ91" s="451"/>
      <c r="DA91" s="452"/>
      <c r="DB91" s="452"/>
      <c r="DC91" s="451">
        <v>0</v>
      </c>
      <c r="DD91" s="455"/>
      <c r="DE91" s="451"/>
      <c r="DF91" s="452"/>
      <c r="DG91" s="452"/>
      <c r="DH91" s="451">
        <v>0</v>
      </c>
      <c r="DI91" s="455"/>
      <c r="DJ91" s="451"/>
      <c r="DK91" s="452"/>
      <c r="DL91" s="452"/>
      <c r="DM91" s="451">
        <v>0</v>
      </c>
      <c r="DN91" s="455"/>
      <c r="DO91" s="451"/>
      <c r="DP91" s="452"/>
      <c r="DQ91" s="452"/>
      <c r="DR91" s="451">
        <v>0</v>
      </c>
      <c r="DS91" s="455"/>
      <c r="DT91" s="451"/>
      <c r="DU91" s="452"/>
      <c r="DV91" s="452"/>
      <c r="DW91" s="451">
        <v>0</v>
      </c>
      <c r="DX91" s="455"/>
      <c r="DY91" s="451"/>
      <c r="DZ91" s="452"/>
      <c r="EA91" s="452"/>
      <c r="EB91" s="451">
        <v>0</v>
      </c>
      <c r="EC91" s="455"/>
      <c r="ED91" s="451"/>
      <c r="EE91" s="452"/>
      <c r="EF91" s="452"/>
      <c r="EG91" s="451">
        <v>0</v>
      </c>
      <c r="EH91" s="455"/>
      <c r="EI91" s="451"/>
      <c r="EJ91" s="452"/>
      <c r="EK91" s="452"/>
      <c r="EL91" s="451">
        <f>SUM(CD91:EG91)</f>
        <v>0</v>
      </c>
      <c r="EM91" s="455"/>
      <c r="EN91" s="451"/>
      <c r="EO91" s="13"/>
      <c r="ER91" s="14"/>
      <c r="ES91" s="14"/>
    </row>
    <row r="92" spans="3:149" ht="12.75" hidden="1" customHeight="1" x14ac:dyDescent="0.2">
      <c r="D92" s="13" t="s">
        <v>357</v>
      </c>
      <c r="E92" s="452"/>
      <c r="F92" s="385"/>
      <c r="G92" s="463">
        <v>0</v>
      </c>
      <c r="H92" s="464"/>
      <c r="I92" s="451"/>
      <c r="J92" s="452"/>
      <c r="K92" s="465"/>
      <c r="L92" s="463">
        <v>0</v>
      </c>
      <c r="M92" s="464"/>
      <c r="N92" s="451"/>
      <c r="O92" s="452"/>
      <c r="P92" s="465"/>
      <c r="Q92" s="463">
        <v>0</v>
      </c>
      <c r="R92" s="464"/>
      <c r="S92" s="451"/>
      <c r="T92" s="452"/>
      <c r="U92" s="465"/>
      <c r="V92" s="463">
        <v>0</v>
      </c>
      <c r="W92" s="464"/>
      <c r="X92" s="451"/>
      <c r="Y92" s="452"/>
      <c r="Z92" s="465"/>
      <c r="AA92" s="463">
        <v>0</v>
      </c>
      <c r="AB92" s="464"/>
      <c r="AC92" s="451"/>
      <c r="AD92" s="452"/>
      <c r="AE92" s="465"/>
      <c r="AF92" s="463">
        <v>0</v>
      </c>
      <c r="AG92" s="464"/>
      <c r="AH92" s="451"/>
      <c r="AI92" s="452"/>
      <c r="AJ92" s="465"/>
      <c r="AK92" s="463">
        <v>0</v>
      </c>
      <c r="AL92" s="464"/>
      <c r="AM92" s="451"/>
      <c r="AN92" s="452"/>
      <c r="AO92" s="465"/>
      <c r="AP92" s="463">
        <v>0</v>
      </c>
      <c r="AQ92" s="464"/>
      <c r="AR92" s="451"/>
      <c r="AS92" s="452"/>
      <c r="AT92" s="465"/>
      <c r="AU92" s="463">
        <v>0</v>
      </c>
      <c r="AV92" s="464"/>
      <c r="AW92" s="451"/>
      <c r="AX92" s="452"/>
      <c r="AY92" s="465"/>
      <c r="AZ92" s="463">
        <v>0</v>
      </c>
      <c r="BA92" s="464"/>
      <c r="BB92" s="451"/>
      <c r="BC92" s="452"/>
      <c r="BD92" s="465"/>
      <c r="BE92" s="463">
        <v>0</v>
      </c>
      <c r="BF92" s="464"/>
      <c r="BG92" s="451"/>
      <c r="BH92" s="452"/>
      <c r="BI92" s="465"/>
      <c r="BJ92" s="463">
        <v>0</v>
      </c>
      <c r="BK92" s="464"/>
      <c r="BL92" s="451"/>
      <c r="BM92" s="452"/>
      <c r="BN92" s="465"/>
      <c r="BO92" s="463">
        <v>0</v>
      </c>
      <c r="BP92" s="464"/>
      <c r="BQ92" s="451"/>
      <c r="BR92" s="452"/>
      <c r="BS92" s="465"/>
      <c r="BT92" s="463">
        <f>SUM(L92:BO92)</f>
        <v>0</v>
      </c>
      <c r="BU92" s="464"/>
      <c r="BV92" s="451"/>
      <c r="BW92" s="452"/>
      <c r="BX92" s="465"/>
      <c r="BY92" s="463">
        <f>SUM(Q92:BT92)</f>
        <v>0</v>
      </c>
      <c r="BZ92" s="464"/>
      <c r="CA92" s="451"/>
      <c r="CB92" s="452"/>
      <c r="CC92" s="465"/>
      <c r="CD92" s="463">
        <v>0</v>
      </c>
      <c r="CE92" s="464"/>
      <c r="CF92" s="451"/>
      <c r="CG92" s="452"/>
      <c r="CH92" s="465"/>
      <c r="CI92" s="463">
        <v>0</v>
      </c>
      <c r="CJ92" s="464"/>
      <c r="CK92" s="451"/>
      <c r="CL92" s="452"/>
      <c r="CM92" s="465"/>
      <c r="CN92" s="463">
        <v>0</v>
      </c>
      <c r="CO92" s="464"/>
      <c r="CP92" s="451"/>
      <c r="CQ92" s="452"/>
      <c r="CR92" s="465"/>
      <c r="CS92" s="463">
        <v>0</v>
      </c>
      <c r="CT92" s="464"/>
      <c r="CU92" s="451"/>
      <c r="CV92" s="452"/>
      <c r="CW92" s="465"/>
      <c r="CX92" s="463">
        <v>0</v>
      </c>
      <c r="CY92" s="464"/>
      <c r="CZ92" s="451"/>
      <c r="DA92" s="452"/>
      <c r="DB92" s="465"/>
      <c r="DC92" s="463">
        <v>0</v>
      </c>
      <c r="DD92" s="464"/>
      <c r="DE92" s="451"/>
      <c r="DF92" s="452"/>
      <c r="DG92" s="465"/>
      <c r="DH92" s="463">
        <v>0</v>
      </c>
      <c r="DI92" s="464"/>
      <c r="DJ92" s="451"/>
      <c r="DK92" s="452"/>
      <c r="DL92" s="465"/>
      <c r="DM92" s="463">
        <v>0</v>
      </c>
      <c r="DN92" s="464"/>
      <c r="DO92" s="451"/>
      <c r="DP92" s="452"/>
      <c r="DQ92" s="465"/>
      <c r="DR92" s="463">
        <v>0</v>
      </c>
      <c r="DS92" s="464"/>
      <c r="DT92" s="451"/>
      <c r="DU92" s="452"/>
      <c r="DV92" s="465"/>
      <c r="DW92" s="463">
        <v>0</v>
      </c>
      <c r="DX92" s="464"/>
      <c r="DY92" s="451"/>
      <c r="DZ92" s="452"/>
      <c r="EA92" s="465"/>
      <c r="EB92" s="463">
        <v>0</v>
      </c>
      <c r="EC92" s="464"/>
      <c r="ED92" s="451"/>
      <c r="EE92" s="452"/>
      <c r="EF92" s="465"/>
      <c r="EG92" s="463">
        <v>0</v>
      </c>
      <c r="EH92" s="464"/>
      <c r="EI92" s="451"/>
      <c r="EJ92" s="452"/>
      <c r="EK92" s="465"/>
      <c r="EL92" s="463">
        <f>SUM(CD92:EG92)</f>
        <v>0</v>
      </c>
      <c r="EM92" s="464"/>
      <c r="EN92" s="451"/>
      <c r="EO92" s="13"/>
      <c r="ER92" s="14"/>
      <c r="ES92" s="14"/>
    </row>
    <row r="93" spans="3:149" ht="12.75" hidden="1" customHeight="1" x14ac:dyDescent="0.2">
      <c r="D93" s="13"/>
      <c r="E93" s="452"/>
      <c r="G93" s="451"/>
      <c r="H93" s="451"/>
      <c r="I93" s="451"/>
      <c r="J93" s="452"/>
      <c r="K93" s="451"/>
      <c r="L93" s="451"/>
      <c r="M93" s="451"/>
      <c r="N93" s="451"/>
      <c r="O93" s="452"/>
      <c r="P93" s="451"/>
      <c r="Q93" s="451"/>
      <c r="R93" s="451"/>
      <c r="S93" s="451"/>
      <c r="T93" s="452"/>
      <c r="U93" s="451"/>
      <c r="V93" s="451"/>
      <c r="W93" s="451"/>
      <c r="X93" s="451"/>
      <c r="Y93" s="452"/>
      <c r="Z93" s="451"/>
      <c r="AA93" s="451"/>
      <c r="AB93" s="451"/>
      <c r="AC93" s="451"/>
      <c r="AD93" s="452"/>
      <c r="AE93" s="451"/>
      <c r="AF93" s="451"/>
      <c r="AG93" s="451"/>
      <c r="AH93" s="451"/>
      <c r="AI93" s="452"/>
      <c r="AJ93" s="451"/>
      <c r="AK93" s="451"/>
      <c r="AL93" s="451"/>
      <c r="AM93" s="451"/>
      <c r="AN93" s="452"/>
      <c r="AO93" s="451"/>
      <c r="AP93" s="451"/>
      <c r="AQ93" s="451"/>
      <c r="AR93" s="451"/>
      <c r="AS93" s="452"/>
      <c r="AT93" s="451"/>
      <c r="AU93" s="451"/>
      <c r="AV93" s="451"/>
      <c r="AW93" s="451"/>
      <c r="AX93" s="452"/>
      <c r="AY93" s="451"/>
      <c r="AZ93" s="451"/>
      <c r="BA93" s="451"/>
      <c r="BB93" s="451"/>
      <c r="BC93" s="452"/>
      <c r="BD93" s="451"/>
      <c r="BE93" s="451"/>
      <c r="BF93" s="451"/>
      <c r="BG93" s="451"/>
      <c r="BH93" s="452"/>
      <c r="BI93" s="451"/>
      <c r="BJ93" s="451"/>
      <c r="BK93" s="451"/>
      <c r="BL93" s="451"/>
      <c r="BM93" s="452"/>
      <c r="BN93" s="451"/>
      <c r="BO93" s="451"/>
      <c r="BP93" s="451"/>
      <c r="BQ93" s="451"/>
      <c r="BR93" s="452"/>
      <c r="BS93" s="451"/>
      <c r="BT93" s="451"/>
      <c r="BU93" s="451"/>
      <c r="BV93" s="451"/>
      <c r="BW93" s="452"/>
      <c r="BX93" s="451"/>
      <c r="BY93" s="451"/>
      <c r="BZ93" s="451"/>
      <c r="CA93" s="451"/>
      <c r="CB93" s="452"/>
      <c r="CC93" s="451"/>
      <c r="CD93" s="451"/>
      <c r="CE93" s="451"/>
      <c r="CF93" s="451"/>
      <c r="CG93" s="452"/>
      <c r="CH93" s="451"/>
      <c r="CI93" s="451"/>
      <c r="CJ93" s="451"/>
      <c r="CK93" s="451"/>
      <c r="CL93" s="452"/>
      <c r="CM93" s="451"/>
      <c r="CN93" s="451"/>
      <c r="CO93" s="451"/>
      <c r="CP93" s="451"/>
      <c r="CQ93" s="452"/>
      <c r="CR93" s="451"/>
      <c r="CS93" s="451"/>
      <c r="CT93" s="451"/>
      <c r="CU93" s="451"/>
      <c r="CV93" s="452"/>
      <c r="CW93" s="451"/>
      <c r="CX93" s="451"/>
      <c r="CY93" s="451"/>
      <c r="CZ93" s="451"/>
      <c r="DA93" s="452"/>
      <c r="DB93" s="451"/>
      <c r="DC93" s="451"/>
      <c r="DD93" s="451"/>
      <c r="DE93" s="451"/>
      <c r="DF93" s="452"/>
      <c r="DG93" s="451"/>
      <c r="DH93" s="451"/>
      <c r="DI93" s="451"/>
      <c r="DJ93" s="451"/>
      <c r="DK93" s="452"/>
      <c r="DL93" s="451"/>
      <c r="DM93" s="451"/>
      <c r="DN93" s="451"/>
      <c r="DO93" s="451"/>
      <c r="DP93" s="452"/>
      <c r="DQ93" s="451"/>
      <c r="DR93" s="451"/>
      <c r="DS93" s="451"/>
      <c r="DT93" s="451"/>
      <c r="DU93" s="452"/>
      <c r="DV93" s="451"/>
      <c r="DW93" s="451"/>
      <c r="DX93" s="451"/>
      <c r="DY93" s="451"/>
      <c r="DZ93" s="452"/>
      <c r="EA93" s="451"/>
      <c r="EB93" s="451"/>
      <c r="EC93" s="451"/>
      <c r="ED93" s="451"/>
      <c r="EE93" s="452"/>
      <c r="EF93" s="451"/>
      <c r="EG93" s="451"/>
      <c r="EH93" s="451"/>
      <c r="EI93" s="451"/>
      <c r="EJ93" s="452"/>
      <c r="EK93" s="451"/>
      <c r="EL93" s="451"/>
      <c r="EM93" s="451"/>
      <c r="EN93" s="451"/>
      <c r="EO93" s="13"/>
      <c r="ER93" s="14"/>
      <c r="ES93" s="14"/>
    </row>
    <row r="94" spans="3:149" ht="12.75" hidden="1" customHeight="1" x14ac:dyDescent="0.2">
      <c r="D94" s="13" t="s">
        <v>365</v>
      </c>
      <c r="E94" s="452"/>
      <c r="G94" s="451">
        <f>SUM(G95:G97)</f>
        <v>0</v>
      </c>
      <c r="H94" s="451"/>
      <c r="I94" s="451"/>
      <c r="J94" s="452"/>
      <c r="K94" s="451"/>
      <c r="L94" s="451">
        <f>SUM(L95:L97)</f>
        <v>0</v>
      </c>
      <c r="M94" s="451"/>
      <c r="N94" s="451"/>
      <c r="O94" s="452"/>
      <c r="P94" s="451"/>
      <c r="Q94" s="451">
        <f>SUM(Q95:Q97)</f>
        <v>0</v>
      </c>
      <c r="R94" s="451"/>
      <c r="S94" s="451"/>
      <c r="T94" s="452"/>
      <c r="U94" s="451"/>
      <c r="V94" s="451">
        <f>SUM(V95:V97)</f>
        <v>0</v>
      </c>
      <c r="W94" s="451"/>
      <c r="X94" s="451"/>
      <c r="Y94" s="452"/>
      <c r="Z94" s="451"/>
      <c r="AA94" s="451">
        <f>SUM(AA95:AA97)</f>
        <v>0</v>
      </c>
      <c r="AB94" s="451"/>
      <c r="AC94" s="451"/>
      <c r="AD94" s="452"/>
      <c r="AE94" s="451"/>
      <c r="AF94" s="451">
        <f>SUM(AF95:AF97)</f>
        <v>0</v>
      </c>
      <c r="AG94" s="451"/>
      <c r="AH94" s="451"/>
      <c r="AI94" s="452"/>
      <c r="AJ94" s="451"/>
      <c r="AK94" s="451">
        <f>SUM(AK95:AK97)</f>
        <v>0</v>
      </c>
      <c r="AL94" s="451"/>
      <c r="AM94" s="451"/>
      <c r="AN94" s="452"/>
      <c r="AO94" s="451"/>
      <c r="AP94" s="451">
        <f>SUM(AP95:AP97)</f>
        <v>0</v>
      </c>
      <c r="AQ94" s="451"/>
      <c r="AR94" s="451"/>
      <c r="AS94" s="452"/>
      <c r="AT94" s="451"/>
      <c r="AU94" s="451">
        <f>SUM(AU95:AU97)</f>
        <v>0</v>
      </c>
      <c r="AV94" s="451"/>
      <c r="AW94" s="451"/>
      <c r="AX94" s="452"/>
      <c r="AY94" s="451"/>
      <c r="AZ94" s="451">
        <f>SUM(AZ95:AZ97)</f>
        <v>0</v>
      </c>
      <c r="BA94" s="451"/>
      <c r="BB94" s="451"/>
      <c r="BC94" s="452"/>
      <c r="BD94" s="451"/>
      <c r="BE94" s="451">
        <f>SUM(BE95:BE97)</f>
        <v>0</v>
      </c>
      <c r="BF94" s="451"/>
      <c r="BG94" s="451"/>
      <c r="BH94" s="452"/>
      <c r="BI94" s="451"/>
      <c r="BJ94" s="451">
        <f>SUM(BJ95:BJ97)</f>
        <v>0</v>
      </c>
      <c r="BK94" s="451"/>
      <c r="BL94" s="451"/>
      <c r="BM94" s="452"/>
      <c r="BN94" s="451"/>
      <c r="BO94" s="451">
        <f>SUM(BO95:BO97)</f>
        <v>0</v>
      </c>
      <c r="BP94" s="451"/>
      <c r="BQ94" s="451"/>
      <c r="BR94" s="452"/>
      <c r="BS94" s="451"/>
      <c r="BT94" s="451">
        <f>SUM(BT95:BT97)</f>
        <v>0</v>
      </c>
      <c r="BU94" s="451"/>
      <c r="BV94" s="451"/>
      <c r="BW94" s="452"/>
      <c r="BX94" s="451"/>
      <c r="BY94" s="451">
        <f>SUM(BY95:BY97)</f>
        <v>0</v>
      </c>
      <c r="BZ94" s="451"/>
      <c r="CA94" s="451"/>
      <c r="CB94" s="452"/>
      <c r="CC94" s="451"/>
      <c r="CD94" s="451">
        <f>SUM(CD95:CD97)</f>
        <v>0</v>
      </c>
      <c r="CE94" s="451"/>
      <c r="CF94" s="451"/>
      <c r="CG94" s="452"/>
      <c r="CH94" s="451"/>
      <c r="CI94" s="451">
        <f>SUM(CI95:CI97)</f>
        <v>0</v>
      </c>
      <c r="CJ94" s="451"/>
      <c r="CK94" s="451"/>
      <c r="CL94" s="452"/>
      <c r="CM94" s="451"/>
      <c r="CN94" s="451">
        <f>SUM(CN95:CN97)</f>
        <v>0</v>
      </c>
      <c r="CO94" s="451"/>
      <c r="CP94" s="451"/>
      <c r="CQ94" s="452"/>
      <c r="CR94" s="451"/>
      <c r="CS94" s="451">
        <f>SUM(CS95:CS97)</f>
        <v>0</v>
      </c>
      <c r="CT94" s="451"/>
      <c r="CU94" s="451"/>
      <c r="CV94" s="452"/>
      <c r="CW94" s="451"/>
      <c r="CX94" s="451">
        <f>SUM(CX95:CX97)</f>
        <v>0</v>
      </c>
      <c r="CY94" s="451"/>
      <c r="CZ94" s="451"/>
      <c r="DA94" s="452"/>
      <c r="DB94" s="451"/>
      <c r="DC94" s="451">
        <f>SUM(DC95:DC97)</f>
        <v>0</v>
      </c>
      <c r="DD94" s="451"/>
      <c r="DE94" s="451"/>
      <c r="DF94" s="452"/>
      <c r="DG94" s="451"/>
      <c r="DH94" s="451">
        <f>SUM(DH95:DH97)</f>
        <v>0</v>
      </c>
      <c r="DI94" s="451"/>
      <c r="DJ94" s="451"/>
      <c r="DK94" s="452"/>
      <c r="DL94" s="451"/>
      <c r="DM94" s="451">
        <f>SUM(DM95:DM97)</f>
        <v>0</v>
      </c>
      <c r="DN94" s="451"/>
      <c r="DO94" s="451"/>
      <c r="DP94" s="452"/>
      <c r="DQ94" s="451"/>
      <c r="DR94" s="451">
        <f>SUM(DR95:DR97)</f>
        <v>0</v>
      </c>
      <c r="DS94" s="451"/>
      <c r="DT94" s="451"/>
      <c r="DU94" s="452"/>
      <c r="DV94" s="451"/>
      <c r="DW94" s="451">
        <f>SUM(DW95:DW97)</f>
        <v>0</v>
      </c>
      <c r="DX94" s="451"/>
      <c r="DY94" s="451"/>
      <c r="DZ94" s="452"/>
      <c r="EA94" s="451"/>
      <c r="EB94" s="451">
        <f>SUM(EB95:EB97)</f>
        <v>0</v>
      </c>
      <c r="EC94" s="451"/>
      <c r="ED94" s="451"/>
      <c r="EE94" s="452"/>
      <c r="EF94" s="451"/>
      <c r="EG94" s="451">
        <f>SUM(EG95:EG97)</f>
        <v>0</v>
      </c>
      <c r="EH94" s="451"/>
      <c r="EI94" s="451"/>
      <c r="EJ94" s="452"/>
      <c r="EK94" s="451"/>
      <c r="EL94" s="451">
        <f>SUM(EL95:EL97)</f>
        <v>0</v>
      </c>
      <c r="EM94" s="451"/>
      <c r="EN94" s="451"/>
      <c r="EO94" s="13"/>
      <c r="ER94" s="14"/>
      <c r="ES94" s="14"/>
    </row>
    <row r="95" spans="3:149" ht="12.75" hidden="1" customHeight="1" x14ac:dyDescent="0.2">
      <c r="D95" s="13" t="s">
        <v>347</v>
      </c>
      <c r="E95" s="452"/>
      <c r="F95" s="374"/>
      <c r="G95" s="449">
        <v>0</v>
      </c>
      <c r="H95" s="450"/>
      <c r="I95" s="451"/>
      <c r="J95" s="452"/>
      <c r="K95" s="453"/>
      <c r="L95" s="449">
        <v>0</v>
      </c>
      <c r="M95" s="450"/>
      <c r="N95" s="451"/>
      <c r="O95" s="452"/>
      <c r="P95" s="453"/>
      <c r="Q95" s="449">
        <v>0</v>
      </c>
      <c r="R95" s="450"/>
      <c r="S95" s="451"/>
      <c r="T95" s="452"/>
      <c r="U95" s="453"/>
      <c r="V95" s="449">
        <v>0</v>
      </c>
      <c r="W95" s="450"/>
      <c r="X95" s="451"/>
      <c r="Y95" s="452"/>
      <c r="Z95" s="453"/>
      <c r="AA95" s="449">
        <v>0</v>
      </c>
      <c r="AB95" s="450"/>
      <c r="AC95" s="451"/>
      <c r="AD95" s="452"/>
      <c r="AE95" s="453"/>
      <c r="AF95" s="449">
        <v>0</v>
      </c>
      <c r="AG95" s="450"/>
      <c r="AH95" s="451"/>
      <c r="AI95" s="452"/>
      <c r="AJ95" s="453"/>
      <c r="AK95" s="449">
        <v>0</v>
      </c>
      <c r="AL95" s="450"/>
      <c r="AM95" s="451"/>
      <c r="AN95" s="452"/>
      <c r="AO95" s="453"/>
      <c r="AP95" s="449">
        <v>0</v>
      </c>
      <c r="AQ95" s="450"/>
      <c r="AR95" s="451"/>
      <c r="AS95" s="452"/>
      <c r="AT95" s="453"/>
      <c r="AU95" s="449">
        <v>0</v>
      </c>
      <c r="AV95" s="450"/>
      <c r="AW95" s="451"/>
      <c r="AX95" s="452"/>
      <c r="AY95" s="453"/>
      <c r="AZ95" s="449">
        <v>0</v>
      </c>
      <c r="BA95" s="450"/>
      <c r="BB95" s="451"/>
      <c r="BC95" s="452"/>
      <c r="BD95" s="453"/>
      <c r="BE95" s="449">
        <v>0</v>
      </c>
      <c r="BF95" s="450"/>
      <c r="BG95" s="451"/>
      <c r="BH95" s="452"/>
      <c r="BI95" s="453"/>
      <c r="BJ95" s="449">
        <v>0</v>
      </c>
      <c r="BK95" s="450"/>
      <c r="BL95" s="451"/>
      <c r="BM95" s="452"/>
      <c r="BN95" s="453"/>
      <c r="BO95" s="449">
        <v>0</v>
      </c>
      <c r="BP95" s="450"/>
      <c r="BQ95" s="451"/>
      <c r="BR95" s="452"/>
      <c r="BS95" s="453"/>
      <c r="BT95" s="449">
        <f>SUM(L95:BO95)</f>
        <v>0</v>
      </c>
      <c r="BU95" s="450"/>
      <c r="BV95" s="451"/>
      <c r="BW95" s="452"/>
      <c r="BX95" s="453"/>
      <c r="BY95" s="449">
        <f>SUM(Q95:BT95)</f>
        <v>0</v>
      </c>
      <c r="BZ95" s="450"/>
      <c r="CA95" s="451"/>
      <c r="CB95" s="452"/>
      <c r="CC95" s="453"/>
      <c r="CD95" s="449">
        <v>0</v>
      </c>
      <c r="CE95" s="450"/>
      <c r="CF95" s="451"/>
      <c r="CG95" s="452"/>
      <c r="CH95" s="453"/>
      <c r="CI95" s="449">
        <v>0</v>
      </c>
      <c r="CJ95" s="450"/>
      <c r="CK95" s="451"/>
      <c r="CL95" s="452"/>
      <c r="CM95" s="453"/>
      <c r="CN95" s="449">
        <v>0</v>
      </c>
      <c r="CO95" s="450"/>
      <c r="CP95" s="451"/>
      <c r="CQ95" s="452"/>
      <c r="CR95" s="453"/>
      <c r="CS95" s="449">
        <v>0</v>
      </c>
      <c r="CT95" s="450"/>
      <c r="CU95" s="451"/>
      <c r="CV95" s="452"/>
      <c r="CW95" s="453"/>
      <c r="CX95" s="449">
        <v>0</v>
      </c>
      <c r="CY95" s="450"/>
      <c r="CZ95" s="451"/>
      <c r="DA95" s="452"/>
      <c r="DB95" s="453"/>
      <c r="DC95" s="449">
        <v>0</v>
      </c>
      <c r="DD95" s="450"/>
      <c r="DE95" s="451"/>
      <c r="DF95" s="452"/>
      <c r="DG95" s="453"/>
      <c r="DH95" s="449">
        <v>0</v>
      </c>
      <c r="DI95" s="450"/>
      <c r="DJ95" s="451"/>
      <c r="DK95" s="452"/>
      <c r="DL95" s="453"/>
      <c r="DM95" s="449">
        <v>0</v>
      </c>
      <c r="DN95" s="450"/>
      <c r="DO95" s="451"/>
      <c r="DP95" s="452"/>
      <c r="DQ95" s="453"/>
      <c r="DR95" s="449">
        <v>0</v>
      </c>
      <c r="DS95" s="450"/>
      <c r="DT95" s="451"/>
      <c r="DU95" s="452"/>
      <c r="DV95" s="453"/>
      <c r="DW95" s="449">
        <v>0</v>
      </c>
      <c r="DX95" s="450"/>
      <c r="DY95" s="451"/>
      <c r="DZ95" s="452"/>
      <c r="EA95" s="453"/>
      <c r="EB95" s="449">
        <v>0</v>
      </c>
      <c r="EC95" s="450"/>
      <c r="ED95" s="451"/>
      <c r="EE95" s="452"/>
      <c r="EF95" s="453"/>
      <c r="EG95" s="449">
        <v>0</v>
      </c>
      <c r="EH95" s="450"/>
      <c r="EI95" s="451"/>
      <c r="EJ95" s="452"/>
      <c r="EK95" s="453"/>
      <c r="EL95" s="449">
        <f>SUM(CD95:EG95)</f>
        <v>0</v>
      </c>
      <c r="EM95" s="450"/>
      <c r="EN95" s="451"/>
      <c r="EO95" s="13"/>
      <c r="ER95" s="14"/>
      <c r="ES95" s="14"/>
    </row>
    <row r="96" spans="3:149" ht="12.75" hidden="1" customHeight="1" x14ac:dyDescent="0.2">
      <c r="D96" s="13" t="s">
        <v>349</v>
      </c>
      <c r="E96" s="452"/>
      <c r="F96" s="198"/>
      <c r="G96" s="451">
        <v>0</v>
      </c>
      <c r="H96" s="455"/>
      <c r="I96" s="451"/>
      <c r="J96" s="452"/>
      <c r="K96" s="452"/>
      <c r="L96" s="451">
        <v>0</v>
      </c>
      <c r="M96" s="455"/>
      <c r="N96" s="451"/>
      <c r="O96" s="452"/>
      <c r="P96" s="452"/>
      <c r="Q96" s="451">
        <v>0</v>
      </c>
      <c r="R96" s="455"/>
      <c r="S96" s="451"/>
      <c r="T96" s="452"/>
      <c r="U96" s="452"/>
      <c r="V96" s="451">
        <v>0</v>
      </c>
      <c r="W96" s="455"/>
      <c r="X96" s="451"/>
      <c r="Y96" s="452"/>
      <c r="Z96" s="452"/>
      <c r="AA96" s="451">
        <v>0</v>
      </c>
      <c r="AB96" s="455"/>
      <c r="AC96" s="451"/>
      <c r="AD96" s="452"/>
      <c r="AE96" s="452"/>
      <c r="AF96" s="451">
        <v>0</v>
      </c>
      <c r="AG96" s="455"/>
      <c r="AH96" s="451"/>
      <c r="AI96" s="452"/>
      <c r="AJ96" s="452"/>
      <c r="AK96" s="451">
        <v>0</v>
      </c>
      <c r="AL96" s="455"/>
      <c r="AM96" s="451"/>
      <c r="AN96" s="452"/>
      <c r="AO96" s="452"/>
      <c r="AP96" s="451">
        <v>0</v>
      </c>
      <c r="AQ96" s="455"/>
      <c r="AR96" s="451"/>
      <c r="AS96" s="452"/>
      <c r="AT96" s="452"/>
      <c r="AU96" s="451">
        <v>0</v>
      </c>
      <c r="AV96" s="455"/>
      <c r="AW96" s="451"/>
      <c r="AX96" s="452"/>
      <c r="AY96" s="452"/>
      <c r="AZ96" s="451">
        <v>0</v>
      </c>
      <c r="BA96" s="455"/>
      <c r="BB96" s="451"/>
      <c r="BC96" s="452"/>
      <c r="BD96" s="452"/>
      <c r="BE96" s="451">
        <v>0</v>
      </c>
      <c r="BF96" s="455"/>
      <c r="BG96" s="451"/>
      <c r="BH96" s="452"/>
      <c r="BI96" s="452"/>
      <c r="BJ96" s="451">
        <v>0</v>
      </c>
      <c r="BK96" s="455"/>
      <c r="BL96" s="451"/>
      <c r="BM96" s="452"/>
      <c r="BN96" s="452"/>
      <c r="BO96" s="451">
        <v>0</v>
      </c>
      <c r="BP96" s="455"/>
      <c r="BQ96" s="451"/>
      <c r="BR96" s="452"/>
      <c r="BS96" s="452"/>
      <c r="BT96" s="451">
        <f>SUM(L96:BO96)</f>
        <v>0</v>
      </c>
      <c r="BU96" s="455"/>
      <c r="BV96" s="451"/>
      <c r="BW96" s="452"/>
      <c r="BX96" s="452"/>
      <c r="BY96" s="451">
        <f>SUM(Q96:BT96)</f>
        <v>0</v>
      </c>
      <c r="BZ96" s="455"/>
      <c r="CA96" s="451"/>
      <c r="CB96" s="452"/>
      <c r="CC96" s="452"/>
      <c r="CD96" s="451">
        <v>0</v>
      </c>
      <c r="CE96" s="455"/>
      <c r="CF96" s="451"/>
      <c r="CG96" s="452"/>
      <c r="CH96" s="452"/>
      <c r="CI96" s="451">
        <v>0</v>
      </c>
      <c r="CJ96" s="455"/>
      <c r="CK96" s="451"/>
      <c r="CL96" s="452"/>
      <c r="CM96" s="452"/>
      <c r="CN96" s="451">
        <v>0</v>
      </c>
      <c r="CO96" s="455"/>
      <c r="CP96" s="451"/>
      <c r="CQ96" s="452"/>
      <c r="CR96" s="452"/>
      <c r="CS96" s="451">
        <v>0</v>
      </c>
      <c r="CT96" s="455"/>
      <c r="CU96" s="451"/>
      <c r="CV96" s="452"/>
      <c r="CW96" s="452"/>
      <c r="CX96" s="451">
        <v>0</v>
      </c>
      <c r="CY96" s="455"/>
      <c r="CZ96" s="451"/>
      <c r="DA96" s="452"/>
      <c r="DB96" s="452"/>
      <c r="DC96" s="451">
        <v>0</v>
      </c>
      <c r="DD96" s="455"/>
      <c r="DE96" s="451"/>
      <c r="DF96" s="452"/>
      <c r="DG96" s="452"/>
      <c r="DH96" s="451">
        <v>0</v>
      </c>
      <c r="DI96" s="455"/>
      <c r="DJ96" s="451"/>
      <c r="DK96" s="452"/>
      <c r="DL96" s="452"/>
      <c r="DM96" s="451">
        <v>0</v>
      </c>
      <c r="DN96" s="455"/>
      <c r="DO96" s="451"/>
      <c r="DP96" s="452"/>
      <c r="DQ96" s="452"/>
      <c r="DR96" s="451">
        <v>0</v>
      </c>
      <c r="DS96" s="455"/>
      <c r="DT96" s="451"/>
      <c r="DU96" s="452"/>
      <c r="DV96" s="452"/>
      <c r="DW96" s="451">
        <v>0</v>
      </c>
      <c r="DX96" s="455"/>
      <c r="DY96" s="451"/>
      <c r="DZ96" s="452"/>
      <c r="EA96" s="452"/>
      <c r="EB96" s="451">
        <v>0</v>
      </c>
      <c r="EC96" s="455"/>
      <c r="ED96" s="451"/>
      <c r="EE96" s="452"/>
      <c r="EF96" s="452"/>
      <c r="EG96" s="451">
        <v>0</v>
      </c>
      <c r="EH96" s="455"/>
      <c r="EI96" s="451"/>
      <c r="EJ96" s="452"/>
      <c r="EK96" s="452"/>
      <c r="EL96" s="451">
        <f>SUM(CD96:EG96)</f>
        <v>0</v>
      </c>
      <c r="EM96" s="455"/>
      <c r="EN96" s="451"/>
      <c r="EO96" s="13"/>
      <c r="ER96" s="14"/>
      <c r="ES96" s="14"/>
    </row>
    <row r="97" spans="4:149" ht="12.75" hidden="1" customHeight="1" x14ac:dyDescent="0.2">
      <c r="D97" s="13" t="s">
        <v>357</v>
      </c>
      <c r="E97" s="452"/>
      <c r="F97" s="385"/>
      <c r="G97" s="463">
        <v>0</v>
      </c>
      <c r="H97" s="464"/>
      <c r="I97" s="451"/>
      <c r="J97" s="452"/>
      <c r="K97" s="465"/>
      <c r="L97" s="463">
        <v>0</v>
      </c>
      <c r="M97" s="464"/>
      <c r="N97" s="451"/>
      <c r="O97" s="452"/>
      <c r="P97" s="465"/>
      <c r="Q97" s="463">
        <v>0</v>
      </c>
      <c r="R97" s="464"/>
      <c r="S97" s="451"/>
      <c r="T97" s="452"/>
      <c r="U97" s="465"/>
      <c r="V97" s="463">
        <v>0</v>
      </c>
      <c r="W97" s="464"/>
      <c r="X97" s="451"/>
      <c r="Y97" s="452"/>
      <c r="Z97" s="465"/>
      <c r="AA97" s="463">
        <v>0</v>
      </c>
      <c r="AB97" s="464"/>
      <c r="AC97" s="451"/>
      <c r="AD97" s="452"/>
      <c r="AE97" s="465"/>
      <c r="AF97" s="463">
        <v>0</v>
      </c>
      <c r="AG97" s="464"/>
      <c r="AH97" s="451"/>
      <c r="AI97" s="452"/>
      <c r="AJ97" s="465"/>
      <c r="AK97" s="463">
        <v>0</v>
      </c>
      <c r="AL97" s="464"/>
      <c r="AM97" s="451"/>
      <c r="AN97" s="452"/>
      <c r="AO97" s="465"/>
      <c r="AP97" s="463">
        <v>0</v>
      </c>
      <c r="AQ97" s="464"/>
      <c r="AR97" s="451"/>
      <c r="AS97" s="452"/>
      <c r="AT97" s="465"/>
      <c r="AU97" s="463">
        <v>0</v>
      </c>
      <c r="AV97" s="464"/>
      <c r="AW97" s="451"/>
      <c r="AX97" s="452"/>
      <c r="AY97" s="465"/>
      <c r="AZ97" s="463">
        <v>0</v>
      </c>
      <c r="BA97" s="464"/>
      <c r="BB97" s="451"/>
      <c r="BC97" s="452"/>
      <c r="BD97" s="465"/>
      <c r="BE97" s="463">
        <v>0</v>
      </c>
      <c r="BF97" s="464"/>
      <c r="BG97" s="451"/>
      <c r="BH97" s="452"/>
      <c r="BI97" s="465"/>
      <c r="BJ97" s="463">
        <v>0</v>
      </c>
      <c r="BK97" s="464"/>
      <c r="BL97" s="451"/>
      <c r="BM97" s="452"/>
      <c r="BN97" s="465"/>
      <c r="BO97" s="463">
        <v>0</v>
      </c>
      <c r="BP97" s="464"/>
      <c r="BQ97" s="451"/>
      <c r="BR97" s="452"/>
      <c r="BS97" s="465"/>
      <c r="BT97" s="463">
        <f>SUM(L97:BO97)</f>
        <v>0</v>
      </c>
      <c r="BU97" s="464"/>
      <c r="BV97" s="451"/>
      <c r="BW97" s="452"/>
      <c r="BX97" s="465"/>
      <c r="BY97" s="463">
        <f>SUM(Q97:BT97)</f>
        <v>0</v>
      </c>
      <c r="BZ97" s="464"/>
      <c r="CA97" s="451"/>
      <c r="CB97" s="452"/>
      <c r="CC97" s="465"/>
      <c r="CD97" s="463">
        <v>0</v>
      </c>
      <c r="CE97" s="464"/>
      <c r="CF97" s="451"/>
      <c r="CG97" s="452"/>
      <c r="CH97" s="465"/>
      <c r="CI97" s="463">
        <v>0</v>
      </c>
      <c r="CJ97" s="464"/>
      <c r="CK97" s="451"/>
      <c r="CL97" s="452"/>
      <c r="CM97" s="465"/>
      <c r="CN97" s="463">
        <v>0</v>
      </c>
      <c r="CO97" s="464"/>
      <c r="CP97" s="451"/>
      <c r="CQ97" s="452"/>
      <c r="CR97" s="465"/>
      <c r="CS97" s="463">
        <v>0</v>
      </c>
      <c r="CT97" s="464"/>
      <c r="CU97" s="451"/>
      <c r="CV97" s="452"/>
      <c r="CW97" s="465"/>
      <c r="CX97" s="463">
        <v>0</v>
      </c>
      <c r="CY97" s="464"/>
      <c r="CZ97" s="451"/>
      <c r="DA97" s="452"/>
      <c r="DB97" s="465"/>
      <c r="DC97" s="463">
        <v>0</v>
      </c>
      <c r="DD97" s="464"/>
      <c r="DE97" s="451"/>
      <c r="DF97" s="452"/>
      <c r="DG97" s="465"/>
      <c r="DH97" s="463">
        <v>0</v>
      </c>
      <c r="DI97" s="464"/>
      <c r="DJ97" s="451"/>
      <c r="DK97" s="452"/>
      <c r="DL97" s="465"/>
      <c r="DM97" s="463">
        <v>0</v>
      </c>
      <c r="DN97" s="464"/>
      <c r="DO97" s="451"/>
      <c r="DP97" s="452"/>
      <c r="DQ97" s="465"/>
      <c r="DR97" s="463">
        <v>0</v>
      </c>
      <c r="DS97" s="464"/>
      <c r="DT97" s="451"/>
      <c r="DU97" s="452"/>
      <c r="DV97" s="465"/>
      <c r="DW97" s="463">
        <v>0</v>
      </c>
      <c r="DX97" s="464"/>
      <c r="DY97" s="451"/>
      <c r="DZ97" s="452"/>
      <c r="EA97" s="465"/>
      <c r="EB97" s="463">
        <v>0</v>
      </c>
      <c r="EC97" s="464"/>
      <c r="ED97" s="451"/>
      <c r="EE97" s="452"/>
      <c r="EF97" s="465"/>
      <c r="EG97" s="463">
        <v>0</v>
      </c>
      <c r="EH97" s="464"/>
      <c r="EI97" s="451"/>
      <c r="EJ97" s="452"/>
      <c r="EK97" s="465"/>
      <c r="EL97" s="463">
        <f>SUM(CD97:EG97)</f>
        <v>0</v>
      </c>
      <c r="EM97" s="464"/>
      <c r="EN97" s="451"/>
      <c r="EO97" s="13"/>
      <c r="ER97" s="14"/>
      <c r="ES97" s="14"/>
    </row>
    <row r="98" spans="4:149" ht="12.75" hidden="1" customHeight="1" x14ac:dyDescent="0.2">
      <c r="D98" s="13"/>
      <c r="E98" s="452"/>
      <c r="G98" s="451"/>
      <c r="H98" s="451"/>
      <c r="I98" s="451"/>
      <c r="J98" s="452"/>
      <c r="K98" s="451"/>
      <c r="L98" s="451"/>
      <c r="M98" s="451"/>
      <c r="N98" s="451"/>
      <c r="O98" s="452"/>
      <c r="P98" s="451"/>
      <c r="Q98" s="451"/>
      <c r="R98" s="451"/>
      <c r="S98" s="451"/>
      <c r="T98" s="452"/>
      <c r="U98" s="451"/>
      <c r="V98" s="451"/>
      <c r="W98" s="451"/>
      <c r="X98" s="451"/>
      <c r="Y98" s="452"/>
      <c r="Z98" s="451"/>
      <c r="AA98" s="451"/>
      <c r="AB98" s="451"/>
      <c r="AC98" s="451"/>
      <c r="AD98" s="452"/>
      <c r="AE98" s="451"/>
      <c r="AF98" s="451"/>
      <c r="AG98" s="451"/>
      <c r="AH98" s="451"/>
      <c r="AI98" s="452"/>
      <c r="AJ98" s="451"/>
      <c r="AK98" s="451"/>
      <c r="AL98" s="451"/>
      <c r="AM98" s="451"/>
      <c r="AN98" s="452"/>
      <c r="AO98" s="451"/>
      <c r="AP98" s="451"/>
      <c r="AQ98" s="451"/>
      <c r="AR98" s="451"/>
      <c r="AS98" s="452"/>
      <c r="AT98" s="451"/>
      <c r="AU98" s="451"/>
      <c r="AV98" s="451"/>
      <c r="AW98" s="451"/>
      <c r="AX98" s="452"/>
      <c r="AY98" s="451"/>
      <c r="AZ98" s="451"/>
      <c r="BA98" s="451"/>
      <c r="BB98" s="451"/>
      <c r="BC98" s="452"/>
      <c r="BD98" s="451"/>
      <c r="BE98" s="451"/>
      <c r="BF98" s="451"/>
      <c r="BG98" s="451"/>
      <c r="BH98" s="452"/>
      <c r="BI98" s="451"/>
      <c r="BJ98" s="451"/>
      <c r="BK98" s="451"/>
      <c r="BL98" s="451"/>
      <c r="BM98" s="452"/>
      <c r="BN98" s="451"/>
      <c r="BO98" s="451"/>
      <c r="BP98" s="451"/>
      <c r="BQ98" s="451"/>
      <c r="BR98" s="452"/>
      <c r="BS98" s="463"/>
      <c r="BT98" s="451"/>
      <c r="BU98" s="451"/>
      <c r="BV98" s="451"/>
      <c r="BW98" s="452"/>
      <c r="BX98" s="451"/>
      <c r="BY98" s="451"/>
      <c r="BZ98" s="451"/>
      <c r="CA98" s="451"/>
      <c r="CB98" s="452"/>
      <c r="CC98" s="451"/>
      <c r="CD98" s="451"/>
      <c r="CE98" s="451"/>
      <c r="CF98" s="451"/>
      <c r="CG98" s="452"/>
      <c r="CH98" s="451"/>
      <c r="CI98" s="451"/>
      <c r="CJ98" s="451"/>
      <c r="CK98" s="451"/>
      <c r="CL98" s="452"/>
      <c r="CM98" s="451"/>
      <c r="CN98" s="451"/>
      <c r="CO98" s="451"/>
      <c r="CP98" s="451"/>
      <c r="CQ98" s="452"/>
      <c r="CR98" s="451"/>
      <c r="CS98" s="451"/>
      <c r="CT98" s="451"/>
      <c r="CU98" s="451"/>
      <c r="CV98" s="452"/>
      <c r="CW98" s="451"/>
      <c r="CX98" s="451"/>
      <c r="CY98" s="451"/>
      <c r="CZ98" s="451"/>
      <c r="DA98" s="452"/>
      <c r="DB98" s="451"/>
      <c r="DC98" s="451"/>
      <c r="DD98" s="451"/>
      <c r="DE98" s="451"/>
      <c r="DF98" s="452"/>
      <c r="DG98" s="451"/>
      <c r="DH98" s="451"/>
      <c r="DI98" s="451"/>
      <c r="DJ98" s="451"/>
      <c r="DK98" s="452"/>
      <c r="DL98" s="451"/>
      <c r="DM98" s="451"/>
      <c r="DN98" s="451"/>
      <c r="DO98" s="451"/>
      <c r="DP98" s="452"/>
      <c r="DQ98" s="451"/>
      <c r="DR98" s="451"/>
      <c r="DS98" s="451"/>
      <c r="DT98" s="451"/>
      <c r="DU98" s="452"/>
      <c r="DV98" s="451"/>
      <c r="DW98" s="451"/>
      <c r="DX98" s="451"/>
      <c r="DY98" s="451"/>
      <c r="DZ98" s="452"/>
      <c r="EA98" s="451"/>
      <c r="EB98" s="451"/>
      <c r="EC98" s="451"/>
      <c r="ED98" s="451"/>
      <c r="EE98" s="452"/>
      <c r="EF98" s="451"/>
      <c r="EG98" s="451"/>
      <c r="EH98" s="451"/>
      <c r="EI98" s="451"/>
      <c r="EJ98" s="452"/>
      <c r="EK98" s="451"/>
      <c r="EL98" s="451"/>
      <c r="EM98" s="451"/>
      <c r="EN98" s="451"/>
      <c r="EO98" s="13"/>
      <c r="ER98" s="14"/>
      <c r="ES98" s="14"/>
    </row>
    <row r="99" spans="4:149" ht="12.75" hidden="1" customHeight="1" x14ac:dyDescent="0.2">
      <c r="D99" s="13" t="s">
        <v>366</v>
      </c>
      <c r="E99" s="452"/>
      <c r="G99" s="451">
        <f>SUM(G100:G102)</f>
        <v>0</v>
      </c>
      <c r="H99" s="451"/>
      <c r="I99" s="451"/>
      <c r="J99" s="452"/>
      <c r="K99" s="451"/>
      <c r="L99" s="451">
        <f>SUM(L100:L102)</f>
        <v>0</v>
      </c>
      <c r="M99" s="451"/>
      <c r="N99" s="451"/>
      <c r="O99" s="452"/>
      <c r="P99" s="451"/>
      <c r="Q99" s="451">
        <f>SUM(Q100:Q102)</f>
        <v>0</v>
      </c>
      <c r="R99" s="451"/>
      <c r="S99" s="451"/>
      <c r="T99" s="452"/>
      <c r="U99" s="451"/>
      <c r="V99" s="451">
        <f>SUM(V100:V102)</f>
        <v>0</v>
      </c>
      <c r="W99" s="451"/>
      <c r="X99" s="451"/>
      <c r="Y99" s="452"/>
      <c r="Z99" s="451"/>
      <c r="AA99" s="451">
        <f>SUM(AA100:AA102)</f>
        <v>0</v>
      </c>
      <c r="AB99" s="451"/>
      <c r="AC99" s="451"/>
      <c r="AD99" s="452"/>
      <c r="AE99" s="451"/>
      <c r="AF99" s="451">
        <f>SUM(AF100:AF102)</f>
        <v>0</v>
      </c>
      <c r="AG99" s="451"/>
      <c r="AH99" s="451"/>
      <c r="AI99" s="452"/>
      <c r="AJ99" s="451"/>
      <c r="AK99" s="451">
        <f>SUM(AK100:AK102)</f>
        <v>0</v>
      </c>
      <c r="AL99" s="451"/>
      <c r="AM99" s="451"/>
      <c r="AN99" s="452"/>
      <c r="AO99" s="451"/>
      <c r="AP99" s="451">
        <f>SUM(AP100:AP102)</f>
        <v>0</v>
      </c>
      <c r="AQ99" s="451"/>
      <c r="AR99" s="451"/>
      <c r="AS99" s="452"/>
      <c r="AT99" s="451"/>
      <c r="AU99" s="451">
        <f>SUM(AU100:AU102)</f>
        <v>0</v>
      </c>
      <c r="AV99" s="451"/>
      <c r="AW99" s="451"/>
      <c r="AX99" s="452"/>
      <c r="AY99" s="451"/>
      <c r="AZ99" s="451">
        <f>SUM(AZ100:AZ102)</f>
        <v>0</v>
      </c>
      <c r="BA99" s="451"/>
      <c r="BB99" s="451"/>
      <c r="BC99" s="452"/>
      <c r="BD99" s="451"/>
      <c r="BE99" s="451">
        <f>SUM(BE100:BE102)</f>
        <v>0</v>
      </c>
      <c r="BF99" s="451"/>
      <c r="BG99" s="451"/>
      <c r="BH99" s="452"/>
      <c r="BI99" s="451"/>
      <c r="BJ99" s="451">
        <f>SUM(BJ100:BJ102)</f>
        <v>0</v>
      </c>
      <c r="BK99" s="451"/>
      <c r="BL99" s="451"/>
      <c r="BM99" s="452"/>
      <c r="BN99" s="451"/>
      <c r="BO99" s="451">
        <f>SUM(BO100:BO102)</f>
        <v>0</v>
      </c>
      <c r="BP99" s="451"/>
      <c r="BQ99" s="451"/>
      <c r="BR99" s="452"/>
      <c r="BS99" s="463"/>
      <c r="BT99" s="463">
        <f>SUM(BT100:BT102)</f>
        <v>0</v>
      </c>
      <c r="BU99" s="451"/>
      <c r="BV99" s="451"/>
      <c r="BW99" s="452"/>
      <c r="BX99" s="451"/>
      <c r="BY99" s="463">
        <f>SUM(BY100:BY102)</f>
        <v>0</v>
      </c>
      <c r="BZ99" s="451"/>
      <c r="CA99" s="451"/>
      <c r="CB99" s="452"/>
      <c r="CC99" s="451"/>
      <c r="CD99" s="451">
        <f>SUM(CD100:CD102)</f>
        <v>0</v>
      </c>
      <c r="CE99" s="451"/>
      <c r="CF99" s="451"/>
      <c r="CG99" s="452"/>
      <c r="CH99" s="451"/>
      <c r="CI99" s="451">
        <f>SUM(CI100:CI102)</f>
        <v>0</v>
      </c>
      <c r="CJ99" s="451"/>
      <c r="CK99" s="451"/>
      <c r="CL99" s="452"/>
      <c r="CM99" s="451"/>
      <c r="CN99" s="451">
        <f>SUM(CN100:CN102)</f>
        <v>0</v>
      </c>
      <c r="CO99" s="451"/>
      <c r="CP99" s="451"/>
      <c r="CQ99" s="452"/>
      <c r="CR99" s="451"/>
      <c r="CS99" s="451">
        <f>SUM(CS100:CS102)</f>
        <v>0</v>
      </c>
      <c r="CT99" s="451"/>
      <c r="CU99" s="451"/>
      <c r="CV99" s="452"/>
      <c r="CW99" s="451"/>
      <c r="CX99" s="451">
        <f>SUM(CX100:CX102)</f>
        <v>0</v>
      </c>
      <c r="CY99" s="451"/>
      <c r="CZ99" s="451"/>
      <c r="DA99" s="452"/>
      <c r="DB99" s="451"/>
      <c r="DC99" s="451">
        <f>SUM(DC100:DC102)</f>
        <v>0</v>
      </c>
      <c r="DD99" s="451"/>
      <c r="DE99" s="451"/>
      <c r="DF99" s="452"/>
      <c r="DG99" s="451"/>
      <c r="DH99" s="451">
        <f>SUM(DH100:DH102)</f>
        <v>0</v>
      </c>
      <c r="DI99" s="451"/>
      <c r="DJ99" s="451"/>
      <c r="DK99" s="452"/>
      <c r="DL99" s="451"/>
      <c r="DM99" s="451">
        <f>SUM(DM100:DM102)</f>
        <v>0</v>
      </c>
      <c r="DN99" s="451"/>
      <c r="DO99" s="451"/>
      <c r="DP99" s="452"/>
      <c r="DQ99" s="451"/>
      <c r="DR99" s="451">
        <f>SUM(DR100:DR102)</f>
        <v>0</v>
      </c>
      <c r="DS99" s="451"/>
      <c r="DT99" s="451"/>
      <c r="DU99" s="452"/>
      <c r="DV99" s="451"/>
      <c r="DW99" s="451">
        <f>SUM(DW100:DW102)</f>
        <v>0</v>
      </c>
      <c r="DX99" s="451"/>
      <c r="DY99" s="451"/>
      <c r="DZ99" s="452"/>
      <c r="EA99" s="451"/>
      <c r="EB99" s="451">
        <f>SUM(EB100:EB102)</f>
        <v>0</v>
      </c>
      <c r="EC99" s="451"/>
      <c r="ED99" s="451"/>
      <c r="EE99" s="452"/>
      <c r="EF99" s="451"/>
      <c r="EG99" s="451">
        <f>SUM(EG100:EG102)</f>
        <v>0</v>
      </c>
      <c r="EH99" s="451"/>
      <c r="EI99" s="455"/>
      <c r="EJ99" s="452"/>
      <c r="EK99" s="451"/>
      <c r="EL99" s="463">
        <f>SUM(EL100:EL102)</f>
        <v>0</v>
      </c>
      <c r="EM99" s="451"/>
      <c r="EN99" s="451"/>
      <c r="EO99" s="13"/>
      <c r="ER99" s="14"/>
      <c r="ES99" s="14"/>
    </row>
    <row r="100" spans="4:149" ht="12.75" hidden="1" customHeight="1" x14ac:dyDescent="0.2">
      <c r="D100" s="13" t="s">
        <v>347</v>
      </c>
      <c r="E100" s="452"/>
      <c r="F100" s="374"/>
      <c r="G100" s="449">
        <v>0</v>
      </c>
      <c r="H100" s="450"/>
      <c r="I100" s="451"/>
      <c r="J100" s="452"/>
      <c r="K100" s="453"/>
      <c r="L100" s="449">
        <v>0</v>
      </c>
      <c r="M100" s="450"/>
      <c r="N100" s="451"/>
      <c r="O100" s="452"/>
      <c r="P100" s="453"/>
      <c r="Q100" s="449">
        <v>0</v>
      </c>
      <c r="R100" s="450"/>
      <c r="S100" s="451"/>
      <c r="T100" s="452"/>
      <c r="U100" s="453"/>
      <c r="V100" s="449">
        <v>0</v>
      </c>
      <c r="W100" s="450"/>
      <c r="X100" s="451"/>
      <c r="Y100" s="452"/>
      <c r="Z100" s="453"/>
      <c r="AA100" s="449">
        <v>0</v>
      </c>
      <c r="AB100" s="450"/>
      <c r="AC100" s="451"/>
      <c r="AD100" s="452"/>
      <c r="AE100" s="453"/>
      <c r="AF100" s="449">
        <v>0</v>
      </c>
      <c r="AG100" s="450"/>
      <c r="AH100" s="451"/>
      <c r="AI100" s="452"/>
      <c r="AJ100" s="453"/>
      <c r="AK100" s="449">
        <v>0</v>
      </c>
      <c r="AL100" s="450"/>
      <c r="AM100" s="451"/>
      <c r="AN100" s="452"/>
      <c r="AO100" s="453"/>
      <c r="AP100" s="449">
        <v>0</v>
      </c>
      <c r="AQ100" s="450"/>
      <c r="AR100" s="451"/>
      <c r="AS100" s="452"/>
      <c r="AT100" s="453"/>
      <c r="AU100" s="449">
        <v>0</v>
      </c>
      <c r="AV100" s="450"/>
      <c r="AW100" s="451"/>
      <c r="AX100" s="452"/>
      <c r="AY100" s="453"/>
      <c r="AZ100" s="449">
        <v>0</v>
      </c>
      <c r="BA100" s="450"/>
      <c r="BB100" s="451"/>
      <c r="BC100" s="452"/>
      <c r="BD100" s="453"/>
      <c r="BE100" s="449">
        <v>0</v>
      </c>
      <c r="BF100" s="450"/>
      <c r="BG100" s="451"/>
      <c r="BH100" s="452"/>
      <c r="BI100" s="453"/>
      <c r="BJ100" s="449">
        <v>0</v>
      </c>
      <c r="BK100" s="450"/>
      <c r="BL100" s="451"/>
      <c r="BM100" s="452"/>
      <c r="BN100" s="453"/>
      <c r="BO100" s="449">
        <v>0</v>
      </c>
      <c r="BP100" s="450"/>
      <c r="BQ100" s="451"/>
      <c r="BR100" s="452"/>
      <c r="BS100" s="452"/>
      <c r="BT100" s="451">
        <f>SUM(L100:BO100)</f>
        <v>0</v>
      </c>
      <c r="BU100" s="450"/>
      <c r="BV100" s="451"/>
      <c r="BW100" s="452"/>
      <c r="BX100" s="453"/>
      <c r="BY100" s="451">
        <f>SUM(Q100:BT100)</f>
        <v>0</v>
      </c>
      <c r="BZ100" s="450"/>
      <c r="CA100" s="451"/>
      <c r="CB100" s="452"/>
      <c r="CC100" s="453"/>
      <c r="CD100" s="449">
        <v>0</v>
      </c>
      <c r="CE100" s="450"/>
      <c r="CF100" s="451"/>
      <c r="CG100" s="452"/>
      <c r="CH100" s="453"/>
      <c r="CI100" s="449">
        <v>0</v>
      </c>
      <c r="CJ100" s="450"/>
      <c r="CK100" s="451"/>
      <c r="CL100" s="452"/>
      <c r="CM100" s="453"/>
      <c r="CN100" s="449">
        <v>0</v>
      </c>
      <c r="CO100" s="450"/>
      <c r="CP100" s="451"/>
      <c r="CQ100" s="452"/>
      <c r="CR100" s="453"/>
      <c r="CS100" s="449">
        <v>0</v>
      </c>
      <c r="CT100" s="450"/>
      <c r="CU100" s="451"/>
      <c r="CV100" s="452"/>
      <c r="CW100" s="453"/>
      <c r="CX100" s="449">
        <v>0</v>
      </c>
      <c r="CY100" s="450"/>
      <c r="CZ100" s="451"/>
      <c r="DA100" s="452"/>
      <c r="DB100" s="453"/>
      <c r="DC100" s="449">
        <v>0</v>
      </c>
      <c r="DD100" s="450"/>
      <c r="DE100" s="451"/>
      <c r="DF100" s="452"/>
      <c r="DG100" s="453"/>
      <c r="DH100" s="449">
        <v>0</v>
      </c>
      <c r="DI100" s="450"/>
      <c r="DJ100" s="451"/>
      <c r="DK100" s="452"/>
      <c r="DL100" s="453"/>
      <c r="DM100" s="449">
        <v>0</v>
      </c>
      <c r="DN100" s="450"/>
      <c r="DO100" s="451"/>
      <c r="DP100" s="452"/>
      <c r="DQ100" s="453"/>
      <c r="DR100" s="449">
        <v>0</v>
      </c>
      <c r="DS100" s="450"/>
      <c r="DT100" s="451"/>
      <c r="DU100" s="452"/>
      <c r="DV100" s="453"/>
      <c r="DW100" s="449">
        <v>0</v>
      </c>
      <c r="DX100" s="450"/>
      <c r="DY100" s="451"/>
      <c r="DZ100" s="452"/>
      <c r="EA100" s="453"/>
      <c r="EB100" s="449">
        <v>0</v>
      </c>
      <c r="EC100" s="450"/>
      <c r="ED100" s="451"/>
      <c r="EE100" s="452"/>
      <c r="EF100" s="453"/>
      <c r="EG100" s="449">
        <v>0</v>
      </c>
      <c r="EH100" s="450"/>
      <c r="EI100" s="455"/>
      <c r="EJ100" s="462"/>
      <c r="EK100" s="453"/>
      <c r="EL100" s="451">
        <f>SUM(CD100:EG100)</f>
        <v>0</v>
      </c>
      <c r="EM100" s="450"/>
      <c r="EN100" s="451"/>
      <c r="EO100" s="13"/>
      <c r="ER100" s="14"/>
      <c r="ES100" s="14"/>
    </row>
    <row r="101" spans="4:149" ht="12.75" hidden="1" customHeight="1" x14ac:dyDescent="0.2">
      <c r="D101" s="13" t="s">
        <v>349</v>
      </c>
      <c r="E101" s="452"/>
      <c r="F101" s="198"/>
      <c r="G101" s="451">
        <v>0</v>
      </c>
      <c r="H101" s="455"/>
      <c r="I101" s="451"/>
      <c r="J101" s="452"/>
      <c r="K101" s="452"/>
      <c r="L101" s="451">
        <v>0</v>
      </c>
      <c r="M101" s="455"/>
      <c r="N101" s="451"/>
      <c r="O101" s="452"/>
      <c r="P101" s="452"/>
      <c r="Q101" s="451">
        <v>0</v>
      </c>
      <c r="R101" s="455"/>
      <c r="S101" s="451"/>
      <c r="T101" s="452"/>
      <c r="U101" s="452"/>
      <c r="V101" s="451">
        <v>0</v>
      </c>
      <c r="W101" s="455"/>
      <c r="X101" s="451"/>
      <c r="Y101" s="452"/>
      <c r="Z101" s="452"/>
      <c r="AA101" s="451">
        <v>0</v>
      </c>
      <c r="AB101" s="455"/>
      <c r="AC101" s="451"/>
      <c r="AD101" s="452"/>
      <c r="AE101" s="452"/>
      <c r="AF101" s="451">
        <v>0</v>
      </c>
      <c r="AG101" s="455"/>
      <c r="AH101" s="451"/>
      <c r="AI101" s="452"/>
      <c r="AJ101" s="452"/>
      <c r="AK101" s="451">
        <v>0</v>
      </c>
      <c r="AL101" s="455"/>
      <c r="AM101" s="451"/>
      <c r="AN101" s="452"/>
      <c r="AO101" s="452"/>
      <c r="AP101" s="451">
        <v>0</v>
      </c>
      <c r="AQ101" s="455"/>
      <c r="AR101" s="451"/>
      <c r="AS101" s="452"/>
      <c r="AT101" s="452"/>
      <c r="AU101" s="451">
        <v>0</v>
      </c>
      <c r="AV101" s="455"/>
      <c r="AW101" s="451"/>
      <c r="AX101" s="452"/>
      <c r="AY101" s="452"/>
      <c r="AZ101" s="451">
        <v>0</v>
      </c>
      <c r="BA101" s="455"/>
      <c r="BB101" s="451"/>
      <c r="BC101" s="452"/>
      <c r="BD101" s="452"/>
      <c r="BE101" s="451">
        <v>0</v>
      </c>
      <c r="BF101" s="455"/>
      <c r="BG101" s="451"/>
      <c r="BH101" s="452"/>
      <c r="BI101" s="452"/>
      <c r="BJ101" s="451">
        <v>0</v>
      </c>
      <c r="BK101" s="455"/>
      <c r="BL101" s="451"/>
      <c r="BM101" s="452"/>
      <c r="BN101" s="452"/>
      <c r="BO101" s="451">
        <v>0</v>
      </c>
      <c r="BP101" s="455"/>
      <c r="BQ101" s="451"/>
      <c r="BR101" s="452"/>
      <c r="BS101" s="452"/>
      <c r="BT101" s="451">
        <f>SUM(L101:BO101)</f>
        <v>0</v>
      </c>
      <c r="BU101" s="455"/>
      <c r="BV101" s="451"/>
      <c r="BW101" s="452"/>
      <c r="BX101" s="452"/>
      <c r="BY101" s="451">
        <f>SUM(Q101:BT101)</f>
        <v>0</v>
      </c>
      <c r="BZ101" s="455"/>
      <c r="CA101" s="451"/>
      <c r="CB101" s="452"/>
      <c r="CC101" s="452"/>
      <c r="CD101" s="451">
        <v>0</v>
      </c>
      <c r="CE101" s="455"/>
      <c r="CF101" s="451"/>
      <c r="CG101" s="452"/>
      <c r="CH101" s="452"/>
      <c r="CI101" s="451">
        <v>0</v>
      </c>
      <c r="CJ101" s="455"/>
      <c r="CK101" s="451"/>
      <c r="CL101" s="452"/>
      <c r="CM101" s="452"/>
      <c r="CN101" s="451">
        <v>0</v>
      </c>
      <c r="CO101" s="455"/>
      <c r="CP101" s="451"/>
      <c r="CQ101" s="452"/>
      <c r="CR101" s="452"/>
      <c r="CS101" s="451">
        <v>0</v>
      </c>
      <c r="CT101" s="455"/>
      <c r="CU101" s="451"/>
      <c r="CV101" s="452"/>
      <c r="CW101" s="452"/>
      <c r="CX101" s="451">
        <v>0</v>
      </c>
      <c r="CY101" s="455"/>
      <c r="CZ101" s="451"/>
      <c r="DA101" s="452"/>
      <c r="DB101" s="452"/>
      <c r="DC101" s="451">
        <v>0</v>
      </c>
      <c r="DD101" s="455"/>
      <c r="DE101" s="451"/>
      <c r="DF101" s="452"/>
      <c r="DG101" s="452"/>
      <c r="DH101" s="451">
        <v>0</v>
      </c>
      <c r="DI101" s="455"/>
      <c r="DJ101" s="451"/>
      <c r="DK101" s="452"/>
      <c r="DL101" s="452"/>
      <c r="DM101" s="451">
        <v>0</v>
      </c>
      <c r="DN101" s="455"/>
      <c r="DO101" s="451"/>
      <c r="DP101" s="452"/>
      <c r="DQ101" s="452"/>
      <c r="DR101" s="451">
        <v>0</v>
      </c>
      <c r="DS101" s="455"/>
      <c r="DT101" s="451"/>
      <c r="DU101" s="452"/>
      <c r="DV101" s="452"/>
      <c r="DW101" s="451">
        <v>0</v>
      </c>
      <c r="DX101" s="455"/>
      <c r="DY101" s="451"/>
      <c r="DZ101" s="452"/>
      <c r="EA101" s="452"/>
      <c r="EB101" s="451">
        <v>0</v>
      </c>
      <c r="EC101" s="455"/>
      <c r="ED101" s="451"/>
      <c r="EE101" s="452"/>
      <c r="EF101" s="452"/>
      <c r="EG101" s="451">
        <v>0</v>
      </c>
      <c r="EH101" s="455"/>
      <c r="EI101" s="451"/>
      <c r="EJ101" s="452"/>
      <c r="EK101" s="452"/>
      <c r="EL101" s="451">
        <f>SUM(CD101:EG101)</f>
        <v>0</v>
      </c>
      <c r="EM101" s="455"/>
      <c r="EN101" s="451"/>
      <c r="EO101" s="13"/>
      <c r="ER101" s="14"/>
      <c r="ES101" s="14"/>
    </row>
    <row r="102" spans="4:149" ht="12.75" hidden="1" customHeight="1" x14ac:dyDescent="0.2">
      <c r="D102" s="13" t="s">
        <v>357</v>
      </c>
      <c r="E102" s="452"/>
      <c r="F102" s="385"/>
      <c r="G102" s="463">
        <v>0</v>
      </c>
      <c r="H102" s="464"/>
      <c r="I102" s="451"/>
      <c r="J102" s="452"/>
      <c r="K102" s="465"/>
      <c r="L102" s="463">
        <v>0</v>
      </c>
      <c r="M102" s="464"/>
      <c r="N102" s="451"/>
      <c r="O102" s="452"/>
      <c r="P102" s="465"/>
      <c r="Q102" s="463">
        <v>0</v>
      </c>
      <c r="R102" s="464"/>
      <c r="S102" s="451"/>
      <c r="T102" s="452"/>
      <c r="U102" s="465"/>
      <c r="V102" s="463">
        <v>0</v>
      </c>
      <c r="W102" s="464"/>
      <c r="X102" s="451"/>
      <c r="Y102" s="452"/>
      <c r="Z102" s="465"/>
      <c r="AA102" s="463">
        <v>0</v>
      </c>
      <c r="AB102" s="464"/>
      <c r="AC102" s="451"/>
      <c r="AD102" s="452"/>
      <c r="AE102" s="465"/>
      <c r="AF102" s="463">
        <v>0</v>
      </c>
      <c r="AG102" s="464"/>
      <c r="AH102" s="451"/>
      <c r="AI102" s="452"/>
      <c r="AJ102" s="465"/>
      <c r="AK102" s="463">
        <v>0</v>
      </c>
      <c r="AL102" s="464"/>
      <c r="AM102" s="451"/>
      <c r="AN102" s="452"/>
      <c r="AO102" s="465"/>
      <c r="AP102" s="463">
        <v>0</v>
      </c>
      <c r="AQ102" s="464"/>
      <c r="AR102" s="451"/>
      <c r="AS102" s="452"/>
      <c r="AT102" s="465"/>
      <c r="AU102" s="463">
        <v>0</v>
      </c>
      <c r="AV102" s="464"/>
      <c r="AW102" s="451"/>
      <c r="AX102" s="452"/>
      <c r="AY102" s="465"/>
      <c r="AZ102" s="463">
        <v>0</v>
      </c>
      <c r="BA102" s="464"/>
      <c r="BB102" s="451"/>
      <c r="BC102" s="452"/>
      <c r="BD102" s="465"/>
      <c r="BE102" s="463">
        <v>0</v>
      </c>
      <c r="BF102" s="464"/>
      <c r="BG102" s="451"/>
      <c r="BH102" s="452"/>
      <c r="BI102" s="465"/>
      <c r="BJ102" s="463">
        <v>0</v>
      </c>
      <c r="BK102" s="464"/>
      <c r="BL102" s="451"/>
      <c r="BM102" s="452"/>
      <c r="BN102" s="465"/>
      <c r="BO102" s="463">
        <v>0</v>
      </c>
      <c r="BP102" s="464"/>
      <c r="BQ102" s="451"/>
      <c r="BR102" s="452"/>
      <c r="BS102" s="465"/>
      <c r="BT102" s="463">
        <f>SUM(L102:BO102)</f>
        <v>0</v>
      </c>
      <c r="BU102" s="464"/>
      <c r="BV102" s="451"/>
      <c r="BW102" s="452"/>
      <c r="BX102" s="465"/>
      <c r="BY102" s="463">
        <f>SUM(Q102:BT102)</f>
        <v>0</v>
      </c>
      <c r="BZ102" s="464"/>
      <c r="CA102" s="451"/>
      <c r="CB102" s="452"/>
      <c r="CC102" s="465"/>
      <c r="CD102" s="463">
        <v>0</v>
      </c>
      <c r="CE102" s="464"/>
      <c r="CF102" s="451"/>
      <c r="CG102" s="452"/>
      <c r="CH102" s="465"/>
      <c r="CI102" s="463">
        <v>0</v>
      </c>
      <c r="CJ102" s="464"/>
      <c r="CK102" s="451"/>
      <c r="CL102" s="452"/>
      <c r="CM102" s="465"/>
      <c r="CN102" s="463">
        <v>0</v>
      </c>
      <c r="CO102" s="464"/>
      <c r="CP102" s="451"/>
      <c r="CQ102" s="452"/>
      <c r="CR102" s="465"/>
      <c r="CS102" s="463">
        <v>0</v>
      </c>
      <c r="CT102" s="464"/>
      <c r="CU102" s="451"/>
      <c r="CV102" s="452"/>
      <c r="CW102" s="465"/>
      <c r="CX102" s="463">
        <v>0</v>
      </c>
      <c r="CY102" s="464"/>
      <c r="CZ102" s="451"/>
      <c r="DA102" s="452"/>
      <c r="DB102" s="465"/>
      <c r="DC102" s="463">
        <v>0</v>
      </c>
      <c r="DD102" s="464"/>
      <c r="DE102" s="451"/>
      <c r="DF102" s="452"/>
      <c r="DG102" s="465"/>
      <c r="DH102" s="463">
        <v>0</v>
      </c>
      <c r="DI102" s="464"/>
      <c r="DJ102" s="451"/>
      <c r="DK102" s="452"/>
      <c r="DL102" s="465"/>
      <c r="DM102" s="463">
        <v>0</v>
      </c>
      <c r="DN102" s="464"/>
      <c r="DO102" s="451"/>
      <c r="DP102" s="452"/>
      <c r="DQ102" s="465"/>
      <c r="DR102" s="463">
        <v>0</v>
      </c>
      <c r="DS102" s="464"/>
      <c r="DT102" s="451"/>
      <c r="DU102" s="452"/>
      <c r="DV102" s="465"/>
      <c r="DW102" s="463">
        <v>0</v>
      </c>
      <c r="DX102" s="464"/>
      <c r="DY102" s="451"/>
      <c r="DZ102" s="452"/>
      <c r="EA102" s="465"/>
      <c r="EB102" s="463">
        <v>0</v>
      </c>
      <c r="EC102" s="464"/>
      <c r="ED102" s="451"/>
      <c r="EE102" s="452"/>
      <c r="EF102" s="465"/>
      <c r="EG102" s="463">
        <v>0</v>
      </c>
      <c r="EH102" s="464"/>
      <c r="EI102" s="451"/>
      <c r="EJ102" s="452"/>
      <c r="EK102" s="465"/>
      <c r="EL102" s="463">
        <f>SUM(CD102:EG102)</f>
        <v>0</v>
      </c>
      <c r="EM102" s="464"/>
      <c r="EN102" s="451"/>
      <c r="EO102" s="13"/>
      <c r="ER102" s="14"/>
      <c r="ES102" s="14"/>
    </row>
    <row r="103" spans="4:149" ht="12.75" hidden="1" customHeight="1" x14ac:dyDescent="0.2">
      <c r="D103" s="13"/>
      <c r="E103" s="452"/>
      <c r="G103" s="451"/>
      <c r="H103" s="451"/>
      <c r="I103" s="451"/>
      <c r="J103" s="452"/>
      <c r="K103" s="451"/>
      <c r="L103" s="451"/>
      <c r="M103" s="451"/>
      <c r="N103" s="451"/>
      <c r="O103" s="452"/>
      <c r="P103" s="451"/>
      <c r="Q103" s="451"/>
      <c r="R103" s="451"/>
      <c r="S103" s="451"/>
      <c r="T103" s="452"/>
      <c r="U103" s="451"/>
      <c r="V103" s="451"/>
      <c r="W103" s="451"/>
      <c r="X103" s="451"/>
      <c r="Y103" s="452"/>
      <c r="Z103" s="451"/>
      <c r="AA103" s="451"/>
      <c r="AB103" s="451"/>
      <c r="AC103" s="451"/>
      <c r="AD103" s="452"/>
      <c r="AE103" s="451"/>
      <c r="AF103" s="451"/>
      <c r="AG103" s="451"/>
      <c r="AH103" s="451"/>
      <c r="AI103" s="452"/>
      <c r="AJ103" s="451"/>
      <c r="AK103" s="451"/>
      <c r="AL103" s="451"/>
      <c r="AM103" s="451"/>
      <c r="AN103" s="452"/>
      <c r="AO103" s="451"/>
      <c r="AP103" s="451"/>
      <c r="AQ103" s="451"/>
      <c r="AR103" s="451"/>
      <c r="AS103" s="452"/>
      <c r="AT103" s="451"/>
      <c r="AU103" s="451"/>
      <c r="AV103" s="451"/>
      <c r="AW103" s="451"/>
      <c r="AX103" s="452"/>
      <c r="AY103" s="451"/>
      <c r="AZ103" s="451"/>
      <c r="BA103" s="451"/>
      <c r="BB103" s="451"/>
      <c r="BC103" s="452"/>
      <c r="BD103" s="451"/>
      <c r="BE103" s="451"/>
      <c r="BF103" s="451"/>
      <c r="BG103" s="451"/>
      <c r="BH103" s="452"/>
      <c r="BI103" s="451"/>
      <c r="BJ103" s="451"/>
      <c r="BK103" s="451"/>
      <c r="BL103" s="451"/>
      <c r="BM103" s="452"/>
      <c r="BN103" s="451"/>
      <c r="BO103" s="451"/>
      <c r="BP103" s="451"/>
      <c r="BQ103" s="451"/>
      <c r="BR103" s="452"/>
      <c r="BS103" s="451"/>
      <c r="BT103" s="451"/>
      <c r="BU103" s="451"/>
      <c r="BV103" s="451"/>
      <c r="BW103" s="452"/>
      <c r="BX103" s="451"/>
      <c r="BY103" s="451"/>
      <c r="BZ103" s="451"/>
      <c r="CA103" s="451"/>
      <c r="CB103" s="452"/>
      <c r="CC103" s="451"/>
      <c r="CD103" s="451"/>
      <c r="CE103" s="451"/>
      <c r="CF103" s="451"/>
      <c r="CG103" s="452"/>
      <c r="CH103" s="451"/>
      <c r="CI103" s="451"/>
      <c r="CJ103" s="451"/>
      <c r="CK103" s="451"/>
      <c r="CL103" s="452"/>
      <c r="CM103" s="451"/>
      <c r="CN103" s="451"/>
      <c r="CO103" s="451"/>
      <c r="CP103" s="451"/>
      <c r="CQ103" s="452"/>
      <c r="CR103" s="451"/>
      <c r="CS103" s="451"/>
      <c r="CT103" s="451"/>
      <c r="CU103" s="451"/>
      <c r="CV103" s="452"/>
      <c r="CW103" s="451"/>
      <c r="CX103" s="451"/>
      <c r="CY103" s="451"/>
      <c r="CZ103" s="451"/>
      <c r="DA103" s="452"/>
      <c r="DB103" s="451"/>
      <c r="DC103" s="451"/>
      <c r="DD103" s="451"/>
      <c r="DE103" s="451"/>
      <c r="DF103" s="452"/>
      <c r="DG103" s="451"/>
      <c r="DH103" s="451"/>
      <c r="DI103" s="451"/>
      <c r="DJ103" s="451"/>
      <c r="DK103" s="452"/>
      <c r="DL103" s="451"/>
      <c r="DM103" s="451"/>
      <c r="DN103" s="451"/>
      <c r="DO103" s="451"/>
      <c r="DP103" s="452"/>
      <c r="DQ103" s="451"/>
      <c r="DR103" s="451"/>
      <c r="DS103" s="451"/>
      <c r="DT103" s="451"/>
      <c r="DU103" s="452"/>
      <c r="DV103" s="451"/>
      <c r="DW103" s="451"/>
      <c r="DX103" s="451"/>
      <c r="DY103" s="451"/>
      <c r="DZ103" s="452"/>
      <c r="EA103" s="451"/>
      <c r="EB103" s="451"/>
      <c r="EC103" s="451"/>
      <c r="ED103" s="451"/>
      <c r="EE103" s="452"/>
      <c r="EF103" s="451"/>
      <c r="EG103" s="451"/>
      <c r="EH103" s="451"/>
      <c r="EI103" s="451"/>
      <c r="EJ103" s="452"/>
      <c r="EK103" s="451"/>
      <c r="EL103" s="451"/>
      <c r="EM103" s="451"/>
      <c r="EN103" s="451"/>
      <c r="EO103" s="13"/>
      <c r="ER103" s="14"/>
      <c r="ES103" s="14"/>
    </row>
    <row r="104" spans="4:149" ht="12.75" hidden="1" customHeight="1" x14ac:dyDescent="0.2">
      <c r="D104" s="13" t="s">
        <v>367</v>
      </c>
      <c r="E104" s="452"/>
      <c r="G104" s="451">
        <f>SUM(G105:G107)</f>
        <v>0</v>
      </c>
      <c r="H104" s="451"/>
      <c r="I104" s="451"/>
      <c r="J104" s="452"/>
      <c r="K104" s="451"/>
      <c r="L104" s="451">
        <f>SUM(L105:L107)</f>
        <v>0</v>
      </c>
      <c r="M104" s="451"/>
      <c r="N104" s="451"/>
      <c r="O104" s="452"/>
      <c r="P104" s="451"/>
      <c r="Q104" s="451">
        <f>SUM(Q105:Q107)</f>
        <v>0</v>
      </c>
      <c r="R104" s="451"/>
      <c r="S104" s="451"/>
      <c r="T104" s="452"/>
      <c r="U104" s="451"/>
      <c r="V104" s="451">
        <f>SUM(V105:V107)</f>
        <v>0</v>
      </c>
      <c r="W104" s="451"/>
      <c r="X104" s="451"/>
      <c r="Y104" s="452"/>
      <c r="Z104" s="451"/>
      <c r="AA104" s="451">
        <f>SUM(AA105:AA107)</f>
        <v>0</v>
      </c>
      <c r="AB104" s="451"/>
      <c r="AC104" s="451"/>
      <c r="AD104" s="452"/>
      <c r="AE104" s="451"/>
      <c r="AF104" s="451">
        <f>SUM(AF105:AF107)</f>
        <v>0</v>
      </c>
      <c r="AG104" s="451"/>
      <c r="AH104" s="451"/>
      <c r="AI104" s="452"/>
      <c r="AJ104" s="451"/>
      <c r="AK104" s="451">
        <f>SUM(AK105:AK107)</f>
        <v>0</v>
      </c>
      <c r="AL104" s="451"/>
      <c r="AM104" s="451"/>
      <c r="AN104" s="452"/>
      <c r="AO104" s="451"/>
      <c r="AP104" s="451">
        <f>SUM(AP105:AP107)</f>
        <v>0</v>
      </c>
      <c r="AQ104" s="451"/>
      <c r="AR104" s="451"/>
      <c r="AS104" s="452"/>
      <c r="AT104" s="451"/>
      <c r="AU104" s="451">
        <f>SUM(AU105:AU107)</f>
        <v>0</v>
      </c>
      <c r="AV104" s="451"/>
      <c r="AW104" s="451"/>
      <c r="AX104" s="452"/>
      <c r="AY104" s="451"/>
      <c r="AZ104" s="451">
        <f>SUM(AZ105:AZ107)</f>
        <v>0</v>
      </c>
      <c r="BA104" s="451"/>
      <c r="BB104" s="451"/>
      <c r="BC104" s="452"/>
      <c r="BD104" s="451"/>
      <c r="BE104" s="451">
        <f>SUM(BE105:BE107)</f>
        <v>0</v>
      </c>
      <c r="BF104" s="451"/>
      <c r="BG104" s="451"/>
      <c r="BH104" s="452"/>
      <c r="BI104" s="451"/>
      <c r="BJ104" s="451">
        <f>SUM(BJ105:BJ107)</f>
        <v>0</v>
      </c>
      <c r="BK104" s="451"/>
      <c r="BL104" s="451"/>
      <c r="BM104" s="452"/>
      <c r="BN104" s="451"/>
      <c r="BO104" s="451">
        <f>SUM(BO105:BO107)</f>
        <v>0</v>
      </c>
      <c r="BP104" s="451"/>
      <c r="BQ104" s="451"/>
      <c r="BR104" s="452"/>
      <c r="BS104" s="451"/>
      <c r="BT104" s="451">
        <f>SUM(BT105:BT107)</f>
        <v>0</v>
      </c>
      <c r="BU104" s="451"/>
      <c r="BV104" s="451"/>
      <c r="BW104" s="452"/>
      <c r="BX104" s="451"/>
      <c r="BY104" s="451">
        <f>SUM(BY105:BY107)</f>
        <v>0</v>
      </c>
      <c r="BZ104" s="451"/>
      <c r="CA104" s="451"/>
      <c r="CB104" s="452"/>
      <c r="CC104" s="451"/>
      <c r="CD104" s="451">
        <f>SUM(CD105:CD107)</f>
        <v>0</v>
      </c>
      <c r="CE104" s="451"/>
      <c r="CF104" s="451"/>
      <c r="CG104" s="452"/>
      <c r="CH104" s="451"/>
      <c r="CI104" s="451">
        <f>SUM(CI105:CI107)</f>
        <v>0</v>
      </c>
      <c r="CJ104" s="451"/>
      <c r="CK104" s="451"/>
      <c r="CL104" s="452"/>
      <c r="CM104" s="451"/>
      <c r="CN104" s="451">
        <f>SUM(CN105:CN107)</f>
        <v>0</v>
      </c>
      <c r="CO104" s="451"/>
      <c r="CP104" s="451"/>
      <c r="CQ104" s="452"/>
      <c r="CR104" s="451"/>
      <c r="CS104" s="451">
        <f>SUM(CS105:CS107)</f>
        <v>0</v>
      </c>
      <c r="CT104" s="451"/>
      <c r="CU104" s="451"/>
      <c r="CV104" s="452"/>
      <c r="CW104" s="451"/>
      <c r="CX104" s="451">
        <f>SUM(CX105:CX107)</f>
        <v>0</v>
      </c>
      <c r="CY104" s="451"/>
      <c r="CZ104" s="451"/>
      <c r="DA104" s="452"/>
      <c r="DB104" s="451"/>
      <c r="DC104" s="451">
        <f>SUM(DC105:DC107)</f>
        <v>0</v>
      </c>
      <c r="DD104" s="451"/>
      <c r="DE104" s="451"/>
      <c r="DF104" s="452"/>
      <c r="DG104" s="451"/>
      <c r="DH104" s="451">
        <f>SUM(DH105:DH107)</f>
        <v>0</v>
      </c>
      <c r="DI104" s="451"/>
      <c r="DJ104" s="451"/>
      <c r="DK104" s="452"/>
      <c r="DL104" s="451"/>
      <c r="DM104" s="451">
        <f>SUM(DM105:DM107)</f>
        <v>0</v>
      </c>
      <c r="DN104" s="451"/>
      <c r="DO104" s="451"/>
      <c r="DP104" s="452"/>
      <c r="DQ104" s="451"/>
      <c r="DR104" s="451">
        <f>SUM(DR105:DR107)</f>
        <v>0</v>
      </c>
      <c r="DS104" s="451"/>
      <c r="DT104" s="451"/>
      <c r="DU104" s="452"/>
      <c r="DV104" s="451"/>
      <c r="DW104" s="451">
        <f>SUM(DW105:DW107)</f>
        <v>0</v>
      </c>
      <c r="DX104" s="451"/>
      <c r="DY104" s="451"/>
      <c r="DZ104" s="452"/>
      <c r="EA104" s="451"/>
      <c r="EB104" s="451">
        <f>SUM(EB105:EB107)</f>
        <v>0</v>
      </c>
      <c r="EC104" s="451"/>
      <c r="ED104" s="451"/>
      <c r="EE104" s="452"/>
      <c r="EF104" s="451"/>
      <c r="EG104" s="451">
        <f>SUM(EG105:EG107)</f>
        <v>0</v>
      </c>
      <c r="EH104" s="451"/>
      <c r="EI104" s="451"/>
      <c r="EJ104" s="452"/>
      <c r="EK104" s="451"/>
      <c r="EL104" s="451">
        <f>SUM(EL105:EL107)</f>
        <v>0</v>
      </c>
      <c r="EM104" s="451"/>
      <c r="EN104" s="451"/>
      <c r="EO104" s="13"/>
      <c r="ER104" s="14"/>
      <c r="ES104" s="14"/>
    </row>
    <row r="105" spans="4:149" ht="12.75" hidden="1" customHeight="1" x14ac:dyDescent="0.2">
      <c r="D105" s="13" t="s">
        <v>347</v>
      </c>
      <c r="E105" s="452"/>
      <c r="F105" s="374"/>
      <c r="G105" s="449">
        <v>0</v>
      </c>
      <c r="H105" s="450"/>
      <c r="I105" s="451"/>
      <c r="J105" s="452"/>
      <c r="K105" s="453"/>
      <c r="L105" s="449">
        <v>0</v>
      </c>
      <c r="M105" s="450"/>
      <c r="N105" s="451"/>
      <c r="O105" s="452"/>
      <c r="P105" s="453"/>
      <c r="Q105" s="449">
        <v>0</v>
      </c>
      <c r="R105" s="450"/>
      <c r="S105" s="451"/>
      <c r="T105" s="452"/>
      <c r="U105" s="453"/>
      <c r="V105" s="449">
        <v>0</v>
      </c>
      <c r="W105" s="450"/>
      <c r="X105" s="451"/>
      <c r="Y105" s="452"/>
      <c r="Z105" s="453"/>
      <c r="AA105" s="449">
        <v>0</v>
      </c>
      <c r="AB105" s="450"/>
      <c r="AC105" s="451"/>
      <c r="AD105" s="452"/>
      <c r="AE105" s="453"/>
      <c r="AF105" s="449">
        <v>0</v>
      </c>
      <c r="AG105" s="450"/>
      <c r="AH105" s="451"/>
      <c r="AI105" s="452"/>
      <c r="AJ105" s="453"/>
      <c r="AK105" s="449">
        <v>0</v>
      </c>
      <c r="AL105" s="450"/>
      <c r="AM105" s="451"/>
      <c r="AN105" s="452"/>
      <c r="AO105" s="453"/>
      <c r="AP105" s="449">
        <v>0</v>
      </c>
      <c r="AQ105" s="450"/>
      <c r="AR105" s="451"/>
      <c r="AS105" s="452"/>
      <c r="AT105" s="453"/>
      <c r="AU105" s="449">
        <v>0</v>
      </c>
      <c r="AV105" s="450"/>
      <c r="AW105" s="451"/>
      <c r="AX105" s="452"/>
      <c r="AY105" s="453"/>
      <c r="AZ105" s="449">
        <v>0</v>
      </c>
      <c r="BA105" s="450"/>
      <c r="BB105" s="451"/>
      <c r="BC105" s="452"/>
      <c r="BD105" s="453"/>
      <c r="BE105" s="449">
        <v>0</v>
      </c>
      <c r="BF105" s="450"/>
      <c r="BG105" s="451"/>
      <c r="BH105" s="452"/>
      <c r="BI105" s="453"/>
      <c r="BJ105" s="449">
        <v>0</v>
      </c>
      <c r="BK105" s="450"/>
      <c r="BL105" s="451"/>
      <c r="BM105" s="452"/>
      <c r="BN105" s="453"/>
      <c r="BO105" s="449">
        <v>0</v>
      </c>
      <c r="BP105" s="450"/>
      <c r="BQ105" s="451"/>
      <c r="BR105" s="452"/>
      <c r="BS105" s="453"/>
      <c r="BT105" s="449">
        <f>SUM(L105:BO105)</f>
        <v>0</v>
      </c>
      <c r="BU105" s="450"/>
      <c r="BV105" s="451"/>
      <c r="BW105" s="452"/>
      <c r="BX105" s="453"/>
      <c r="BY105" s="449">
        <f>SUM(Q105:BT105)</f>
        <v>0</v>
      </c>
      <c r="BZ105" s="450"/>
      <c r="CA105" s="451"/>
      <c r="CB105" s="452"/>
      <c r="CC105" s="453"/>
      <c r="CD105" s="449">
        <v>0</v>
      </c>
      <c r="CE105" s="450"/>
      <c r="CF105" s="451"/>
      <c r="CG105" s="452"/>
      <c r="CH105" s="453"/>
      <c r="CI105" s="449">
        <v>0</v>
      </c>
      <c r="CJ105" s="450"/>
      <c r="CK105" s="451"/>
      <c r="CL105" s="452"/>
      <c r="CM105" s="453"/>
      <c r="CN105" s="449">
        <v>0</v>
      </c>
      <c r="CO105" s="450"/>
      <c r="CP105" s="451"/>
      <c r="CQ105" s="452"/>
      <c r="CR105" s="453"/>
      <c r="CS105" s="449">
        <v>0</v>
      </c>
      <c r="CT105" s="450"/>
      <c r="CU105" s="451"/>
      <c r="CV105" s="452"/>
      <c r="CW105" s="453"/>
      <c r="CX105" s="449">
        <v>0</v>
      </c>
      <c r="CY105" s="450"/>
      <c r="CZ105" s="451"/>
      <c r="DA105" s="452"/>
      <c r="DB105" s="453"/>
      <c r="DC105" s="449">
        <v>0</v>
      </c>
      <c r="DD105" s="450"/>
      <c r="DE105" s="451"/>
      <c r="DF105" s="452"/>
      <c r="DG105" s="453"/>
      <c r="DH105" s="449">
        <v>0</v>
      </c>
      <c r="DI105" s="450"/>
      <c r="DJ105" s="451"/>
      <c r="DK105" s="452"/>
      <c r="DL105" s="453"/>
      <c r="DM105" s="449">
        <v>0</v>
      </c>
      <c r="DN105" s="450"/>
      <c r="DO105" s="451"/>
      <c r="DP105" s="452"/>
      <c r="DQ105" s="453"/>
      <c r="DR105" s="449">
        <v>0</v>
      </c>
      <c r="DS105" s="450"/>
      <c r="DT105" s="451"/>
      <c r="DU105" s="452"/>
      <c r="DV105" s="453"/>
      <c r="DW105" s="449">
        <v>0</v>
      </c>
      <c r="DX105" s="450"/>
      <c r="DY105" s="451"/>
      <c r="DZ105" s="452"/>
      <c r="EA105" s="453"/>
      <c r="EB105" s="449">
        <v>0</v>
      </c>
      <c r="EC105" s="450"/>
      <c r="ED105" s="451"/>
      <c r="EE105" s="452"/>
      <c r="EF105" s="453"/>
      <c r="EG105" s="449">
        <v>0</v>
      </c>
      <c r="EH105" s="450"/>
      <c r="EI105" s="451"/>
      <c r="EJ105" s="452"/>
      <c r="EK105" s="453"/>
      <c r="EL105" s="449">
        <f>SUM(CD105:EG105)</f>
        <v>0</v>
      </c>
      <c r="EM105" s="450"/>
      <c r="EN105" s="451"/>
      <c r="EO105" s="13"/>
      <c r="ER105" s="14"/>
      <c r="ES105" s="14"/>
    </row>
    <row r="106" spans="4:149" ht="12.75" hidden="1" customHeight="1" x14ac:dyDescent="0.2">
      <c r="D106" s="13" t="s">
        <v>349</v>
      </c>
      <c r="E106" s="452"/>
      <c r="F106" s="198"/>
      <c r="G106" s="451">
        <v>0</v>
      </c>
      <c r="H106" s="455"/>
      <c r="I106" s="451"/>
      <c r="J106" s="452"/>
      <c r="K106" s="452"/>
      <c r="L106" s="451">
        <v>0</v>
      </c>
      <c r="M106" s="455"/>
      <c r="N106" s="451"/>
      <c r="O106" s="452"/>
      <c r="P106" s="452"/>
      <c r="Q106" s="451">
        <v>0</v>
      </c>
      <c r="R106" s="455"/>
      <c r="S106" s="451"/>
      <c r="T106" s="452"/>
      <c r="U106" s="452"/>
      <c r="V106" s="451">
        <v>0</v>
      </c>
      <c r="W106" s="455"/>
      <c r="X106" s="451"/>
      <c r="Y106" s="452"/>
      <c r="Z106" s="452"/>
      <c r="AA106" s="451">
        <v>0</v>
      </c>
      <c r="AB106" s="455"/>
      <c r="AC106" s="451"/>
      <c r="AD106" s="452"/>
      <c r="AE106" s="452"/>
      <c r="AF106" s="451">
        <v>0</v>
      </c>
      <c r="AG106" s="455"/>
      <c r="AH106" s="451"/>
      <c r="AI106" s="452"/>
      <c r="AJ106" s="452"/>
      <c r="AK106" s="451">
        <v>0</v>
      </c>
      <c r="AL106" s="455"/>
      <c r="AM106" s="451"/>
      <c r="AN106" s="452"/>
      <c r="AO106" s="452"/>
      <c r="AP106" s="451">
        <v>0</v>
      </c>
      <c r="AQ106" s="455"/>
      <c r="AR106" s="451"/>
      <c r="AS106" s="452"/>
      <c r="AT106" s="452"/>
      <c r="AU106" s="451">
        <v>0</v>
      </c>
      <c r="AV106" s="455"/>
      <c r="AW106" s="451"/>
      <c r="AX106" s="452"/>
      <c r="AY106" s="452"/>
      <c r="AZ106" s="451">
        <v>0</v>
      </c>
      <c r="BA106" s="455"/>
      <c r="BB106" s="451"/>
      <c r="BC106" s="452"/>
      <c r="BD106" s="452"/>
      <c r="BE106" s="451">
        <v>0</v>
      </c>
      <c r="BF106" s="455"/>
      <c r="BG106" s="451"/>
      <c r="BH106" s="452"/>
      <c r="BI106" s="452"/>
      <c r="BJ106" s="451">
        <v>0</v>
      </c>
      <c r="BK106" s="455"/>
      <c r="BL106" s="451"/>
      <c r="BM106" s="452"/>
      <c r="BN106" s="452"/>
      <c r="BO106" s="451">
        <v>0</v>
      </c>
      <c r="BP106" s="455"/>
      <c r="BQ106" s="451"/>
      <c r="BR106" s="452"/>
      <c r="BS106" s="452"/>
      <c r="BT106" s="451">
        <f>SUM(L106:BO106)</f>
        <v>0</v>
      </c>
      <c r="BU106" s="455"/>
      <c r="BV106" s="451"/>
      <c r="BW106" s="452"/>
      <c r="BX106" s="452"/>
      <c r="BY106" s="451">
        <f>SUM(Q106:BT106)</f>
        <v>0</v>
      </c>
      <c r="BZ106" s="455"/>
      <c r="CA106" s="451"/>
      <c r="CB106" s="452"/>
      <c r="CC106" s="452"/>
      <c r="CD106" s="451">
        <v>0</v>
      </c>
      <c r="CE106" s="455"/>
      <c r="CF106" s="451"/>
      <c r="CG106" s="452"/>
      <c r="CH106" s="452"/>
      <c r="CI106" s="451">
        <v>0</v>
      </c>
      <c r="CJ106" s="455"/>
      <c r="CK106" s="451"/>
      <c r="CL106" s="452"/>
      <c r="CM106" s="452"/>
      <c r="CN106" s="451">
        <v>0</v>
      </c>
      <c r="CO106" s="455"/>
      <c r="CP106" s="451"/>
      <c r="CQ106" s="452"/>
      <c r="CR106" s="452"/>
      <c r="CS106" s="451">
        <v>0</v>
      </c>
      <c r="CT106" s="455"/>
      <c r="CU106" s="451"/>
      <c r="CV106" s="452"/>
      <c r="CW106" s="452"/>
      <c r="CX106" s="451">
        <v>0</v>
      </c>
      <c r="CY106" s="455"/>
      <c r="CZ106" s="451"/>
      <c r="DA106" s="452"/>
      <c r="DB106" s="452"/>
      <c r="DC106" s="451">
        <v>0</v>
      </c>
      <c r="DD106" s="455"/>
      <c r="DE106" s="451"/>
      <c r="DF106" s="452"/>
      <c r="DG106" s="452"/>
      <c r="DH106" s="451">
        <v>0</v>
      </c>
      <c r="DI106" s="455"/>
      <c r="DJ106" s="451"/>
      <c r="DK106" s="452"/>
      <c r="DL106" s="452"/>
      <c r="DM106" s="451">
        <v>0</v>
      </c>
      <c r="DN106" s="455"/>
      <c r="DO106" s="451"/>
      <c r="DP106" s="452"/>
      <c r="DQ106" s="452"/>
      <c r="DR106" s="451">
        <v>0</v>
      </c>
      <c r="DS106" s="455"/>
      <c r="DT106" s="451"/>
      <c r="DU106" s="452"/>
      <c r="DV106" s="452"/>
      <c r="DW106" s="451">
        <v>0</v>
      </c>
      <c r="DX106" s="455"/>
      <c r="DY106" s="451"/>
      <c r="DZ106" s="452"/>
      <c r="EA106" s="452"/>
      <c r="EB106" s="451">
        <v>0</v>
      </c>
      <c r="EC106" s="455"/>
      <c r="ED106" s="451"/>
      <c r="EE106" s="452"/>
      <c r="EF106" s="452"/>
      <c r="EG106" s="451">
        <v>0</v>
      </c>
      <c r="EH106" s="455"/>
      <c r="EI106" s="451"/>
      <c r="EJ106" s="452"/>
      <c r="EK106" s="452"/>
      <c r="EL106" s="451">
        <f>SUM(CD106:EG106)</f>
        <v>0</v>
      </c>
      <c r="EM106" s="455"/>
      <c r="EN106" s="451"/>
      <c r="EO106" s="13"/>
      <c r="ER106" s="14"/>
      <c r="ES106" s="14"/>
    </row>
    <row r="107" spans="4:149" ht="12.75" hidden="1" customHeight="1" x14ac:dyDescent="0.2">
      <c r="D107" s="13" t="s">
        <v>357</v>
      </c>
      <c r="E107" s="452"/>
      <c r="F107" s="385"/>
      <c r="G107" s="463">
        <v>0</v>
      </c>
      <c r="H107" s="464"/>
      <c r="I107" s="451"/>
      <c r="J107" s="452"/>
      <c r="K107" s="465"/>
      <c r="L107" s="463">
        <v>0</v>
      </c>
      <c r="M107" s="464"/>
      <c r="N107" s="451"/>
      <c r="O107" s="452"/>
      <c r="P107" s="465"/>
      <c r="Q107" s="463">
        <v>0</v>
      </c>
      <c r="R107" s="464"/>
      <c r="S107" s="451"/>
      <c r="T107" s="452"/>
      <c r="U107" s="465"/>
      <c r="V107" s="463">
        <v>0</v>
      </c>
      <c r="W107" s="464"/>
      <c r="X107" s="451"/>
      <c r="Y107" s="452"/>
      <c r="Z107" s="465"/>
      <c r="AA107" s="463">
        <v>0</v>
      </c>
      <c r="AB107" s="464"/>
      <c r="AC107" s="451"/>
      <c r="AD107" s="452"/>
      <c r="AE107" s="465"/>
      <c r="AF107" s="463">
        <v>0</v>
      </c>
      <c r="AG107" s="464"/>
      <c r="AH107" s="451"/>
      <c r="AI107" s="452"/>
      <c r="AJ107" s="465"/>
      <c r="AK107" s="463">
        <v>0</v>
      </c>
      <c r="AL107" s="464"/>
      <c r="AM107" s="451"/>
      <c r="AN107" s="452"/>
      <c r="AO107" s="465"/>
      <c r="AP107" s="463">
        <v>0</v>
      </c>
      <c r="AQ107" s="464"/>
      <c r="AR107" s="451"/>
      <c r="AS107" s="452"/>
      <c r="AT107" s="465"/>
      <c r="AU107" s="463">
        <v>0</v>
      </c>
      <c r="AV107" s="464"/>
      <c r="AW107" s="451"/>
      <c r="AX107" s="452"/>
      <c r="AY107" s="465"/>
      <c r="AZ107" s="463">
        <v>0</v>
      </c>
      <c r="BA107" s="464"/>
      <c r="BB107" s="451"/>
      <c r="BC107" s="452"/>
      <c r="BD107" s="465"/>
      <c r="BE107" s="463">
        <v>0</v>
      </c>
      <c r="BF107" s="464"/>
      <c r="BG107" s="451"/>
      <c r="BH107" s="452"/>
      <c r="BI107" s="465"/>
      <c r="BJ107" s="463">
        <v>0</v>
      </c>
      <c r="BK107" s="464"/>
      <c r="BL107" s="451"/>
      <c r="BM107" s="452"/>
      <c r="BN107" s="465"/>
      <c r="BO107" s="463">
        <v>0</v>
      </c>
      <c r="BP107" s="464"/>
      <c r="BQ107" s="451"/>
      <c r="BR107" s="452"/>
      <c r="BS107" s="465"/>
      <c r="BT107" s="463">
        <f>SUM(L107:BO107)</f>
        <v>0</v>
      </c>
      <c r="BU107" s="464"/>
      <c r="BV107" s="451"/>
      <c r="BW107" s="452"/>
      <c r="BX107" s="465"/>
      <c r="BY107" s="463">
        <f>SUM(Q107:BT107)</f>
        <v>0</v>
      </c>
      <c r="BZ107" s="464"/>
      <c r="CA107" s="451"/>
      <c r="CB107" s="452"/>
      <c r="CC107" s="465"/>
      <c r="CD107" s="463">
        <v>0</v>
      </c>
      <c r="CE107" s="464"/>
      <c r="CF107" s="451"/>
      <c r="CG107" s="452"/>
      <c r="CH107" s="465"/>
      <c r="CI107" s="463">
        <v>0</v>
      </c>
      <c r="CJ107" s="464"/>
      <c r="CK107" s="451"/>
      <c r="CL107" s="452"/>
      <c r="CM107" s="465"/>
      <c r="CN107" s="463">
        <v>0</v>
      </c>
      <c r="CO107" s="464"/>
      <c r="CP107" s="451"/>
      <c r="CQ107" s="452"/>
      <c r="CR107" s="465"/>
      <c r="CS107" s="463">
        <v>0</v>
      </c>
      <c r="CT107" s="464"/>
      <c r="CU107" s="451"/>
      <c r="CV107" s="452"/>
      <c r="CW107" s="465"/>
      <c r="CX107" s="463">
        <v>0</v>
      </c>
      <c r="CY107" s="464"/>
      <c r="CZ107" s="451"/>
      <c r="DA107" s="452"/>
      <c r="DB107" s="465"/>
      <c r="DC107" s="463">
        <v>0</v>
      </c>
      <c r="DD107" s="464"/>
      <c r="DE107" s="451"/>
      <c r="DF107" s="452"/>
      <c r="DG107" s="465"/>
      <c r="DH107" s="463">
        <v>0</v>
      </c>
      <c r="DI107" s="464"/>
      <c r="DJ107" s="451"/>
      <c r="DK107" s="452"/>
      <c r="DL107" s="465"/>
      <c r="DM107" s="463">
        <v>0</v>
      </c>
      <c r="DN107" s="464"/>
      <c r="DO107" s="451"/>
      <c r="DP107" s="452"/>
      <c r="DQ107" s="465"/>
      <c r="DR107" s="463">
        <v>0</v>
      </c>
      <c r="DS107" s="464"/>
      <c r="DT107" s="451"/>
      <c r="DU107" s="452"/>
      <c r="DV107" s="465"/>
      <c r="DW107" s="463">
        <v>0</v>
      </c>
      <c r="DX107" s="464"/>
      <c r="DY107" s="451"/>
      <c r="DZ107" s="452"/>
      <c r="EA107" s="465"/>
      <c r="EB107" s="463">
        <v>0</v>
      </c>
      <c r="EC107" s="464"/>
      <c r="ED107" s="451"/>
      <c r="EE107" s="452"/>
      <c r="EF107" s="465"/>
      <c r="EG107" s="463">
        <v>0</v>
      </c>
      <c r="EH107" s="464"/>
      <c r="EI107" s="451"/>
      <c r="EJ107" s="452"/>
      <c r="EK107" s="465"/>
      <c r="EL107" s="463">
        <f>SUM(CD107:EG107)</f>
        <v>0</v>
      </c>
      <c r="EM107" s="464"/>
      <c r="EN107" s="451"/>
      <c r="EO107" s="13"/>
      <c r="ER107" s="14"/>
      <c r="ES107" s="14"/>
    </row>
    <row r="108" spans="4:149" ht="12.75" hidden="1" customHeight="1" x14ac:dyDescent="0.2">
      <c r="D108" s="13"/>
      <c r="E108" s="452"/>
      <c r="G108" s="451"/>
      <c r="H108" s="451"/>
      <c r="I108" s="451"/>
      <c r="J108" s="452"/>
      <c r="K108" s="451"/>
      <c r="L108" s="451"/>
      <c r="M108" s="451"/>
      <c r="N108" s="451"/>
      <c r="O108" s="452"/>
      <c r="P108" s="451"/>
      <c r="Q108" s="451"/>
      <c r="R108" s="451"/>
      <c r="S108" s="451"/>
      <c r="T108" s="452"/>
      <c r="U108" s="451"/>
      <c r="V108" s="451"/>
      <c r="W108" s="451"/>
      <c r="X108" s="451"/>
      <c r="Y108" s="452"/>
      <c r="Z108" s="451"/>
      <c r="AA108" s="451"/>
      <c r="AB108" s="451"/>
      <c r="AC108" s="451"/>
      <c r="AD108" s="452"/>
      <c r="AE108" s="451"/>
      <c r="AF108" s="451"/>
      <c r="AG108" s="451"/>
      <c r="AH108" s="451"/>
      <c r="AI108" s="452"/>
      <c r="AJ108" s="451"/>
      <c r="AK108" s="451"/>
      <c r="AL108" s="451"/>
      <c r="AM108" s="451"/>
      <c r="AN108" s="452"/>
      <c r="AO108" s="451"/>
      <c r="AP108" s="451"/>
      <c r="AQ108" s="451"/>
      <c r="AR108" s="451"/>
      <c r="AS108" s="452"/>
      <c r="AT108" s="451"/>
      <c r="AU108" s="451"/>
      <c r="AV108" s="451"/>
      <c r="AW108" s="451"/>
      <c r="AX108" s="452"/>
      <c r="AY108" s="451"/>
      <c r="AZ108" s="451"/>
      <c r="BA108" s="451"/>
      <c r="BB108" s="451"/>
      <c r="BC108" s="452"/>
      <c r="BD108" s="451"/>
      <c r="BE108" s="451"/>
      <c r="BF108" s="451"/>
      <c r="BG108" s="451"/>
      <c r="BH108" s="452"/>
      <c r="BI108" s="451"/>
      <c r="BJ108" s="451"/>
      <c r="BK108" s="451"/>
      <c r="BL108" s="451"/>
      <c r="BM108" s="452"/>
      <c r="BN108" s="451"/>
      <c r="BO108" s="451"/>
      <c r="BP108" s="451"/>
      <c r="BQ108" s="451"/>
      <c r="BR108" s="452"/>
      <c r="BS108" s="451"/>
      <c r="BT108" s="451"/>
      <c r="BU108" s="451"/>
      <c r="BV108" s="451"/>
      <c r="BW108" s="452"/>
      <c r="BX108" s="451"/>
      <c r="BY108" s="451"/>
      <c r="BZ108" s="451"/>
      <c r="CA108" s="451"/>
      <c r="CB108" s="452"/>
      <c r="CC108" s="451"/>
      <c r="CD108" s="451"/>
      <c r="CE108" s="451"/>
      <c r="CF108" s="451"/>
      <c r="CG108" s="452"/>
      <c r="CH108" s="451"/>
      <c r="CI108" s="451"/>
      <c r="CJ108" s="451"/>
      <c r="CK108" s="451"/>
      <c r="CL108" s="452"/>
      <c r="CM108" s="451"/>
      <c r="CN108" s="451"/>
      <c r="CO108" s="451"/>
      <c r="CP108" s="451"/>
      <c r="CQ108" s="452"/>
      <c r="CR108" s="451"/>
      <c r="CS108" s="451"/>
      <c r="CT108" s="451"/>
      <c r="CU108" s="451"/>
      <c r="CV108" s="452"/>
      <c r="CW108" s="451"/>
      <c r="CX108" s="451"/>
      <c r="CY108" s="451"/>
      <c r="CZ108" s="451"/>
      <c r="DA108" s="452"/>
      <c r="DB108" s="451"/>
      <c r="DC108" s="451"/>
      <c r="DD108" s="451"/>
      <c r="DE108" s="451"/>
      <c r="DF108" s="452"/>
      <c r="DG108" s="451"/>
      <c r="DH108" s="451"/>
      <c r="DI108" s="451"/>
      <c r="DJ108" s="451"/>
      <c r="DK108" s="452"/>
      <c r="DL108" s="451"/>
      <c r="DM108" s="451"/>
      <c r="DN108" s="451"/>
      <c r="DO108" s="451"/>
      <c r="DP108" s="452"/>
      <c r="DQ108" s="451"/>
      <c r="DR108" s="451"/>
      <c r="DS108" s="451"/>
      <c r="DT108" s="451"/>
      <c r="DU108" s="452"/>
      <c r="DV108" s="451"/>
      <c r="DW108" s="451"/>
      <c r="DX108" s="451"/>
      <c r="DY108" s="451"/>
      <c r="DZ108" s="452"/>
      <c r="EA108" s="451"/>
      <c r="EB108" s="451"/>
      <c r="EC108" s="451"/>
      <c r="ED108" s="451"/>
      <c r="EE108" s="452"/>
      <c r="EF108" s="451"/>
      <c r="EG108" s="451"/>
      <c r="EH108" s="451"/>
      <c r="EI108" s="451"/>
      <c r="EJ108" s="452"/>
      <c r="EK108" s="451"/>
      <c r="EL108" s="451"/>
      <c r="EM108" s="451"/>
      <c r="EN108" s="451"/>
      <c r="EO108" s="13"/>
      <c r="ER108" s="14"/>
      <c r="ES108" s="14"/>
    </row>
    <row r="109" spans="4:149" ht="12.75" hidden="1" customHeight="1" x14ac:dyDescent="0.2">
      <c r="D109" s="13" t="s">
        <v>368</v>
      </c>
      <c r="E109" s="452"/>
      <c r="G109" s="451">
        <f>SUM(G110:G112)</f>
        <v>0</v>
      </c>
      <c r="H109" s="451"/>
      <c r="I109" s="451"/>
      <c r="J109" s="452"/>
      <c r="K109" s="451"/>
      <c r="L109" s="451">
        <f>SUM(L110:L112)</f>
        <v>0</v>
      </c>
      <c r="M109" s="451"/>
      <c r="N109" s="451"/>
      <c r="O109" s="452"/>
      <c r="P109" s="451"/>
      <c r="Q109" s="451">
        <f>SUM(Q110:Q112)</f>
        <v>0</v>
      </c>
      <c r="R109" s="451"/>
      <c r="S109" s="451"/>
      <c r="T109" s="452"/>
      <c r="U109" s="451"/>
      <c r="V109" s="451">
        <f>SUM(V110:V112)</f>
        <v>0</v>
      </c>
      <c r="W109" s="451"/>
      <c r="X109" s="451"/>
      <c r="Y109" s="452"/>
      <c r="Z109" s="451"/>
      <c r="AA109" s="451">
        <f>SUM(AA110:AA112)</f>
        <v>0</v>
      </c>
      <c r="AB109" s="451"/>
      <c r="AC109" s="451"/>
      <c r="AD109" s="452"/>
      <c r="AE109" s="451"/>
      <c r="AF109" s="451">
        <f>SUM(AF110:AF112)</f>
        <v>0</v>
      </c>
      <c r="AG109" s="451"/>
      <c r="AH109" s="451"/>
      <c r="AI109" s="452"/>
      <c r="AJ109" s="451"/>
      <c r="AK109" s="451">
        <f>SUM(AK110:AK112)</f>
        <v>0</v>
      </c>
      <c r="AL109" s="451"/>
      <c r="AM109" s="451"/>
      <c r="AN109" s="452"/>
      <c r="AO109" s="451"/>
      <c r="AP109" s="451">
        <f>SUM(AP110:AP112)</f>
        <v>0</v>
      </c>
      <c r="AQ109" s="451"/>
      <c r="AR109" s="451"/>
      <c r="AS109" s="452"/>
      <c r="AT109" s="451"/>
      <c r="AU109" s="451">
        <f>SUM(AU110:AU112)</f>
        <v>0</v>
      </c>
      <c r="AV109" s="451"/>
      <c r="AW109" s="451"/>
      <c r="AX109" s="452"/>
      <c r="AY109" s="451"/>
      <c r="AZ109" s="451">
        <f>SUM(AZ110:AZ112)</f>
        <v>0</v>
      </c>
      <c r="BA109" s="451"/>
      <c r="BB109" s="451"/>
      <c r="BC109" s="452"/>
      <c r="BD109" s="451"/>
      <c r="BE109" s="451">
        <f>SUM(BE110:BE112)</f>
        <v>0</v>
      </c>
      <c r="BF109" s="451"/>
      <c r="BG109" s="451"/>
      <c r="BH109" s="452"/>
      <c r="BI109" s="451"/>
      <c r="BJ109" s="451">
        <f>SUM(BJ110:BJ112)</f>
        <v>0</v>
      </c>
      <c r="BK109" s="451"/>
      <c r="BL109" s="451"/>
      <c r="BM109" s="452"/>
      <c r="BN109" s="451"/>
      <c r="BO109" s="451">
        <f>SUM(BO110:BO112)</f>
        <v>0</v>
      </c>
      <c r="BP109" s="451"/>
      <c r="BQ109" s="451"/>
      <c r="BR109" s="452"/>
      <c r="BS109" s="451"/>
      <c r="BT109" s="451">
        <f>SUM(BT110:BT112)</f>
        <v>0</v>
      </c>
      <c r="BU109" s="451"/>
      <c r="BV109" s="451"/>
      <c r="BW109" s="452"/>
      <c r="BX109" s="451"/>
      <c r="BY109" s="451">
        <f>SUM(BY110:BY112)</f>
        <v>0</v>
      </c>
      <c r="BZ109" s="451"/>
      <c r="CA109" s="451"/>
      <c r="CB109" s="452"/>
      <c r="CC109" s="451"/>
      <c r="CD109" s="451">
        <f>SUM(CD110:CD112)</f>
        <v>0</v>
      </c>
      <c r="CE109" s="451"/>
      <c r="CF109" s="451"/>
      <c r="CG109" s="452"/>
      <c r="CH109" s="451"/>
      <c r="CI109" s="451">
        <f>SUM(CI110:CI112)</f>
        <v>0</v>
      </c>
      <c r="CJ109" s="451"/>
      <c r="CK109" s="451"/>
      <c r="CL109" s="452"/>
      <c r="CM109" s="451"/>
      <c r="CN109" s="451">
        <f>SUM(CN110:CN112)</f>
        <v>0</v>
      </c>
      <c r="CO109" s="451"/>
      <c r="CP109" s="451"/>
      <c r="CQ109" s="452"/>
      <c r="CR109" s="451"/>
      <c r="CS109" s="451">
        <f>SUM(CS110:CS112)</f>
        <v>0</v>
      </c>
      <c r="CT109" s="451"/>
      <c r="CU109" s="451"/>
      <c r="CV109" s="452"/>
      <c r="CW109" s="451"/>
      <c r="CX109" s="451">
        <f>SUM(CX110:CX112)</f>
        <v>0</v>
      </c>
      <c r="CY109" s="451"/>
      <c r="CZ109" s="451"/>
      <c r="DA109" s="452"/>
      <c r="DB109" s="451"/>
      <c r="DC109" s="451">
        <f>SUM(DC110:DC112)</f>
        <v>0</v>
      </c>
      <c r="DD109" s="451"/>
      <c r="DE109" s="451"/>
      <c r="DF109" s="452"/>
      <c r="DG109" s="451"/>
      <c r="DH109" s="451">
        <f>SUM(DH110:DH112)</f>
        <v>0</v>
      </c>
      <c r="DI109" s="451"/>
      <c r="DJ109" s="451"/>
      <c r="DK109" s="452"/>
      <c r="DL109" s="451"/>
      <c r="DM109" s="451">
        <f>SUM(DM110:DM112)</f>
        <v>0</v>
      </c>
      <c r="DN109" s="451"/>
      <c r="DO109" s="451"/>
      <c r="DP109" s="452"/>
      <c r="DQ109" s="451"/>
      <c r="DR109" s="451">
        <f>SUM(DR110:DR112)</f>
        <v>0</v>
      </c>
      <c r="DS109" s="451"/>
      <c r="DT109" s="451"/>
      <c r="DU109" s="452"/>
      <c r="DV109" s="451"/>
      <c r="DW109" s="451">
        <f>SUM(DW110:DW112)</f>
        <v>0</v>
      </c>
      <c r="DX109" s="451"/>
      <c r="DY109" s="451"/>
      <c r="DZ109" s="452"/>
      <c r="EA109" s="451"/>
      <c r="EB109" s="451">
        <f>SUM(EB110:EB112)</f>
        <v>0</v>
      </c>
      <c r="EC109" s="451"/>
      <c r="ED109" s="451"/>
      <c r="EE109" s="452"/>
      <c r="EF109" s="451"/>
      <c r="EG109" s="451">
        <f>SUM(EG110:EG112)</f>
        <v>0</v>
      </c>
      <c r="EH109" s="451"/>
      <c r="EI109" s="451"/>
      <c r="EJ109" s="452"/>
      <c r="EK109" s="451"/>
      <c r="EL109" s="451">
        <f>SUM(EL110:EL112)</f>
        <v>0</v>
      </c>
      <c r="EM109" s="451"/>
      <c r="EN109" s="451"/>
      <c r="EO109" s="13"/>
      <c r="ER109" s="14"/>
      <c r="ES109" s="14"/>
    </row>
    <row r="110" spans="4:149" ht="12.75" hidden="1" customHeight="1" x14ac:dyDescent="0.2">
      <c r="D110" s="13" t="s">
        <v>347</v>
      </c>
      <c r="E110" s="452"/>
      <c r="F110" s="374"/>
      <c r="G110" s="449">
        <v>0</v>
      </c>
      <c r="H110" s="450"/>
      <c r="I110" s="451"/>
      <c r="J110" s="452"/>
      <c r="K110" s="453"/>
      <c r="L110" s="449">
        <v>0</v>
      </c>
      <c r="M110" s="450"/>
      <c r="N110" s="451"/>
      <c r="O110" s="452"/>
      <c r="P110" s="453"/>
      <c r="Q110" s="449">
        <v>0</v>
      </c>
      <c r="R110" s="450"/>
      <c r="S110" s="451"/>
      <c r="T110" s="452"/>
      <c r="U110" s="453"/>
      <c r="V110" s="449">
        <v>0</v>
      </c>
      <c r="W110" s="450"/>
      <c r="X110" s="451"/>
      <c r="Y110" s="452"/>
      <c r="Z110" s="453"/>
      <c r="AA110" s="449">
        <v>0</v>
      </c>
      <c r="AB110" s="450"/>
      <c r="AC110" s="451"/>
      <c r="AD110" s="452"/>
      <c r="AE110" s="453"/>
      <c r="AF110" s="449">
        <v>0</v>
      </c>
      <c r="AG110" s="450"/>
      <c r="AH110" s="451"/>
      <c r="AI110" s="452"/>
      <c r="AJ110" s="453"/>
      <c r="AK110" s="449">
        <v>0</v>
      </c>
      <c r="AL110" s="450"/>
      <c r="AM110" s="451"/>
      <c r="AN110" s="452"/>
      <c r="AO110" s="453"/>
      <c r="AP110" s="449">
        <v>0</v>
      </c>
      <c r="AQ110" s="450"/>
      <c r="AR110" s="451"/>
      <c r="AS110" s="452"/>
      <c r="AT110" s="453"/>
      <c r="AU110" s="449">
        <v>0</v>
      </c>
      <c r="AV110" s="450"/>
      <c r="AW110" s="451"/>
      <c r="AX110" s="452"/>
      <c r="AY110" s="453"/>
      <c r="AZ110" s="449">
        <v>0</v>
      </c>
      <c r="BA110" s="450"/>
      <c r="BB110" s="451"/>
      <c r="BC110" s="452"/>
      <c r="BD110" s="453"/>
      <c r="BE110" s="449">
        <v>0</v>
      </c>
      <c r="BF110" s="450"/>
      <c r="BG110" s="451"/>
      <c r="BH110" s="452"/>
      <c r="BI110" s="453"/>
      <c r="BJ110" s="449">
        <v>0</v>
      </c>
      <c r="BK110" s="450"/>
      <c r="BL110" s="451"/>
      <c r="BM110" s="452"/>
      <c r="BN110" s="453"/>
      <c r="BO110" s="449">
        <v>0</v>
      </c>
      <c r="BP110" s="450"/>
      <c r="BQ110" s="451"/>
      <c r="BR110" s="452"/>
      <c r="BS110" s="453"/>
      <c r="BT110" s="449">
        <f>SUM(L110:BO110)</f>
        <v>0</v>
      </c>
      <c r="BU110" s="450"/>
      <c r="BV110" s="451"/>
      <c r="BW110" s="452"/>
      <c r="BX110" s="453"/>
      <c r="BY110" s="449">
        <f>SUM(Q110:BT110)</f>
        <v>0</v>
      </c>
      <c r="BZ110" s="450"/>
      <c r="CA110" s="451"/>
      <c r="CB110" s="452"/>
      <c r="CC110" s="453"/>
      <c r="CD110" s="449">
        <v>0</v>
      </c>
      <c r="CE110" s="450"/>
      <c r="CF110" s="451"/>
      <c r="CG110" s="452"/>
      <c r="CH110" s="453"/>
      <c r="CI110" s="449">
        <v>0</v>
      </c>
      <c r="CJ110" s="450"/>
      <c r="CK110" s="451"/>
      <c r="CL110" s="452"/>
      <c r="CM110" s="453"/>
      <c r="CN110" s="449">
        <v>0</v>
      </c>
      <c r="CO110" s="450"/>
      <c r="CP110" s="451"/>
      <c r="CQ110" s="452"/>
      <c r="CR110" s="453"/>
      <c r="CS110" s="449">
        <v>0</v>
      </c>
      <c r="CT110" s="450"/>
      <c r="CU110" s="451"/>
      <c r="CV110" s="452"/>
      <c r="CW110" s="453"/>
      <c r="CX110" s="449">
        <v>0</v>
      </c>
      <c r="CY110" s="450"/>
      <c r="CZ110" s="451"/>
      <c r="DA110" s="452"/>
      <c r="DB110" s="453"/>
      <c r="DC110" s="449">
        <v>0</v>
      </c>
      <c r="DD110" s="450"/>
      <c r="DE110" s="451"/>
      <c r="DF110" s="452"/>
      <c r="DG110" s="453"/>
      <c r="DH110" s="449">
        <v>0</v>
      </c>
      <c r="DI110" s="450"/>
      <c r="DJ110" s="451"/>
      <c r="DK110" s="452"/>
      <c r="DL110" s="453"/>
      <c r="DM110" s="449">
        <v>0</v>
      </c>
      <c r="DN110" s="450"/>
      <c r="DO110" s="451"/>
      <c r="DP110" s="452"/>
      <c r="DQ110" s="453"/>
      <c r="DR110" s="449">
        <v>0</v>
      </c>
      <c r="DS110" s="450"/>
      <c r="DT110" s="451"/>
      <c r="DU110" s="452"/>
      <c r="DV110" s="453"/>
      <c r="DW110" s="449">
        <v>0</v>
      </c>
      <c r="DX110" s="450"/>
      <c r="DY110" s="451"/>
      <c r="DZ110" s="452"/>
      <c r="EA110" s="453"/>
      <c r="EB110" s="449">
        <v>0</v>
      </c>
      <c r="EC110" s="450"/>
      <c r="ED110" s="451"/>
      <c r="EE110" s="452"/>
      <c r="EF110" s="453"/>
      <c r="EG110" s="449">
        <v>0</v>
      </c>
      <c r="EH110" s="450"/>
      <c r="EI110" s="451"/>
      <c r="EJ110" s="452"/>
      <c r="EK110" s="453"/>
      <c r="EL110" s="449">
        <f>SUM(CD110:EG110)</f>
        <v>0</v>
      </c>
      <c r="EM110" s="450"/>
      <c r="EN110" s="451"/>
      <c r="EO110" s="13"/>
      <c r="ER110" s="14"/>
      <c r="ES110" s="14"/>
    </row>
    <row r="111" spans="4:149" ht="12.75" hidden="1" customHeight="1" x14ac:dyDescent="0.2">
      <c r="D111" s="13" t="s">
        <v>349</v>
      </c>
      <c r="E111" s="452"/>
      <c r="F111" s="198"/>
      <c r="G111" s="451">
        <v>0</v>
      </c>
      <c r="H111" s="455"/>
      <c r="I111" s="451"/>
      <c r="J111" s="452"/>
      <c r="K111" s="452"/>
      <c r="L111" s="451">
        <v>0</v>
      </c>
      <c r="M111" s="455"/>
      <c r="N111" s="451"/>
      <c r="O111" s="452"/>
      <c r="P111" s="452"/>
      <c r="Q111" s="451">
        <v>0</v>
      </c>
      <c r="R111" s="455"/>
      <c r="S111" s="451"/>
      <c r="T111" s="452"/>
      <c r="U111" s="452"/>
      <c r="V111" s="451">
        <v>0</v>
      </c>
      <c r="W111" s="455"/>
      <c r="X111" s="451"/>
      <c r="Y111" s="452"/>
      <c r="Z111" s="452"/>
      <c r="AA111" s="451">
        <v>0</v>
      </c>
      <c r="AB111" s="455"/>
      <c r="AC111" s="451"/>
      <c r="AD111" s="452"/>
      <c r="AE111" s="452"/>
      <c r="AF111" s="451">
        <v>0</v>
      </c>
      <c r="AG111" s="455"/>
      <c r="AH111" s="451"/>
      <c r="AI111" s="452"/>
      <c r="AJ111" s="452"/>
      <c r="AK111" s="451">
        <v>0</v>
      </c>
      <c r="AL111" s="455"/>
      <c r="AM111" s="451"/>
      <c r="AN111" s="452"/>
      <c r="AO111" s="452"/>
      <c r="AP111" s="451">
        <v>0</v>
      </c>
      <c r="AQ111" s="455"/>
      <c r="AR111" s="451"/>
      <c r="AS111" s="452"/>
      <c r="AT111" s="452"/>
      <c r="AU111" s="451">
        <v>0</v>
      </c>
      <c r="AV111" s="455"/>
      <c r="AW111" s="451"/>
      <c r="AX111" s="452"/>
      <c r="AY111" s="452"/>
      <c r="AZ111" s="451">
        <v>0</v>
      </c>
      <c r="BA111" s="455"/>
      <c r="BB111" s="451"/>
      <c r="BC111" s="452"/>
      <c r="BD111" s="452"/>
      <c r="BE111" s="451">
        <v>0</v>
      </c>
      <c r="BF111" s="455"/>
      <c r="BG111" s="451"/>
      <c r="BH111" s="452"/>
      <c r="BI111" s="452"/>
      <c r="BJ111" s="451">
        <v>0</v>
      </c>
      <c r="BK111" s="455"/>
      <c r="BL111" s="451"/>
      <c r="BM111" s="452"/>
      <c r="BN111" s="452"/>
      <c r="BO111" s="451">
        <v>0</v>
      </c>
      <c r="BP111" s="455"/>
      <c r="BQ111" s="451"/>
      <c r="BR111" s="452"/>
      <c r="BS111" s="452"/>
      <c r="BT111" s="451">
        <f>SUM(L111:BO111)</f>
        <v>0</v>
      </c>
      <c r="BU111" s="455"/>
      <c r="BV111" s="451"/>
      <c r="BW111" s="452"/>
      <c r="BX111" s="452"/>
      <c r="BY111" s="451">
        <f>SUM(Q111:BT111)</f>
        <v>0</v>
      </c>
      <c r="BZ111" s="455"/>
      <c r="CA111" s="451"/>
      <c r="CB111" s="452"/>
      <c r="CC111" s="452"/>
      <c r="CD111" s="451">
        <v>0</v>
      </c>
      <c r="CE111" s="455"/>
      <c r="CF111" s="451"/>
      <c r="CG111" s="452"/>
      <c r="CH111" s="452"/>
      <c r="CI111" s="451">
        <v>0</v>
      </c>
      <c r="CJ111" s="455"/>
      <c r="CK111" s="451"/>
      <c r="CL111" s="452"/>
      <c r="CM111" s="452"/>
      <c r="CN111" s="451">
        <v>0</v>
      </c>
      <c r="CO111" s="455"/>
      <c r="CP111" s="451"/>
      <c r="CQ111" s="452"/>
      <c r="CR111" s="452"/>
      <c r="CS111" s="451">
        <v>0</v>
      </c>
      <c r="CT111" s="455"/>
      <c r="CU111" s="451"/>
      <c r="CV111" s="452"/>
      <c r="CW111" s="452"/>
      <c r="CX111" s="451">
        <v>0</v>
      </c>
      <c r="CY111" s="455"/>
      <c r="CZ111" s="451"/>
      <c r="DA111" s="452"/>
      <c r="DB111" s="452"/>
      <c r="DC111" s="451">
        <v>0</v>
      </c>
      <c r="DD111" s="455"/>
      <c r="DE111" s="451"/>
      <c r="DF111" s="452"/>
      <c r="DG111" s="452"/>
      <c r="DH111" s="451">
        <v>0</v>
      </c>
      <c r="DI111" s="455"/>
      <c r="DJ111" s="451"/>
      <c r="DK111" s="452"/>
      <c r="DL111" s="452"/>
      <c r="DM111" s="451">
        <v>0</v>
      </c>
      <c r="DN111" s="455"/>
      <c r="DO111" s="451"/>
      <c r="DP111" s="452"/>
      <c r="DQ111" s="452"/>
      <c r="DR111" s="451">
        <v>0</v>
      </c>
      <c r="DS111" s="455"/>
      <c r="DT111" s="451"/>
      <c r="DU111" s="452"/>
      <c r="DV111" s="452"/>
      <c r="DW111" s="451">
        <v>0</v>
      </c>
      <c r="DX111" s="455"/>
      <c r="DY111" s="451"/>
      <c r="DZ111" s="452"/>
      <c r="EA111" s="452"/>
      <c r="EB111" s="451">
        <v>0</v>
      </c>
      <c r="EC111" s="455"/>
      <c r="ED111" s="451"/>
      <c r="EE111" s="452"/>
      <c r="EF111" s="452"/>
      <c r="EG111" s="451">
        <v>0</v>
      </c>
      <c r="EH111" s="455"/>
      <c r="EI111" s="451"/>
      <c r="EJ111" s="452"/>
      <c r="EK111" s="452"/>
      <c r="EL111" s="451">
        <f>SUM(CD111:EG111)</f>
        <v>0</v>
      </c>
      <c r="EM111" s="455"/>
      <c r="EN111" s="451"/>
      <c r="EO111" s="13"/>
      <c r="ER111" s="14"/>
      <c r="ES111" s="14"/>
    </row>
    <row r="112" spans="4:149" ht="12.75" hidden="1" customHeight="1" x14ac:dyDescent="0.2">
      <c r="D112" s="13" t="s">
        <v>357</v>
      </c>
      <c r="E112" s="452"/>
      <c r="F112" s="385"/>
      <c r="G112" s="463">
        <v>0</v>
      </c>
      <c r="H112" s="464"/>
      <c r="I112" s="451"/>
      <c r="J112" s="452"/>
      <c r="K112" s="465"/>
      <c r="L112" s="463">
        <v>0</v>
      </c>
      <c r="M112" s="464"/>
      <c r="N112" s="451"/>
      <c r="O112" s="452"/>
      <c r="P112" s="465"/>
      <c r="Q112" s="463">
        <v>0</v>
      </c>
      <c r="R112" s="464"/>
      <c r="S112" s="451"/>
      <c r="T112" s="452"/>
      <c r="U112" s="465"/>
      <c r="V112" s="463">
        <v>0</v>
      </c>
      <c r="W112" s="464"/>
      <c r="X112" s="451"/>
      <c r="Y112" s="452"/>
      <c r="Z112" s="465"/>
      <c r="AA112" s="463">
        <v>0</v>
      </c>
      <c r="AB112" s="464"/>
      <c r="AC112" s="451"/>
      <c r="AD112" s="452"/>
      <c r="AE112" s="465"/>
      <c r="AF112" s="463">
        <v>0</v>
      </c>
      <c r="AG112" s="464"/>
      <c r="AH112" s="451"/>
      <c r="AI112" s="452"/>
      <c r="AJ112" s="465"/>
      <c r="AK112" s="463">
        <v>0</v>
      </c>
      <c r="AL112" s="464"/>
      <c r="AM112" s="451"/>
      <c r="AN112" s="452"/>
      <c r="AO112" s="465"/>
      <c r="AP112" s="463">
        <v>0</v>
      </c>
      <c r="AQ112" s="464"/>
      <c r="AR112" s="451"/>
      <c r="AS112" s="452"/>
      <c r="AT112" s="465"/>
      <c r="AU112" s="463">
        <v>0</v>
      </c>
      <c r="AV112" s="464"/>
      <c r="AW112" s="451"/>
      <c r="AX112" s="452"/>
      <c r="AY112" s="465"/>
      <c r="AZ112" s="463">
        <v>0</v>
      </c>
      <c r="BA112" s="464"/>
      <c r="BB112" s="451"/>
      <c r="BC112" s="452"/>
      <c r="BD112" s="465"/>
      <c r="BE112" s="463">
        <v>0</v>
      </c>
      <c r="BF112" s="464"/>
      <c r="BG112" s="451"/>
      <c r="BH112" s="452"/>
      <c r="BI112" s="465"/>
      <c r="BJ112" s="463">
        <v>0</v>
      </c>
      <c r="BK112" s="464"/>
      <c r="BL112" s="451"/>
      <c r="BM112" s="452"/>
      <c r="BN112" s="465"/>
      <c r="BO112" s="463">
        <v>0</v>
      </c>
      <c r="BP112" s="464"/>
      <c r="BQ112" s="451"/>
      <c r="BR112" s="452"/>
      <c r="BS112" s="465"/>
      <c r="BT112" s="463">
        <f>SUM(L112:BO112)</f>
        <v>0</v>
      </c>
      <c r="BU112" s="464"/>
      <c r="BV112" s="451"/>
      <c r="BW112" s="452"/>
      <c r="BX112" s="465"/>
      <c r="BY112" s="463">
        <f>SUM(Q112:BT112)</f>
        <v>0</v>
      </c>
      <c r="BZ112" s="464"/>
      <c r="CA112" s="451"/>
      <c r="CB112" s="452"/>
      <c r="CC112" s="465"/>
      <c r="CD112" s="463">
        <v>0</v>
      </c>
      <c r="CE112" s="464"/>
      <c r="CF112" s="451"/>
      <c r="CG112" s="452"/>
      <c r="CH112" s="465"/>
      <c r="CI112" s="463">
        <v>0</v>
      </c>
      <c r="CJ112" s="464"/>
      <c r="CK112" s="451"/>
      <c r="CL112" s="452"/>
      <c r="CM112" s="465"/>
      <c r="CN112" s="463">
        <v>0</v>
      </c>
      <c r="CO112" s="464"/>
      <c r="CP112" s="451"/>
      <c r="CQ112" s="452"/>
      <c r="CR112" s="465"/>
      <c r="CS112" s="463">
        <v>0</v>
      </c>
      <c r="CT112" s="464"/>
      <c r="CU112" s="451"/>
      <c r="CV112" s="452"/>
      <c r="CW112" s="465"/>
      <c r="CX112" s="463">
        <v>0</v>
      </c>
      <c r="CY112" s="464"/>
      <c r="CZ112" s="451"/>
      <c r="DA112" s="452"/>
      <c r="DB112" s="465"/>
      <c r="DC112" s="463">
        <v>0</v>
      </c>
      <c r="DD112" s="464"/>
      <c r="DE112" s="451"/>
      <c r="DF112" s="452"/>
      <c r="DG112" s="465"/>
      <c r="DH112" s="463">
        <v>0</v>
      </c>
      <c r="DI112" s="464"/>
      <c r="DJ112" s="451"/>
      <c r="DK112" s="452"/>
      <c r="DL112" s="465"/>
      <c r="DM112" s="463">
        <v>0</v>
      </c>
      <c r="DN112" s="464"/>
      <c r="DO112" s="451"/>
      <c r="DP112" s="452"/>
      <c r="DQ112" s="465"/>
      <c r="DR112" s="463">
        <v>0</v>
      </c>
      <c r="DS112" s="464"/>
      <c r="DT112" s="451"/>
      <c r="DU112" s="452"/>
      <c r="DV112" s="465"/>
      <c r="DW112" s="463">
        <v>0</v>
      </c>
      <c r="DX112" s="464"/>
      <c r="DY112" s="451"/>
      <c r="DZ112" s="452"/>
      <c r="EA112" s="465"/>
      <c r="EB112" s="463">
        <v>0</v>
      </c>
      <c r="EC112" s="464"/>
      <c r="ED112" s="451"/>
      <c r="EE112" s="452"/>
      <c r="EF112" s="465"/>
      <c r="EG112" s="463">
        <v>0</v>
      </c>
      <c r="EH112" s="464"/>
      <c r="EI112" s="451"/>
      <c r="EJ112" s="452"/>
      <c r="EK112" s="465"/>
      <c r="EL112" s="463">
        <f>SUM(CD112:EG112)</f>
        <v>0</v>
      </c>
      <c r="EM112" s="464"/>
      <c r="EN112" s="451"/>
      <c r="EO112" s="13"/>
      <c r="ER112" s="14"/>
      <c r="ES112" s="14"/>
    </row>
    <row r="113" spans="4:149" ht="12.75" hidden="1" customHeight="1" x14ac:dyDescent="0.2">
      <c r="D113" s="13"/>
      <c r="E113" s="452"/>
      <c r="G113" s="451"/>
      <c r="H113" s="451"/>
      <c r="I113" s="451"/>
      <c r="J113" s="452"/>
      <c r="K113" s="451"/>
      <c r="L113" s="451"/>
      <c r="M113" s="451"/>
      <c r="N113" s="451"/>
      <c r="O113" s="452"/>
      <c r="P113" s="451"/>
      <c r="Q113" s="451"/>
      <c r="R113" s="451"/>
      <c r="S113" s="451"/>
      <c r="T113" s="452"/>
      <c r="U113" s="451"/>
      <c r="V113" s="451"/>
      <c r="W113" s="451"/>
      <c r="X113" s="451"/>
      <c r="Y113" s="452"/>
      <c r="Z113" s="451"/>
      <c r="AA113" s="451"/>
      <c r="AB113" s="451"/>
      <c r="AC113" s="451"/>
      <c r="AD113" s="452"/>
      <c r="AE113" s="451"/>
      <c r="AF113" s="451"/>
      <c r="AG113" s="451"/>
      <c r="AH113" s="451"/>
      <c r="AI113" s="452"/>
      <c r="AJ113" s="451"/>
      <c r="AK113" s="451"/>
      <c r="AL113" s="451"/>
      <c r="AM113" s="451"/>
      <c r="AN113" s="452"/>
      <c r="AO113" s="451"/>
      <c r="AP113" s="451"/>
      <c r="AQ113" s="451"/>
      <c r="AR113" s="451"/>
      <c r="AS113" s="452"/>
      <c r="AT113" s="451"/>
      <c r="AU113" s="451"/>
      <c r="AV113" s="451"/>
      <c r="AW113" s="451"/>
      <c r="AX113" s="452"/>
      <c r="AY113" s="451"/>
      <c r="AZ113" s="451"/>
      <c r="BA113" s="451"/>
      <c r="BB113" s="451"/>
      <c r="BC113" s="452"/>
      <c r="BD113" s="451"/>
      <c r="BE113" s="451"/>
      <c r="BF113" s="451"/>
      <c r="BG113" s="451"/>
      <c r="BH113" s="452"/>
      <c r="BI113" s="451"/>
      <c r="BJ113" s="451"/>
      <c r="BK113" s="451"/>
      <c r="BL113" s="451"/>
      <c r="BM113" s="452"/>
      <c r="BN113" s="451"/>
      <c r="BO113" s="451"/>
      <c r="BP113" s="451"/>
      <c r="BQ113" s="451"/>
      <c r="BR113" s="452"/>
      <c r="BS113" s="451"/>
      <c r="BT113" s="451"/>
      <c r="BU113" s="451"/>
      <c r="BV113" s="451"/>
      <c r="BW113" s="452"/>
      <c r="BX113" s="451"/>
      <c r="BY113" s="451"/>
      <c r="BZ113" s="451"/>
      <c r="CA113" s="451"/>
      <c r="CB113" s="452"/>
      <c r="CC113" s="451"/>
      <c r="CD113" s="451"/>
      <c r="CE113" s="451"/>
      <c r="CF113" s="451"/>
      <c r="CG113" s="452"/>
      <c r="CH113" s="451"/>
      <c r="CI113" s="451"/>
      <c r="CJ113" s="451"/>
      <c r="CK113" s="451"/>
      <c r="CL113" s="452"/>
      <c r="CM113" s="451"/>
      <c r="CN113" s="451"/>
      <c r="CO113" s="451"/>
      <c r="CP113" s="451"/>
      <c r="CQ113" s="452"/>
      <c r="CR113" s="451"/>
      <c r="CS113" s="451"/>
      <c r="CT113" s="451"/>
      <c r="CU113" s="451"/>
      <c r="CV113" s="452"/>
      <c r="CW113" s="451"/>
      <c r="CX113" s="451"/>
      <c r="CY113" s="451"/>
      <c r="CZ113" s="451"/>
      <c r="DA113" s="452"/>
      <c r="DB113" s="451"/>
      <c r="DC113" s="451"/>
      <c r="DD113" s="451"/>
      <c r="DE113" s="451"/>
      <c r="DF113" s="452"/>
      <c r="DG113" s="451"/>
      <c r="DH113" s="451"/>
      <c r="DI113" s="451"/>
      <c r="DJ113" s="451"/>
      <c r="DK113" s="452"/>
      <c r="DL113" s="451"/>
      <c r="DM113" s="451"/>
      <c r="DN113" s="451"/>
      <c r="DO113" s="451"/>
      <c r="DP113" s="452"/>
      <c r="DQ113" s="451"/>
      <c r="DR113" s="451"/>
      <c r="DS113" s="451"/>
      <c r="DT113" s="451"/>
      <c r="DU113" s="452"/>
      <c r="DV113" s="451"/>
      <c r="DW113" s="451"/>
      <c r="DX113" s="451"/>
      <c r="DY113" s="451"/>
      <c r="DZ113" s="452"/>
      <c r="EA113" s="451"/>
      <c r="EB113" s="451"/>
      <c r="EC113" s="451"/>
      <c r="ED113" s="451"/>
      <c r="EE113" s="452"/>
      <c r="EF113" s="451"/>
      <c r="EG113" s="451"/>
      <c r="EH113" s="451"/>
      <c r="EI113" s="451"/>
      <c r="EJ113" s="452"/>
      <c r="EK113" s="451"/>
      <c r="EL113" s="451"/>
      <c r="EM113" s="451"/>
      <c r="EN113" s="451"/>
      <c r="EO113" s="13"/>
      <c r="ER113" s="14"/>
      <c r="ES113" s="14"/>
    </row>
    <row r="114" spans="4:149" x14ac:dyDescent="0.2">
      <c r="D114" s="13" t="s">
        <v>369</v>
      </c>
      <c r="E114" s="452"/>
      <c r="G114" s="451">
        <f>SUM(G115:G117)</f>
        <v>0</v>
      </c>
      <c r="H114" s="451"/>
      <c r="I114" s="451"/>
      <c r="J114" s="452"/>
      <c r="K114" s="451"/>
      <c r="L114" s="451">
        <f>SUM(L115:L117)</f>
        <v>0</v>
      </c>
      <c r="M114" s="451"/>
      <c r="N114" s="451"/>
      <c r="O114" s="452"/>
      <c r="P114" s="451"/>
      <c r="Q114" s="451">
        <f>SUM(Q115:Q117)</f>
        <v>0</v>
      </c>
      <c r="R114" s="451"/>
      <c r="S114" s="451"/>
      <c r="T114" s="452"/>
      <c r="U114" s="451"/>
      <c r="V114" s="451">
        <f>SUM(V115:V117)</f>
        <v>0</v>
      </c>
      <c r="W114" s="451"/>
      <c r="X114" s="451"/>
      <c r="Y114" s="452"/>
      <c r="Z114" s="451"/>
      <c r="AA114" s="451">
        <f>SUM(AA115:AA117)</f>
        <v>0</v>
      </c>
      <c r="AB114" s="451"/>
      <c r="AC114" s="451"/>
      <c r="AD114" s="452"/>
      <c r="AE114" s="451"/>
      <c r="AF114" s="451">
        <f>SUM(AF115:AF117)</f>
        <v>0</v>
      </c>
      <c r="AG114" s="451"/>
      <c r="AH114" s="451"/>
      <c r="AI114" s="452"/>
      <c r="AJ114" s="451"/>
      <c r="AK114" s="451">
        <f>SUM(AK115:AK117)</f>
        <v>6601000</v>
      </c>
      <c r="AL114" s="451"/>
      <c r="AM114" s="451"/>
      <c r="AN114" s="452"/>
      <c r="AO114" s="451"/>
      <c r="AP114" s="451">
        <f>SUM(AP115:AP117)</f>
        <v>8322000</v>
      </c>
      <c r="AQ114" s="451"/>
      <c r="AR114" s="451"/>
      <c r="AS114" s="452"/>
      <c r="AT114" s="451"/>
      <c r="AU114" s="451">
        <f>SUM(AU115:AU117)</f>
        <v>4398000</v>
      </c>
      <c r="AV114" s="451"/>
      <c r="AW114" s="451"/>
      <c r="AX114" s="452"/>
      <c r="AY114" s="451"/>
      <c r="AZ114" s="451">
        <f>SUM(AZ115:AZ117)</f>
        <v>0</v>
      </c>
      <c r="BA114" s="451"/>
      <c r="BB114" s="451"/>
      <c r="BC114" s="452"/>
      <c r="BD114" s="451"/>
      <c r="BE114" s="451">
        <f>SUM(BE115:BE117)</f>
        <v>0</v>
      </c>
      <c r="BF114" s="451"/>
      <c r="BG114" s="451"/>
      <c r="BH114" s="452"/>
      <c r="BI114" s="451"/>
      <c r="BJ114" s="451">
        <f>SUM(BJ115:BJ117)</f>
        <v>0</v>
      </c>
      <c r="BK114" s="451"/>
      <c r="BL114" s="451"/>
      <c r="BM114" s="452"/>
      <c r="BN114" s="451"/>
      <c r="BO114" s="451">
        <f>SUM(BO115:BO117)</f>
        <v>0</v>
      </c>
      <c r="BP114" s="451"/>
      <c r="BQ114" s="451"/>
      <c r="BR114" s="452"/>
      <c r="BS114" s="451"/>
      <c r="BT114" s="451">
        <f>SUM(BT115:BT117)</f>
        <v>19321000</v>
      </c>
      <c r="BU114" s="451"/>
      <c r="BV114" s="451"/>
      <c r="BW114" s="452"/>
      <c r="BX114" s="451"/>
      <c r="BY114" s="451">
        <f>SUM(BY115:BY117)</f>
        <v>22156177</v>
      </c>
      <c r="BZ114" s="451"/>
      <c r="CA114" s="451"/>
      <c r="CB114" s="452"/>
      <c r="CC114" s="451"/>
      <c r="CD114" s="451">
        <f>SUM(CD115:CD117)</f>
        <v>2119000</v>
      </c>
      <c r="CE114" s="451"/>
      <c r="CF114" s="451"/>
      <c r="CG114" s="452"/>
      <c r="CH114" s="451"/>
      <c r="CI114" s="451">
        <f>SUM(CI115:CI117)</f>
        <v>1103177</v>
      </c>
      <c r="CJ114" s="451"/>
      <c r="CK114" s="451"/>
      <c r="CL114" s="452"/>
      <c r="CM114" s="451"/>
      <c r="CN114" s="451">
        <f>SUM(CN115:CN117)</f>
        <v>2200000</v>
      </c>
      <c r="CO114" s="451"/>
      <c r="CP114" s="451"/>
      <c r="CQ114" s="452"/>
      <c r="CR114" s="451"/>
      <c r="CS114" s="451">
        <f>SUM(CS115:CS117)</f>
        <v>546000</v>
      </c>
      <c r="CT114" s="451"/>
      <c r="CU114" s="451"/>
      <c r="CV114" s="452"/>
      <c r="CW114" s="451"/>
      <c r="CX114" s="451">
        <f>SUM(CX115:CX117)</f>
        <v>4875000</v>
      </c>
      <c r="CY114" s="451"/>
      <c r="CZ114" s="451"/>
      <c r="DA114" s="452"/>
      <c r="DB114" s="451"/>
      <c r="DC114" s="451">
        <f>SUM(DC115:DC117)</f>
        <v>2264000</v>
      </c>
      <c r="DD114" s="451"/>
      <c r="DE114" s="451"/>
      <c r="DF114" s="452"/>
      <c r="DG114" s="451"/>
      <c r="DH114" s="451">
        <f>SUM(DH115:DH117)</f>
        <v>0</v>
      </c>
      <c r="DI114" s="451"/>
      <c r="DJ114" s="451"/>
      <c r="DK114" s="452"/>
      <c r="DL114" s="451"/>
      <c r="DM114" s="451">
        <f>SUM(DM115:DM117)</f>
        <v>2263000</v>
      </c>
      <c r="DN114" s="451"/>
      <c r="DO114" s="451"/>
      <c r="DP114" s="452"/>
      <c r="DQ114" s="451"/>
      <c r="DR114" s="451">
        <f>SUM(DR115:DR117)</f>
        <v>4524000</v>
      </c>
      <c r="DS114" s="451"/>
      <c r="DT114" s="451"/>
      <c r="DU114" s="452"/>
      <c r="DV114" s="451"/>
      <c r="DW114" s="451">
        <f>SUM(DW115:DW117)</f>
        <v>0</v>
      </c>
      <c r="DX114" s="451"/>
      <c r="DY114" s="451"/>
      <c r="DZ114" s="452"/>
      <c r="EA114" s="451"/>
      <c r="EB114" s="451">
        <f>SUM(EB115:EB117)</f>
        <v>2262000</v>
      </c>
      <c r="EC114" s="451"/>
      <c r="ED114" s="451"/>
      <c r="EE114" s="452"/>
      <c r="EF114" s="451"/>
      <c r="EG114" s="451">
        <f>SUM(EG115:EG117)</f>
        <v>0</v>
      </c>
      <c r="EH114" s="451"/>
      <c r="EI114" s="451"/>
      <c r="EJ114" s="452"/>
      <c r="EK114" s="451"/>
      <c r="EL114" s="451">
        <f>SUM(EL115:EL117)</f>
        <v>19894177</v>
      </c>
      <c r="EM114" s="451"/>
      <c r="EN114" s="451"/>
      <c r="EO114" s="13"/>
      <c r="ER114" s="14"/>
      <c r="ES114" s="14"/>
    </row>
    <row r="115" spans="4:149" x14ac:dyDescent="0.2">
      <c r="D115" s="13" t="s">
        <v>347</v>
      </c>
      <c r="E115" s="452"/>
      <c r="F115" s="374"/>
      <c r="G115" s="449">
        <v>0</v>
      </c>
      <c r="H115" s="450"/>
      <c r="I115" s="451"/>
      <c r="J115" s="452"/>
      <c r="K115" s="453"/>
      <c r="L115" s="449">
        <v>0</v>
      </c>
      <c r="M115" s="450"/>
      <c r="N115" s="451"/>
      <c r="O115" s="452"/>
      <c r="P115" s="453"/>
      <c r="Q115" s="449">
        <v>0</v>
      </c>
      <c r="R115" s="450"/>
      <c r="S115" s="451"/>
      <c r="T115" s="452"/>
      <c r="U115" s="453"/>
      <c r="V115" s="449">
        <v>0</v>
      </c>
      <c r="W115" s="450"/>
      <c r="X115" s="451"/>
      <c r="Y115" s="452"/>
      <c r="Z115" s="453"/>
      <c r="AA115" s="449">
        <v>0</v>
      </c>
      <c r="AB115" s="450"/>
      <c r="AC115" s="451"/>
      <c r="AD115" s="452"/>
      <c r="AE115" s="453"/>
      <c r="AF115" s="449">
        <v>0</v>
      </c>
      <c r="AG115" s="450"/>
      <c r="AH115" s="451"/>
      <c r="AI115" s="452"/>
      <c r="AJ115" s="453"/>
      <c r="AK115" s="449">
        <f>6601000-1192748</f>
        <v>5408252</v>
      </c>
      <c r="AL115" s="450"/>
      <c r="AM115" s="451"/>
      <c r="AN115" s="452"/>
      <c r="AO115" s="453"/>
      <c r="AP115" s="449">
        <f>8322000-1699015</f>
        <v>6622985</v>
      </c>
      <c r="AQ115" s="450"/>
      <c r="AR115" s="451"/>
      <c r="AS115" s="452"/>
      <c r="AT115" s="453"/>
      <c r="AU115" s="449">
        <f>4398000-878082</f>
        <v>3519918</v>
      </c>
      <c r="AV115" s="450"/>
      <c r="AW115" s="451"/>
      <c r="AX115" s="452"/>
      <c r="AY115" s="453"/>
      <c r="AZ115" s="449">
        <v>0</v>
      </c>
      <c r="BA115" s="450"/>
      <c r="BB115" s="451"/>
      <c r="BC115" s="452"/>
      <c r="BD115" s="453"/>
      <c r="BE115" s="449">
        <v>0</v>
      </c>
      <c r="BF115" s="450"/>
      <c r="BG115" s="451"/>
      <c r="BH115" s="452"/>
      <c r="BI115" s="453"/>
      <c r="BJ115" s="449">
        <v>0</v>
      </c>
      <c r="BK115" s="450"/>
      <c r="BL115" s="451"/>
      <c r="BM115" s="452"/>
      <c r="BN115" s="453"/>
      <c r="BO115" s="449">
        <v>0</v>
      </c>
      <c r="BP115" s="450"/>
      <c r="BQ115" s="451"/>
      <c r="BR115" s="452"/>
      <c r="BS115" s="453"/>
      <c r="BT115" s="449">
        <f>SUM(L115:BO115)</f>
        <v>15551155</v>
      </c>
      <c r="BU115" s="450"/>
      <c r="BV115" s="451"/>
      <c r="BW115" s="452"/>
      <c r="BX115" s="453"/>
      <c r="BY115" s="449">
        <v>20301382</v>
      </c>
      <c r="BZ115" s="450"/>
      <c r="CA115" s="451"/>
      <c r="CB115" s="452"/>
      <c r="CC115" s="453"/>
      <c r="CD115" s="449">
        <f>2119000-135529</f>
        <v>1983471</v>
      </c>
      <c r="CE115" s="450"/>
      <c r="CF115" s="451"/>
      <c r="CG115" s="452"/>
      <c r="CH115" s="453"/>
      <c r="CI115" s="449">
        <f>1103177-72711</f>
        <v>1030466</v>
      </c>
      <c r="CJ115" s="450"/>
      <c r="CK115" s="451"/>
      <c r="CL115" s="452"/>
      <c r="CM115" s="453"/>
      <c r="CN115" s="449">
        <f>2200000-173807</f>
        <v>2026193</v>
      </c>
      <c r="CO115" s="450"/>
      <c r="CP115" s="451"/>
      <c r="CQ115" s="452"/>
      <c r="CR115" s="453"/>
      <c r="CS115" s="449">
        <f>546000-44754</f>
        <v>501246</v>
      </c>
      <c r="CT115" s="450"/>
      <c r="CU115" s="451"/>
      <c r="CV115" s="452"/>
      <c r="CW115" s="453"/>
      <c r="CX115" s="449">
        <f>4875000-417052</f>
        <v>4457948</v>
      </c>
      <c r="CY115" s="450"/>
      <c r="CZ115" s="451"/>
      <c r="DA115" s="452"/>
      <c r="DB115" s="453"/>
      <c r="DC115" s="449">
        <f>2264000-156357</f>
        <v>2107643</v>
      </c>
      <c r="DD115" s="450"/>
      <c r="DE115" s="451"/>
      <c r="DF115" s="452"/>
      <c r="DG115" s="453"/>
      <c r="DH115" s="449">
        <v>0</v>
      </c>
      <c r="DI115" s="450"/>
      <c r="DJ115" s="451"/>
      <c r="DK115" s="452"/>
      <c r="DL115" s="453"/>
      <c r="DM115" s="449">
        <f>2263000-209425</f>
        <v>2053575</v>
      </c>
      <c r="DN115" s="450"/>
      <c r="DO115" s="451"/>
      <c r="DP115" s="452"/>
      <c r="DQ115" s="453"/>
      <c r="DR115" s="449">
        <f>4524000-451972</f>
        <v>4072028</v>
      </c>
      <c r="DS115" s="450"/>
      <c r="DT115" s="451"/>
      <c r="DU115" s="452"/>
      <c r="DV115" s="453"/>
      <c r="DW115" s="449">
        <v>0</v>
      </c>
      <c r="DX115" s="450"/>
      <c r="DY115" s="451"/>
      <c r="DZ115" s="452"/>
      <c r="EA115" s="453"/>
      <c r="EB115" s="449">
        <f>2262000-193188</f>
        <v>2068812</v>
      </c>
      <c r="EC115" s="450"/>
      <c r="ED115" s="451"/>
      <c r="EE115" s="452"/>
      <c r="EF115" s="453"/>
      <c r="EG115" s="449">
        <v>0</v>
      </c>
      <c r="EH115" s="450"/>
      <c r="EI115" s="451"/>
      <c r="EJ115" s="452"/>
      <c r="EK115" s="453"/>
      <c r="EL115" s="449">
        <f>SUM(CD115:DW115)</f>
        <v>18232570</v>
      </c>
      <c r="EM115" s="450"/>
      <c r="EN115" s="451"/>
      <c r="EO115" s="13"/>
      <c r="ER115" s="14"/>
      <c r="ES115" s="14"/>
    </row>
    <row r="116" spans="4:149" x14ac:dyDescent="0.2">
      <c r="D116" s="13" t="s">
        <v>349</v>
      </c>
      <c r="E116" s="452"/>
      <c r="F116" s="198"/>
      <c r="G116" s="451">
        <v>0</v>
      </c>
      <c r="H116" s="455"/>
      <c r="I116" s="451"/>
      <c r="J116" s="452"/>
      <c r="K116" s="452"/>
      <c r="L116" s="451">
        <v>0</v>
      </c>
      <c r="M116" s="455"/>
      <c r="N116" s="451"/>
      <c r="O116" s="452"/>
      <c r="P116" s="452"/>
      <c r="Q116" s="451">
        <v>0</v>
      </c>
      <c r="R116" s="455"/>
      <c r="S116" s="451"/>
      <c r="T116" s="452"/>
      <c r="U116" s="452"/>
      <c r="V116" s="451">
        <v>0</v>
      </c>
      <c r="W116" s="455"/>
      <c r="X116" s="451"/>
      <c r="Y116" s="452"/>
      <c r="Z116" s="452"/>
      <c r="AA116" s="451">
        <v>0</v>
      </c>
      <c r="AB116" s="455"/>
      <c r="AC116" s="451"/>
      <c r="AD116" s="452"/>
      <c r="AE116" s="452"/>
      <c r="AF116" s="451">
        <v>0</v>
      </c>
      <c r="AG116" s="455"/>
      <c r="AH116" s="451"/>
      <c r="AI116" s="452"/>
      <c r="AJ116" s="452"/>
      <c r="AK116" s="451">
        <v>1192748</v>
      </c>
      <c r="AL116" s="455"/>
      <c r="AM116" s="451"/>
      <c r="AN116" s="452"/>
      <c r="AO116" s="452"/>
      <c r="AP116" s="451">
        <v>1699015</v>
      </c>
      <c r="AQ116" s="455"/>
      <c r="AR116" s="451"/>
      <c r="AS116" s="452"/>
      <c r="AT116" s="452"/>
      <c r="AU116" s="451">
        <v>878082</v>
      </c>
      <c r="AV116" s="455"/>
      <c r="AW116" s="451"/>
      <c r="AX116" s="452"/>
      <c r="AY116" s="452"/>
      <c r="AZ116" s="451">
        <v>0</v>
      </c>
      <c r="BA116" s="455"/>
      <c r="BB116" s="451"/>
      <c r="BC116" s="452"/>
      <c r="BD116" s="452"/>
      <c r="BE116" s="451">
        <v>0</v>
      </c>
      <c r="BF116" s="455"/>
      <c r="BG116" s="451"/>
      <c r="BH116" s="452"/>
      <c r="BI116" s="452"/>
      <c r="BJ116" s="451">
        <v>0</v>
      </c>
      <c r="BK116" s="455"/>
      <c r="BL116" s="451"/>
      <c r="BM116" s="452"/>
      <c r="BN116" s="452"/>
      <c r="BO116" s="451">
        <v>0</v>
      </c>
      <c r="BP116" s="455"/>
      <c r="BQ116" s="451"/>
      <c r="BR116" s="452"/>
      <c r="BS116" s="452"/>
      <c r="BT116" s="451">
        <f>SUM(L116:BO116)</f>
        <v>3769845</v>
      </c>
      <c r="BU116" s="455"/>
      <c r="BV116" s="451"/>
      <c r="BW116" s="452"/>
      <c r="BX116" s="452"/>
      <c r="BY116" s="451">
        <v>1854795</v>
      </c>
      <c r="BZ116" s="455"/>
      <c r="CA116" s="451"/>
      <c r="CB116" s="452"/>
      <c r="CC116" s="452"/>
      <c r="CD116" s="451">
        <v>135529</v>
      </c>
      <c r="CE116" s="455"/>
      <c r="CF116" s="451"/>
      <c r="CG116" s="452"/>
      <c r="CH116" s="452"/>
      <c r="CI116" s="451">
        <v>72711</v>
      </c>
      <c r="CJ116" s="455"/>
      <c r="CK116" s="451"/>
      <c r="CL116" s="452"/>
      <c r="CM116" s="452"/>
      <c r="CN116" s="451">
        <v>173807</v>
      </c>
      <c r="CO116" s="455"/>
      <c r="CP116" s="451"/>
      <c r="CQ116" s="452"/>
      <c r="CR116" s="452"/>
      <c r="CS116" s="451">
        <v>44754</v>
      </c>
      <c r="CT116" s="455"/>
      <c r="CU116" s="451"/>
      <c r="CV116" s="452"/>
      <c r="CW116" s="452"/>
      <c r="CX116" s="451">
        <v>417052</v>
      </c>
      <c r="CY116" s="455"/>
      <c r="CZ116" s="451"/>
      <c r="DA116" s="452"/>
      <c r="DB116" s="452"/>
      <c r="DC116" s="451">
        <v>156357</v>
      </c>
      <c r="DD116" s="455"/>
      <c r="DE116" s="451"/>
      <c r="DF116" s="452"/>
      <c r="DG116" s="452"/>
      <c r="DH116" s="451">
        <v>0</v>
      </c>
      <c r="DI116" s="455"/>
      <c r="DJ116" s="451"/>
      <c r="DK116" s="452"/>
      <c r="DL116" s="452"/>
      <c r="DM116" s="451">
        <v>209425</v>
      </c>
      <c r="DN116" s="455"/>
      <c r="DO116" s="451"/>
      <c r="DP116" s="452"/>
      <c r="DQ116" s="452"/>
      <c r="DR116" s="451">
        <v>451972</v>
      </c>
      <c r="DS116" s="455"/>
      <c r="DT116" s="451"/>
      <c r="DU116" s="452"/>
      <c r="DV116" s="452"/>
      <c r="DW116" s="451">
        <v>0</v>
      </c>
      <c r="DX116" s="455"/>
      <c r="DY116" s="451"/>
      <c r="DZ116" s="452"/>
      <c r="EA116" s="452"/>
      <c r="EB116" s="451">
        <v>193188</v>
      </c>
      <c r="EC116" s="455"/>
      <c r="ED116" s="451"/>
      <c r="EE116" s="452"/>
      <c r="EF116" s="452"/>
      <c r="EG116" s="451">
        <v>0</v>
      </c>
      <c r="EH116" s="455"/>
      <c r="EI116" s="451"/>
      <c r="EJ116" s="452"/>
      <c r="EK116" s="452"/>
      <c r="EL116" s="451">
        <f>SUM(CD116:DW116)</f>
        <v>1661607</v>
      </c>
      <c r="EM116" s="455"/>
      <c r="EN116" s="451"/>
      <c r="EO116" s="13"/>
      <c r="ER116" s="14"/>
      <c r="ES116" s="14"/>
    </row>
    <row r="117" spans="4:149" x14ac:dyDescent="0.2">
      <c r="D117" s="13" t="s">
        <v>357</v>
      </c>
      <c r="E117" s="452"/>
      <c r="F117" s="385"/>
      <c r="G117" s="463">
        <v>0</v>
      </c>
      <c r="H117" s="464"/>
      <c r="I117" s="451"/>
      <c r="J117" s="452"/>
      <c r="K117" s="465"/>
      <c r="L117" s="463">
        <v>0</v>
      </c>
      <c r="M117" s="464"/>
      <c r="N117" s="451"/>
      <c r="O117" s="452"/>
      <c r="P117" s="465"/>
      <c r="Q117" s="463">
        <v>0</v>
      </c>
      <c r="R117" s="464"/>
      <c r="S117" s="451"/>
      <c r="T117" s="452"/>
      <c r="U117" s="465"/>
      <c r="V117" s="463">
        <v>0</v>
      </c>
      <c r="W117" s="464"/>
      <c r="X117" s="451"/>
      <c r="Y117" s="452"/>
      <c r="Z117" s="465"/>
      <c r="AA117" s="463">
        <v>0</v>
      </c>
      <c r="AB117" s="464"/>
      <c r="AC117" s="451"/>
      <c r="AD117" s="452"/>
      <c r="AE117" s="465"/>
      <c r="AF117" s="463">
        <v>0</v>
      </c>
      <c r="AG117" s="464"/>
      <c r="AH117" s="451"/>
      <c r="AI117" s="452"/>
      <c r="AJ117" s="465"/>
      <c r="AK117" s="463">
        <v>0</v>
      </c>
      <c r="AL117" s="464"/>
      <c r="AM117" s="451"/>
      <c r="AN117" s="452"/>
      <c r="AO117" s="465"/>
      <c r="AP117" s="463">
        <v>0</v>
      </c>
      <c r="AQ117" s="464"/>
      <c r="AR117" s="451"/>
      <c r="AS117" s="452"/>
      <c r="AT117" s="465"/>
      <c r="AU117" s="463">
        <v>0</v>
      </c>
      <c r="AV117" s="464"/>
      <c r="AW117" s="451"/>
      <c r="AX117" s="452"/>
      <c r="AY117" s="465"/>
      <c r="AZ117" s="463">
        <v>0</v>
      </c>
      <c r="BA117" s="464"/>
      <c r="BB117" s="451"/>
      <c r="BC117" s="452"/>
      <c r="BD117" s="465"/>
      <c r="BE117" s="463">
        <v>0</v>
      </c>
      <c r="BF117" s="464"/>
      <c r="BG117" s="451"/>
      <c r="BH117" s="452"/>
      <c r="BI117" s="465"/>
      <c r="BJ117" s="463">
        <v>0</v>
      </c>
      <c r="BK117" s="464"/>
      <c r="BL117" s="451"/>
      <c r="BM117" s="452"/>
      <c r="BN117" s="465"/>
      <c r="BO117" s="463">
        <v>0</v>
      </c>
      <c r="BP117" s="464"/>
      <c r="BQ117" s="451"/>
      <c r="BR117" s="452"/>
      <c r="BS117" s="465"/>
      <c r="BT117" s="463">
        <f>SUM(L117:BO117)</f>
        <v>0</v>
      </c>
      <c r="BU117" s="464"/>
      <c r="BV117" s="451"/>
      <c r="BW117" s="452"/>
      <c r="BX117" s="465"/>
      <c r="BY117" s="463">
        <v>0</v>
      </c>
      <c r="BZ117" s="464"/>
      <c r="CA117" s="451"/>
      <c r="CB117" s="452"/>
      <c r="CC117" s="465"/>
      <c r="CD117" s="463">
        <v>0</v>
      </c>
      <c r="CE117" s="464"/>
      <c r="CF117" s="451"/>
      <c r="CG117" s="452"/>
      <c r="CH117" s="465"/>
      <c r="CI117" s="463">
        <v>0</v>
      </c>
      <c r="CJ117" s="464"/>
      <c r="CK117" s="451"/>
      <c r="CL117" s="452"/>
      <c r="CM117" s="465"/>
      <c r="CN117" s="463">
        <v>0</v>
      </c>
      <c r="CO117" s="464"/>
      <c r="CP117" s="451"/>
      <c r="CQ117" s="452"/>
      <c r="CR117" s="465"/>
      <c r="CS117" s="463">
        <v>0</v>
      </c>
      <c r="CT117" s="464"/>
      <c r="CU117" s="451"/>
      <c r="CV117" s="452"/>
      <c r="CW117" s="465"/>
      <c r="CX117" s="463">
        <v>0</v>
      </c>
      <c r="CY117" s="464"/>
      <c r="CZ117" s="451"/>
      <c r="DA117" s="452"/>
      <c r="DB117" s="465"/>
      <c r="DC117" s="463">
        <v>0</v>
      </c>
      <c r="DD117" s="464"/>
      <c r="DE117" s="451"/>
      <c r="DF117" s="452"/>
      <c r="DG117" s="465"/>
      <c r="DH117" s="463">
        <v>0</v>
      </c>
      <c r="DI117" s="464"/>
      <c r="DJ117" s="451"/>
      <c r="DK117" s="452"/>
      <c r="DL117" s="465"/>
      <c r="DM117" s="463">
        <v>0</v>
      </c>
      <c r="DN117" s="464"/>
      <c r="DO117" s="451"/>
      <c r="DP117" s="452"/>
      <c r="DQ117" s="465"/>
      <c r="DR117" s="463">
        <v>0</v>
      </c>
      <c r="DS117" s="464"/>
      <c r="DT117" s="451"/>
      <c r="DU117" s="452"/>
      <c r="DV117" s="465"/>
      <c r="DW117" s="463">
        <v>0</v>
      </c>
      <c r="DX117" s="464"/>
      <c r="DY117" s="451"/>
      <c r="DZ117" s="452"/>
      <c r="EA117" s="465"/>
      <c r="EB117" s="463">
        <v>0</v>
      </c>
      <c r="EC117" s="464"/>
      <c r="ED117" s="451"/>
      <c r="EE117" s="452"/>
      <c r="EF117" s="465"/>
      <c r="EG117" s="463">
        <v>0</v>
      </c>
      <c r="EH117" s="464"/>
      <c r="EI117" s="451"/>
      <c r="EJ117" s="452"/>
      <c r="EK117" s="465"/>
      <c r="EL117" s="463">
        <f>SUM(CD117:DW117)</f>
        <v>0</v>
      </c>
      <c r="EM117" s="464"/>
      <c r="EN117" s="451"/>
      <c r="EO117" s="13"/>
      <c r="ER117" s="14"/>
      <c r="ES117" s="14"/>
    </row>
    <row r="118" spans="4:149" x14ac:dyDescent="0.2">
      <c r="D118" s="13"/>
      <c r="E118" s="452"/>
      <c r="G118" s="451"/>
      <c r="H118" s="451"/>
      <c r="I118" s="451"/>
      <c r="J118" s="452"/>
      <c r="K118" s="451"/>
      <c r="L118" s="451"/>
      <c r="M118" s="451"/>
      <c r="N118" s="451"/>
      <c r="O118" s="452"/>
      <c r="P118" s="451"/>
      <c r="Q118" s="451"/>
      <c r="R118" s="451"/>
      <c r="S118" s="451"/>
      <c r="T118" s="452"/>
      <c r="U118" s="451"/>
      <c r="V118" s="451"/>
      <c r="W118" s="451"/>
      <c r="X118" s="451"/>
      <c r="Y118" s="452"/>
      <c r="Z118" s="451"/>
      <c r="AA118" s="451"/>
      <c r="AB118" s="451"/>
      <c r="AC118" s="451"/>
      <c r="AD118" s="452"/>
      <c r="AE118" s="451"/>
      <c r="AF118" s="451"/>
      <c r="AG118" s="451"/>
      <c r="AH118" s="451"/>
      <c r="AI118" s="452"/>
      <c r="AJ118" s="451"/>
      <c r="AK118" s="451"/>
      <c r="AL118" s="451"/>
      <c r="AM118" s="451"/>
      <c r="AN118" s="452"/>
      <c r="AO118" s="451"/>
      <c r="AP118" s="451"/>
      <c r="AQ118" s="451"/>
      <c r="AR118" s="451"/>
      <c r="AS118" s="452"/>
      <c r="AT118" s="451"/>
      <c r="AU118" s="451"/>
      <c r="AV118" s="451"/>
      <c r="AW118" s="451"/>
      <c r="AX118" s="452"/>
      <c r="AY118" s="451"/>
      <c r="AZ118" s="451"/>
      <c r="BA118" s="451"/>
      <c r="BB118" s="451"/>
      <c r="BC118" s="452"/>
      <c r="BD118" s="451"/>
      <c r="BE118" s="451"/>
      <c r="BF118" s="451"/>
      <c r="BG118" s="451"/>
      <c r="BH118" s="452"/>
      <c r="BI118" s="451"/>
      <c r="BJ118" s="451"/>
      <c r="BK118" s="451"/>
      <c r="BL118" s="451"/>
      <c r="BM118" s="452"/>
      <c r="BN118" s="451"/>
      <c r="BO118" s="451"/>
      <c r="BP118" s="451"/>
      <c r="BQ118" s="451"/>
      <c r="BR118" s="452"/>
      <c r="BS118" s="451"/>
      <c r="BT118" s="451"/>
      <c r="BU118" s="451"/>
      <c r="BV118" s="451"/>
      <c r="BW118" s="452"/>
      <c r="BX118" s="451"/>
      <c r="BY118" s="451"/>
      <c r="BZ118" s="451"/>
      <c r="CA118" s="451"/>
      <c r="CB118" s="452"/>
      <c r="CC118" s="451"/>
      <c r="CD118" s="451"/>
      <c r="CE118" s="451"/>
      <c r="CF118" s="451"/>
      <c r="CG118" s="452"/>
      <c r="CH118" s="451"/>
      <c r="CI118" s="451"/>
      <c r="CJ118" s="451"/>
      <c r="CK118" s="451"/>
      <c r="CL118" s="452"/>
      <c r="CM118" s="451"/>
      <c r="CN118" s="451"/>
      <c r="CO118" s="451"/>
      <c r="CP118" s="451"/>
      <c r="CQ118" s="452"/>
      <c r="CR118" s="451"/>
      <c r="CS118" s="451"/>
      <c r="CT118" s="451"/>
      <c r="CU118" s="451"/>
      <c r="CV118" s="452"/>
      <c r="CW118" s="451"/>
      <c r="CX118" s="451"/>
      <c r="CY118" s="451"/>
      <c r="CZ118" s="451"/>
      <c r="DA118" s="452"/>
      <c r="DB118" s="451"/>
      <c r="DC118" s="451"/>
      <c r="DD118" s="451"/>
      <c r="DE118" s="451"/>
      <c r="DF118" s="452"/>
      <c r="DG118" s="451"/>
      <c r="DH118" s="451"/>
      <c r="DI118" s="451"/>
      <c r="DJ118" s="451"/>
      <c r="DK118" s="452"/>
      <c r="DL118" s="451"/>
      <c r="DM118" s="451"/>
      <c r="DN118" s="451"/>
      <c r="DO118" s="451"/>
      <c r="DP118" s="452"/>
      <c r="DQ118" s="451"/>
      <c r="DR118" s="451"/>
      <c r="DS118" s="451"/>
      <c r="DT118" s="451"/>
      <c r="DU118" s="452"/>
      <c r="DV118" s="451"/>
      <c r="DW118" s="451"/>
      <c r="DX118" s="451"/>
      <c r="DY118" s="451"/>
      <c r="DZ118" s="452"/>
      <c r="EA118" s="451"/>
      <c r="EB118" s="451"/>
      <c r="EC118" s="451"/>
      <c r="ED118" s="451"/>
      <c r="EE118" s="452"/>
      <c r="EF118" s="451"/>
      <c r="EG118" s="451"/>
      <c r="EH118" s="451"/>
      <c r="EI118" s="451"/>
      <c r="EJ118" s="452"/>
      <c r="EK118" s="451"/>
      <c r="EL118" s="451"/>
      <c r="EM118" s="451"/>
      <c r="EN118" s="451"/>
      <c r="EO118" s="13"/>
      <c r="ER118" s="14"/>
      <c r="ES118" s="14"/>
    </row>
    <row r="119" spans="4:149" ht="12.75" hidden="1" customHeight="1" x14ac:dyDescent="0.2">
      <c r="D119" s="13" t="s">
        <v>370</v>
      </c>
      <c r="E119" s="452"/>
      <c r="G119" s="451">
        <f>SUM(G120:G123)</f>
        <v>0</v>
      </c>
      <c r="H119" s="451"/>
      <c r="I119" s="451"/>
      <c r="J119" s="452"/>
      <c r="K119" s="451"/>
      <c r="L119" s="451">
        <f>SUM(L120:L123)</f>
        <v>0</v>
      </c>
      <c r="M119" s="451"/>
      <c r="N119" s="451"/>
      <c r="O119" s="452"/>
      <c r="P119" s="451"/>
      <c r="Q119" s="451">
        <f>SUM(Q120:Q123)</f>
        <v>0</v>
      </c>
      <c r="R119" s="451"/>
      <c r="S119" s="451"/>
      <c r="T119" s="452"/>
      <c r="U119" s="451"/>
      <c r="V119" s="451">
        <f>SUM(V120:V123)</f>
        <v>0</v>
      </c>
      <c r="W119" s="451"/>
      <c r="X119" s="451"/>
      <c r="Y119" s="452"/>
      <c r="Z119" s="451"/>
      <c r="AA119" s="451">
        <f>SUM(AA120:AA123)</f>
        <v>0</v>
      </c>
      <c r="AB119" s="451"/>
      <c r="AC119" s="451"/>
      <c r="AD119" s="452"/>
      <c r="AE119" s="451"/>
      <c r="AF119" s="451">
        <f>SUM(AF120:AF123)</f>
        <v>0</v>
      </c>
      <c r="AG119" s="451"/>
      <c r="AH119" s="451"/>
      <c r="AI119" s="452"/>
      <c r="AJ119" s="451"/>
      <c r="AK119" s="451">
        <f>SUM(AK120:AK123)</f>
        <v>0</v>
      </c>
      <c r="AL119" s="451"/>
      <c r="AM119" s="451"/>
      <c r="AN119" s="452"/>
      <c r="AO119" s="451"/>
      <c r="AP119" s="451">
        <f>SUM(AP120:AP123)</f>
        <v>0</v>
      </c>
      <c r="AQ119" s="451"/>
      <c r="AR119" s="451"/>
      <c r="AS119" s="452"/>
      <c r="AT119" s="451"/>
      <c r="AU119" s="451">
        <f>SUM(AU120:AU123)</f>
        <v>0</v>
      </c>
      <c r="AV119" s="451"/>
      <c r="AW119" s="451"/>
      <c r="AX119" s="452"/>
      <c r="AY119" s="451"/>
      <c r="AZ119" s="451">
        <f>SUM(AZ120:AZ123)</f>
        <v>0</v>
      </c>
      <c r="BA119" s="451"/>
      <c r="BB119" s="451"/>
      <c r="BC119" s="452"/>
      <c r="BD119" s="451"/>
      <c r="BE119" s="451">
        <f>SUM(BE120:BE123)</f>
        <v>0</v>
      </c>
      <c r="BF119" s="451"/>
      <c r="BG119" s="451"/>
      <c r="BH119" s="452"/>
      <c r="BI119" s="451"/>
      <c r="BJ119" s="451">
        <f>SUM(BJ120:BJ123)</f>
        <v>0</v>
      </c>
      <c r="BK119" s="451"/>
      <c r="BL119" s="451"/>
      <c r="BM119" s="452"/>
      <c r="BN119" s="451"/>
      <c r="BO119" s="451">
        <f>SUM(BO120:BO123)</f>
        <v>0</v>
      </c>
      <c r="BP119" s="451"/>
      <c r="BQ119" s="451"/>
      <c r="BR119" s="452"/>
      <c r="BS119" s="451"/>
      <c r="BT119" s="451">
        <f>SUM(BT120:BT123)</f>
        <v>0</v>
      </c>
      <c r="BU119" s="451"/>
      <c r="BV119" s="451"/>
      <c r="BW119" s="452"/>
      <c r="BX119" s="451"/>
      <c r="BY119" s="451">
        <f>SUM(BY120:BY123)</f>
        <v>0</v>
      </c>
      <c r="BZ119" s="451"/>
      <c r="CA119" s="451"/>
      <c r="CB119" s="452"/>
      <c r="CC119" s="451"/>
      <c r="CD119" s="451">
        <f>SUM(CD120:CD123)</f>
        <v>0</v>
      </c>
      <c r="CE119" s="451"/>
      <c r="CF119" s="451"/>
      <c r="CG119" s="452"/>
      <c r="CH119" s="451"/>
      <c r="CI119" s="451">
        <f>SUM(CI120:CI123)</f>
        <v>0</v>
      </c>
      <c r="CJ119" s="451"/>
      <c r="CK119" s="451"/>
      <c r="CL119" s="452"/>
      <c r="CM119" s="451"/>
      <c r="CN119" s="451">
        <f>SUM(CN120:CN123)</f>
        <v>0</v>
      </c>
      <c r="CO119" s="451"/>
      <c r="CP119" s="451"/>
      <c r="CQ119" s="452"/>
      <c r="CR119" s="451"/>
      <c r="CS119" s="451">
        <f>SUM(CS120:CS123)</f>
        <v>0</v>
      </c>
      <c r="CT119" s="451"/>
      <c r="CU119" s="451"/>
      <c r="CV119" s="452"/>
      <c r="CW119" s="451"/>
      <c r="CX119" s="451">
        <f>SUM(CX120:CX123)</f>
        <v>0</v>
      </c>
      <c r="CY119" s="451"/>
      <c r="CZ119" s="451"/>
      <c r="DA119" s="452"/>
      <c r="DB119" s="451"/>
      <c r="DC119" s="451">
        <f>SUM(DC120:DC123)</f>
        <v>0</v>
      </c>
      <c r="DD119" s="451"/>
      <c r="DE119" s="451"/>
      <c r="DF119" s="452"/>
      <c r="DG119" s="451"/>
      <c r="DH119" s="451">
        <f>SUM(DH120:DH123)</f>
        <v>0</v>
      </c>
      <c r="DI119" s="451"/>
      <c r="DJ119" s="451"/>
      <c r="DK119" s="452"/>
      <c r="DL119" s="451"/>
      <c r="DM119" s="451">
        <f>SUM(DM120:DM123)</f>
        <v>0</v>
      </c>
      <c r="DN119" s="451"/>
      <c r="DO119" s="451"/>
      <c r="DP119" s="452"/>
      <c r="DQ119" s="451"/>
      <c r="DR119" s="451">
        <f>SUM(DR120:DR123)</f>
        <v>0</v>
      </c>
      <c r="DS119" s="451"/>
      <c r="DT119" s="451"/>
      <c r="DU119" s="452"/>
      <c r="DV119" s="451"/>
      <c r="DW119" s="451">
        <f>SUM(DW120:DW123)</f>
        <v>0</v>
      </c>
      <c r="DX119" s="451"/>
      <c r="DY119" s="451"/>
      <c r="DZ119" s="452"/>
      <c r="EA119" s="451"/>
      <c r="EB119" s="451">
        <f>SUM(EB120:EB123)</f>
        <v>0</v>
      </c>
      <c r="EC119" s="451"/>
      <c r="ED119" s="451"/>
      <c r="EE119" s="452"/>
      <c r="EF119" s="451"/>
      <c r="EG119" s="451">
        <f>SUM(EG120:EG123)</f>
        <v>0</v>
      </c>
      <c r="EH119" s="451"/>
      <c r="EI119" s="451"/>
      <c r="EJ119" s="452"/>
      <c r="EK119" s="451"/>
      <c r="EL119" s="451">
        <f>SUM(EL120:EL123)</f>
        <v>0</v>
      </c>
      <c r="EM119" s="451"/>
      <c r="EN119" s="451"/>
      <c r="EO119" s="13"/>
      <c r="ER119" s="14"/>
      <c r="ES119" s="14"/>
    </row>
    <row r="120" spans="4:149" ht="12.75" hidden="1" customHeight="1" x14ac:dyDescent="0.2">
      <c r="D120" s="13" t="s">
        <v>347</v>
      </c>
      <c r="E120" s="452"/>
      <c r="F120" s="374"/>
      <c r="G120" s="449">
        <v>0</v>
      </c>
      <c r="H120" s="450"/>
      <c r="I120" s="451"/>
      <c r="J120" s="452"/>
      <c r="K120" s="453"/>
      <c r="L120" s="449">
        <v>0</v>
      </c>
      <c r="M120" s="450"/>
      <c r="N120" s="451"/>
      <c r="O120" s="452"/>
      <c r="P120" s="453"/>
      <c r="Q120" s="449">
        <v>0</v>
      </c>
      <c r="R120" s="450"/>
      <c r="S120" s="451"/>
      <c r="T120" s="452"/>
      <c r="U120" s="453"/>
      <c r="V120" s="449">
        <v>0</v>
      </c>
      <c r="W120" s="450"/>
      <c r="X120" s="451"/>
      <c r="Y120" s="452"/>
      <c r="Z120" s="453"/>
      <c r="AA120" s="449">
        <v>0</v>
      </c>
      <c r="AB120" s="450"/>
      <c r="AC120" s="451"/>
      <c r="AD120" s="452"/>
      <c r="AE120" s="453"/>
      <c r="AF120" s="449">
        <v>0</v>
      </c>
      <c r="AG120" s="450"/>
      <c r="AH120" s="451"/>
      <c r="AI120" s="452"/>
      <c r="AJ120" s="453"/>
      <c r="AK120" s="449">
        <v>0</v>
      </c>
      <c r="AL120" s="450"/>
      <c r="AM120" s="451"/>
      <c r="AN120" s="452"/>
      <c r="AO120" s="453"/>
      <c r="AP120" s="449">
        <v>0</v>
      </c>
      <c r="AQ120" s="450"/>
      <c r="AR120" s="451"/>
      <c r="AS120" s="452"/>
      <c r="AT120" s="453"/>
      <c r="AU120" s="449">
        <v>0</v>
      </c>
      <c r="AV120" s="450"/>
      <c r="AW120" s="451"/>
      <c r="AX120" s="452"/>
      <c r="AY120" s="453"/>
      <c r="AZ120" s="449">
        <v>0</v>
      </c>
      <c r="BA120" s="450"/>
      <c r="BB120" s="451"/>
      <c r="BC120" s="452"/>
      <c r="BD120" s="453"/>
      <c r="BE120" s="449">
        <v>0</v>
      </c>
      <c r="BF120" s="450"/>
      <c r="BG120" s="451"/>
      <c r="BH120" s="452"/>
      <c r="BI120" s="453"/>
      <c r="BJ120" s="449">
        <v>0</v>
      </c>
      <c r="BK120" s="450"/>
      <c r="BL120" s="451"/>
      <c r="BM120" s="452"/>
      <c r="BN120" s="453"/>
      <c r="BO120" s="449">
        <v>0</v>
      </c>
      <c r="BP120" s="450"/>
      <c r="BQ120" s="451"/>
      <c r="BR120" s="452"/>
      <c r="BS120" s="453"/>
      <c r="BT120" s="449">
        <f>SUM(L120:BO120)</f>
        <v>0</v>
      </c>
      <c r="BU120" s="450"/>
      <c r="BV120" s="451"/>
      <c r="BW120" s="452"/>
      <c r="BX120" s="453"/>
      <c r="BY120" s="449">
        <f>SUM(Q120:BT120)</f>
        <v>0</v>
      </c>
      <c r="BZ120" s="450"/>
      <c r="CA120" s="451"/>
      <c r="CB120" s="452"/>
      <c r="CC120" s="453"/>
      <c r="CD120" s="449">
        <v>0</v>
      </c>
      <c r="CE120" s="450"/>
      <c r="CF120" s="451"/>
      <c r="CG120" s="452"/>
      <c r="CH120" s="453"/>
      <c r="CI120" s="449">
        <v>0</v>
      </c>
      <c r="CJ120" s="450"/>
      <c r="CK120" s="451"/>
      <c r="CL120" s="452"/>
      <c r="CM120" s="453"/>
      <c r="CN120" s="449">
        <v>0</v>
      </c>
      <c r="CO120" s="450"/>
      <c r="CP120" s="451"/>
      <c r="CQ120" s="452"/>
      <c r="CR120" s="453"/>
      <c r="CS120" s="449">
        <v>0</v>
      </c>
      <c r="CT120" s="450"/>
      <c r="CU120" s="451"/>
      <c r="CV120" s="452"/>
      <c r="CW120" s="453"/>
      <c r="CX120" s="449">
        <v>0</v>
      </c>
      <c r="CY120" s="450"/>
      <c r="CZ120" s="451"/>
      <c r="DA120" s="452"/>
      <c r="DB120" s="453"/>
      <c r="DC120" s="449">
        <v>0</v>
      </c>
      <c r="DD120" s="450"/>
      <c r="DE120" s="451"/>
      <c r="DF120" s="452"/>
      <c r="DG120" s="453"/>
      <c r="DH120" s="449">
        <v>0</v>
      </c>
      <c r="DI120" s="450"/>
      <c r="DJ120" s="451"/>
      <c r="DK120" s="452"/>
      <c r="DL120" s="453"/>
      <c r="DM120" s="449">
        <v>0</v>
      </c>
      <c r="DN120" s="450"/>
      <c r="DO120" s="451"/>
      <c r="DP120" s="452"/>
      <c r="DQ120" s="453"/>
      <c r="DR120" s="449">
        <v>0</v>
      </c>
      <c r="DS120" s="450"/>
      <c r="DT120" s="451"/>
      <c r="DU120" s="452"/>
      <c r="DV120" s="453"/>
      <c r="DW120" s="449">
        <v>0</v>
      </c>
      <c r="DX120" s="450"/>
      <c r="DY120" s="451"/>
      <c r="DZ120" s="452"/>
      <c r="EA120" s="453"/>
      <c r="EB120" s="449">
        <v>0</v>
      </c>
      <c r="EC120" s="450"/>
      <c r="ED120" s="451"/>
      <c r="EE120" s="452"/>
      <c r="EF120" s="453"/>
      <c r="EG120" s="449">
        <v>0</v>
      </c>
      <c r="EH120" s="450"/>
      <c r="EI120" s="451"/>
      <c r="EJ120" s="452"/>
      <c r="EK120" s="453"/>
      <c r="EL120" s="449">
        <f>SUM(CD120:EG120)</f>
        <v>0</v>
      </c>
      <c r="EM120" s="450"/>
      <c r="EN120" s="451"/>
      <c r="EO120" s="13"/>
      <c r="ER120" s="14"/>
      <c r="ES120" s="14"/>
    </row>
    <row r="121" spans="4:149" ht="12.75" hidden="1" customHeight="1" x14ac:dyDescent="0.2">
      <c r="D121" s="13" t="s">
        <v>349</v>
      </c>
      <c r="E121" s="452"/>
      <c r="F121" s="198"/>
      <c r="G121" s="451">
        <v>0</v>
      </c>
      <c r="H121" s="455"/>
      <c r="I121" s="451"/>
      <c r="J121" s="452"/>
      <c r="K121" s="452"/>
      <c r="L121" s="451">
        <v>0</v>
      </c>
      <c r="M121" s="455"/>
      <c r="N121" s="451"/>
      <c r="O121" s="452"/>
      <c r="P121" s="452"/>
      <c r="Q121" s="451">
        <v>0</v>
      </c>
      <c r="R121" s="455"/>
      <c r="S121" s="451"/>
      <c r="T121" s="452"/>
      <c r="U121" s="452"/>
      <c r="V121" s="451">
        <v>0</v>
      </c>
      <c r="W121" s="455"/>
      <c r="X121" s="451"/>
      <c r="Y121" s="452"/>
      <c r="Z121" s="452"/>
      <c r="AA121" s="451">
        <v>0</v>
      </c>
      <c r="AB121" s="455"/>
      <c r="AC121" s="451"/>
      <c r="AD121" s="452"/>
      <c r="AE121" s="452"/>
      <c r="AF121" s="451">
        <v>0</v>
      </c>
      <c r="AG121" s="455"/>
      <c r="AH121" s="451"/>
      <c r="AI121" s="452"/>
      <c r="AJ121" s="452"/>
      <c r="AK121" s="451">
        <v>0</v>
      </c>
      <c r="AL121" s="455"/>
      <c r="AM121" s="451"/>
      <c r="AN121" s="452"/>
      <c r="AO121" s="452"/>
      <c r="AP121" s="451">
        <v>0</v>
      </c>
      <c r="AQ121" s="455"/>
      <c r="AR121" s="451"/>
      <c r="AS121" s="452"/>
      <c r="AT121" s="452"/>
      <c r="AU121" s="451">
        <v>0</v>
      </c>
      <c r="AV121" s="455"/>
      <c r="AW121" s="451"/>
      <c r="AX121" s="452"/>
      <c r="AY121" s="452"/>
      <c r="AZ121" s="451">
        <v>0</v>
      </c>
      <c r="BA121" s="455"/>
      <c r="BB121" s="451"/>
      <c r="BC121" s="452"/>
      <c r="BD121" s="452"/>
      <c r="BE121" s="451">
        <v>0</v>
      </c>
      <c r="BF121" s="455"/>
      <c r="BG121" s="451"/>
      <c r="BH121" s="452"/>
      <c r="BI121" s="452"/>
      <c r="BJ121" s="451">
        <v>0</v>
      </c>
      <c r="BK121" s="455"/>
      <c r="BL121" s="451"/>
      <c r="BM121" s="452"/>
      <c r="BN121" s="452"/>
      <c r="BO121" s="451">
        <v>0</v>
      </c>
      <c r="BP121" s="455"/>
      <c r="BQ121" s="451"/>
      <c r="BR121" s="452"/>
      <c r="BS121" s="452"/>
      <c r="BT121" s="451">
        <f>SUM(L121:BO121)</f>
        <v>0</v>
      </c>
      <c r="BU121" s="455"/>
      <c r="BV121" s="451"/>
      <c r="BW121" s="452"/>
      <c r="BX121" s="452"/>
      <c r="BY121" s="451">
        <f>SUM(Q121:BT121)</f>
        <v>0</v>
      </c>
      <c r="BZ121" s="455"/>
      <c r="CA121" s="451"/>
      <c r="CB121" s="452"/>
      <c r="CC121" s="452"/>
      <c r="CD121" s="451">
        <v>0</v>
      </c>
      <c r="CE121" s="455"/>
      <c r="CF121" s="451"/>
      <c r="CG121" s="452"/>
      <c r="CH121" s="452"/>
      <c r="CI121" s="451">
        <v>0</v>
      </c>
      <c r="CJ121" s="455"/>
      <c r="CK121" s="451"/>
      <c r="CL121" s="452"/>
      <c r="CM121" s="452"/>
      <c r="CN121" s="451">
        <v>0</v>
      </c>
      <c r="CO121" s="455"/>
      <c r="CP121" s="451"/>
      <c r="CQ121" s="452"/>
      <c r="CR121" s="452"/>
      <c r="CS121" s="451">
        <v>0</v>
      </c>
      <c r="CT121" s="455"/>
      <c r="CU121" s="451"/>
      <c r="CV121" s="452"/>
      <c r="CW121" s="452"/>
      <c r="CX121" s="451">
        <v>0</v>
      </c>
      <c r="CY121" s="455"/>
      <c r="CZ121" s="451"/>
      <c r="DA121" s="452"/>
      <c r="DB121" s="452"/>
      <c r="DC121" s="451">
        <v>0</v>
      </c>
      <c r="DD121" s="455"/>
      <c r="DE121" s="451"/>
      <c r="DF121" s="452"/>
      <c r="DG121" s="452"/>
      <c r="DH121" s="451">
        <v>0</v>
      </c>
      <c r="DI121" s="455"/>
      <c r="DJ121" s="451"/>
      <c r="DK121" s="452"/>
      <c r="DL121" s="452"/>
      <c r="DM121" s="451">
        <v>0</v>
      </c>
      <c r="DN121" s="455"/>
      <c r="DO121" s="451"/>
      <c r="DP121" s="452"/>
      <c r="DQ121" s="452"/>
      <c r="DR121" s="451">
        <v>0</v>
      </c>
      <c r="DS121" s="455"/>
      <c r="DT121" s="451"/>
      <c r="DU121" s="452"/>
      <c r="DV121" s="452"/>
      <c r="DW121" s="451">
        <v>0</v>
      </c>
      <c r="DX121" s="455"/>
      <c r="DY121" s="451"/>
      <c r="DZ121" s="452"/>
      <c r="EA121" s="452"/>
      <c r="EB121" s="451">
        <v>0</v>
      </c>
      <c r="EC121" s="455"/>
      <c r="ED121" s="451"/>
      <c r="EE121" s="452"/>
      <c r="EF121" s="452"/>
      <c r="EG121" s="451">
        <v>0</v>
      </c>
      <c r="EH121" s="455"/>
      <c r="EI121" s="451"/>
      <c r="EJ121" s="452"/>
      <c r="EK121" s="452"/>
      <c r="EL121" s="451">
        <f>SUM(CD121:EG121)</f>
        <v>0</v>
      </c>
      <c r="EM121" s="455"/>
      <c r="EN121" s="451"/>
      <c r="EO121" s="13"/>
      <c r="ER121" s="14"/>
      <c r="ES121" s="14"/>
    </row>
    <row r="122" spans="4:149" ht="12.75" hidden="1" customHeight="1" x14ac:dyDescent="0.2">
      <c r="D122" s="13" t="s">
        <v>350</v>
      </c>
      <c r="E122" s="452"/>
      <c r="F122" s="198"/>
      <c r="G122" s="451">
        <v>0</v>
      </c>
      <c r="H122" s="455"/>
      <c r="I122" s="451"/>
      <c r="J122" s="452"/>
      <c r="K122" s="452"/>
      <c r="L122" s="451">
        <v>0</v>
      </c>
      <c r="M122" s="455"/>
      <c r="N122" s="451"/>
      <c r="O122" s="452"/>
      <c r="P122" s="452"/>
      <c r="Q122" s="451">
        <v>0</v>
      </c>
      <c r="R122" s="455"/>
      <c r="S122" s="451"/>
      <c r="T122" s="452"/>
      <c r="U122" s="452"/>
      <c r="V122" s="451">
        <v>0</v>
      </c>
      <c r="W122" s="455"/>
      <c r="X122" s="451"/>
      <c r="Y122" s="452"/>
      <c r="Z122" s="452"/>
      <c r="AA122" s="451">
        <v>0</v>
      </c>
      <c r="AB122" s="455"/>
      <c r="AC122" s="451"/>
      <c r="AD122" s="452"/>
      <c r="AE122" s="452"/>
      <c r="AF122" s="451">
        <v>0</v>
      </c>
      <c r="AG122" s="455"/>
      <c r="AH122" s="451"/>
      <c r="AI122" s="452"/>
      <c r="AJ122" s="452"/>
      <c r="AK122" s="451">
        <v>0</v>
      </c>
      <c r="AL122" s="455"/>
      <c r="AM122" s="451"/>
      <c r="AN122" s="452"/>
      <c r="AO122" s="452"/>
      <c r="AP122" s="451">
        <v>0</v>
      </c>
      <c r="AQ122" s="455"/>
      <c r="AR122" s="451"/>
      <c r="AS122" s="452"/>
      <c r="AT122" s="452"/>
      <c r="AU122" s="451">
        <v>0</v>
      </c>
      <c r="AV122" s="455"/>
      <c r="AW122" s="451"/>
      <c r="AX122" s="452"/>
      <c r="AY122" s="452"/>
      <c r="AZ122" s="451">
        <v>0</v>
      </c>
      <c r="BA122" s="455"/>
      <c r="BB122" s="451"/>
      <c r="BC122" s="452"/>
      <c r="BD122" s="452"/>
      <c r="BE122" s="451">
        <v>0</v>
      </c>
      <c r="BF122" s="455"/>
      <c r="BG122" s="451"/>
      <c r="BH122" s="452"/>
      <c r="BI122" s="452"/>
      <c r="BJ122" s="451">
        <v>0</v>
      </c>
      <c r="BK122" s="455"/>
      <c r="BL122" s="451"/>
      <c r="BM122" s="452"/>
      <c r="BN122" s="452"/>
      <c r="BO122" s="451">
        <v>0</v>
      </c>
      <c r="BP122" s="455"/>
      <c r="BQ122" s="451"/>
      <c r="BR122" s="452"/>
      <c r="BS122" s="452"/>
      <c r="BT122" s="451">
        <f>SUM(L122:BO122)</f>
        <v>0</v>
      </c>
      <c r="BU122" s="455"/>
      <c r="BV122" s="451"/>
      <c r="BW122" s="452"/>
      <c r="BX122" s="452"/>
      <c r="BY122" s="451">
        <f>SUM(Q122:BT122)</f>
        <v>0</v>
      </c>
      <c r="BZ122" s="455"/>
      <c r="CA122" s="451"/>
      <c r="CB122" s="452"/>
      <c r="CC122" s="452"/>
      <c r="CD122" s="451">
        <v>0</v>
      </c>
      <c r="CE122" s="455"/>
      <c r="CF122" s="451"/>
      <c r="CG122" s="452"/>
      <c r="CH122" s="452"/>
      <c r="CI122" s="451">
        <v>0</v>
      </c>
      <c r="CJ122" s="455"/>
      <c r="CK122" s="451"/>
      <c r="CL122" s="452"/>
      <c r="CM122" s="452"/>
      <c r="CN122" s="451">
        <v>0</v>
      </c>
      <c r="CO122" s="455"/>
      <c r="CP122" s="451"/>
      <c r="CQ122" s="452"/>
      <c r="CR122" s="452"/>
      <c r="CS122" s="451">
        <v>0</v>
      </c>
      <c r="CT122" s="455"/>
      <c r="CU122" s="451"/>
      <c r="CV122" s="452"/>
      <c r="CW122" s="452"/>
      <c r="CX122" s="451">
        <v>0</v>
      </c>
      <c r="CY122" s="455"/>
      <c r="CZ122" s="451"/>
      <c r="DA122" s="452"/>
      <c r="DB122" s="452"/>
      <c r="DC122" s="451">
        <v>0</v>
      </c>
      <c r="DD122" s="455"/>
      <c r="DE122" s="451"/>
      <c r="DF122" s="452"/>
      <c r="DG122" s="452"/>
      <c r="DH122" s="451">
        <v>0</v>
      </c>
      <c r="DI122" s="455"/>
      <c r="DJ122" s="451"/>
      <c r="DK122" s="452"/>
      <c r="DL122" s="452"/>
      <c r="DM122" s="451">
        <v>0</v>
      </c>
      <c r="DN122" s="455"/>
      <c r="DO122" s="451"/>
      <c r="DP122" s="452"/>
      <c r="DQ122" s="452"/>
      <c r="DR122" s="451">
        <v>0</v>
      </c>
      <c r="DS122" s="455"/>
      <c r="DT122" s="451"/>
      <c r="DU122" s="452"/>
      <c r="DV122" s="452"/>
      <c r="DW122" s="451">
        <v>0</v>
      </c>
      <c r="DX122" s="455"/>
      <c r="DY122" s="451"/>
      <c r="DZ122" s="452"/>
      <c r="EA122" s="452"/>
      <c r="EB122" s="451">
        <v>0</v>
      </c>
      <c r="EC122" s="455"/>
      <c r="ED122" s="451"/>
      <c r="EE122" s="452"/>
      <c r="EF122" s="452"/>
      <c r="EG122" s="451">
        <v>0</v>
      </c>
      <c r="EH122" s="455"/>
      <c r="EI122" s="451"/>
      <c r="EJ122" s="452"/>
      <c r="EK122" s="452"/>
      <c r="EL122" s="451">
        <f>SUM(CD122:EG122)</f>
        <v>0</v>
      </c>
      <c r="EM122" s="455"/>
      <c r="EN122" s="451"/>
      <c r="EO122" s="13"/>
      <c r="ER122" s="14"/>
      <c r="ES122" s="14"/>
    </row>
    <row r="123" spans="4:149" ht="12.75" hidden="1" customHeight="1" x14ac:dyDescent="0.2">
      <c r="D123" s="13" t="s">
        <v>351</v>
      </c>
      <c r="E123" s="452"/>
      <c r="F123" s="385"/>
      <c r="G123" s="463">
        <v>0</v>
      </c>
      <c r="H123" s="464"/>
      <c r="I123" s="451"/>
      <c r="J123" s="452"/>
      <c r="K123" s="465"/>
      <c r="L123" s="463">
        <v>0</v>
      </c>
      <c r="M123" s="464"/>
      <c r="N123" s="451"/>
      <c r="O123" s="452"/>
      <c r="P123" s="465"/>
      <c r="Q123" s="463">
        <v>0</v>
      </c>
      <c r="R123" s="464"/>
      <c r="S123" s="451"/>
      <c r="T123" s="452"/>
      <c r="U123" s="465"/>
      <c r="V123" s="463">
        <v>0</v>
      </c>
      <c r="W123" s="464"/>
      <c r="X123" s="451"/>
      <c r="Y123" s="452"/>
      <c r="Z123" s="465"/>
      <c r="AA123" s="463">
        <v>0</v>
      </c>
      <c r="AB123" s="464"/>
      <c r="AC123" s="451"/>
      <c r="AD123" s="452"/>
      <c r="AE123" s="465"/>
      <c r="AF123" s="463">
        <v>0</v>
      </c>
      <c r="AG123" s="464"/>
      <c r="AH123" s="451"/>
      <c r="AI123" s="452"/>
      <c r="AJ123" s="465"/>
      <c r="AK123" s="463">
        <v>0</v>
      </c>
      <c r="AL123" s="464"/>
      <c r="AM123" s="451"/>
      <c r="AN123" s="452"/>
      <c r="AO123" s="465"/>
      <c r="AP123" s="463">
        <v>0</v>
      </c>
      <c r="AQ123" s="464"/>
      <c r="AR123" s="451"/>
      <c r="AS123" s="452"/>
      <c r="AT123" s="465"/>
      <c r="AU123" s="463">
        <v>0</v>
      </c>
      <c r="AV123" s="464"/>
      <c r="AW123" s="451"/>
      <c r="AX123" s="452"/>
      <c r="AY123" s="465"/>
      <c r="AZ123" s="463">
        <v>0</v>
      </c>
      <c r="BA123" s="464"/>
      <c r="BB123" s="451"/>
      <c r="BC123" s="452"/>
      <c r="BD123" s="465"/>
      <c r="BE123" s="463">
        <v>0</v>
      </c>
      <c r="BF123" s="464"/>
      <c r="BG123" s="451"/>
      <c r="BH123" s="452"/>
      <c r="BI123" s="465"/>
      <c r="BJ123" s="463">
        <v>0</v>
      </c>
      <c r="BK123" s="464"/>
      <c r="BL123" s="451"/>
      <c r="BM123" s="452"/>
      <c r="BN123" s="465"/>
      <c r="BO123" s="463">
        <v>0</v>
      </c>
      <c r="BP123" s="464"/>
      <c r="BQ123" s="451"/>
      <c r="BR123" s="452"/>
      <c r="BS123" s="465"/>
      <c r="BT123" s="463">
        <f>SUM(L123:BO123)</f>
        <v>0</v>
      </c>
      <c r="BU123" s="464"/>
      <c r="BV123" s="451"/>
      <c r="BW123" s="452"/>
      <c r="BX123" s="465"/>
      <c r="BY123" s="463">
        <f>SUM(Q123:BT123)</f>
        <v>0</v>
      </c>
      <c r="BZ123" s="464"/>
      <c r="CA123" s="451"/>
      <c r="CB123" s="452"/>
      <c r="CC123" s="465"/>
      <c r="CD123" s="463">
        <v>0</v>
      </c>
      <c r="CE123" s="464"/>
      <c r="CF123" s="451"/>
      <c r="CG123" s="452"/>
      <c r="CH123" s="465"/>
      <c r="CI123" s="463">
        <v>0</v>
      </c>
      <c r="CJ123" s="464"/>
      <c r="CK123" s="451"/>
      <c r="CL123" s="452"/>
      <c r="CM123" s="465"/>
      <c r="CN123" s="463">
        <v>0</v>
      </c>
      <c r="CO123" s="464"/>
      <c r="CP123" s="451"/>
      <c r="CQ123" s="452"/>
      <c r="CR123" s="465"/>
      <c r="CS123" s="463">
        <v>0</v>
      </c>
      <c r="CT123" s="464"/>
      <c r="CU123" s="451"/>
      <c r="CV123" s="452"/>
      <c r="CW123" s="465"/>
      <c r="CX123" s="463">
        <v>0</v>
      </c>
      <c r="CY123" s="464"/>
      <c r="CZ123" s="451"/>
      <c r="DA123" s="452"/>
      <c r="DB123" s="465"/>
      <c r="DC123" s="463">
        <v>0</v>
      </c>
      <c r="DD123" s="464"/>
      <c r="DE123" s="451"/>
      <c r="DF123" s="452"/>
      <c r="DG123" s="465"/>
      <c r="DH123" s="463">
        <v>0</v>
      </c>
      <c r="DI123" s="464"/>
      <c r="DJ123" s="451"/>
      <c r="DK123" s="452"/>
      <c r="DL123" s="465"/>
      <c r="DM123" s="463">
        <v>0</v>
      </c>
      <c r="DN123" s="464"/>
      <c r="DO123" s="451"/>
      <c r="DP123" s="452"/>
      <c r="DQ123" s="465"/>
      <c r="DR123" s="463">
        <v>0</v>
      </c>
      <c r="DS123" s="464"/>
      <c r="DT123" s="451"/>
      <c r="DU123" s="452"/>
      <c r="DV123" s="465"/>
      <c r="DW123" s="463">
        <v>0</v>
      </c>
      <c r="DX123" s="464"/>
      <c r="DY123" s="451"/>
      <c r="DZ123" s="452"/>
      <c r="EA123" s="465"/>
      <c r="EB123" s="463">
        <v>0</v>
      </c>
      <c r="EC123" s="464"/>
      <c r="ED123" s="451"/>
      <c r="EE123" s="452"/>
      <c r="EF123" s="465"/>
      <c r="EG123" s="463">
        <v>0</v>
      </c>
      <c r="EH123" s="464"/>
      <c r="EI123" s="451"/>
      <c r="EJ123" s="452"/>
      <c r="EK123" s="465"/>
      <c r="EL123" s="463">
        <f>SUM(CD123:EG123)</f>
        <v>0</v>
      </c>
      <c r="EM123" s="464"/>
      <c r="EN123" s="451"/>
      <c r="EO123" s="13"/>
      <c r="ER123" s="14"/>
      <c r="ES123" s="14"/>
    </row>
    <row r="124" spans="4:149" ht="12.75" hidden="1" customHeight="1" x14ac:dyDescent="0.2">
      <c r="D124" s="13"/>
      <c r="E124" s="452"/>
      <c r="G124" s="451"/>
      <c r="H124" s="451"/>
      <c r="I124" s="451"/>
      <c r="J124" s="452"/>
      <c r="K124" s="451"/>
      <c r="L124" s="451"/>
      <c r="M124" s="451"/>
      <c r="N124" s="451"/>
      <c r="O124" s="452"/>
      <c r="P124" s="451"/>
      <c r="Q124" s="451"/>
      <c r="R124" s="451"/>
      <c r="S124" s="451"/>
      <c r="T124" s="452"/>
      <c r="U124" s="451"/>
      <c r="V124" s="451"/>
      <c r="W124" s="451"/>
      <c r="X124" s="451"/>
      <c r="Y124" s="452"/>
      <c r="Z124" s="451"/>
      <c r="AA124" s="451"/>
      <c r="AB124" s="451"/>
      <c r="AC124" s="451"/>
      <c r="AD124" s="452"/>
      <c r="AE124" s="451"/>
      <c r="AF124" s="451"/>
      <c r="AG124" s="451"/>
      <c r="AH124" s="451"/>
      <c r="AI124" s="452"/>
      <c r="AJ124" s="451"/>
      <c r="AK124" s="451"/>
      <c r="AL124" s="451"/>
      <c r="AM124" s="451"/>
      <c r="AN124" s="452"/>
      <c r="AO124" s="451"/>
      <c r="AP124" s="451"/>
      <c r="AQ124" s="451"/>
      <c r="AR124" s="451"/>
      <c r="AS124" s="452"/>
      <c r="AT124" s="451"/>
      <c r="AU124" s="451"/>
      <c r="AV124" s="451"/>
      <c r="AW124" s="451"/>
      <c r="AX124" s="452"/>
      <c r="AY124" s="451"/>
      <c r="AZ124" s="451"/>
      <c r="BA124" s="451"/>
      <c r="BB124" s="451"/>
      <c r="BC124" s="452"/>
      <c r="BD124" s="451"/>
      <c r="BE124" s="451"/>
      <c r="BF124" s="451"/>
      <c r="BG124" s="451"/>
      <c r="BH124" s="452"/>
      <c r="BI124" s="451"/>
      <c r="BJ124" s="451"/>
      <c r="BK124" s="451"/>
      <c r="BL124" s="451"/>
      <c r="BM124" s="452"/>
      <c r="BN124" s="451"/>
      <c r="BO124" s="451"/>
      <c r="BP124" s="451"/>
      <c r="BQ124" s="451"/>
      <c r="BR124" s="452"/>
      <c r="BS124" s="451"/>
      <c r="BT124" s="451"/>
      <c r="BU124" s="451"/>
      <c r="BV124" s="451"/>
      <c r="BW124" s="452"/>
      <c r="BX124" s="451"/>
      <c r="BY124" s="451"/>
      <c r="BZ124" s="451"/>
      <c r="CA124" s="451"/>
      <c r="CB124" s="452"/>
      <c r="CC124" s="451"/>
      <c r="CD124" s="451"/>
      <c r="CE124" s="451"/>
      <c r="CF124" s="451"/>
      <c r="CG124" s="452"/>
      <c r="CH124" s="451"/>
      <c r="CI124" s="451"/>
      <c r="CJ124" s="451"/>
      <c r="CK124" s="451"/>
      <c r="CL124" s="452"/>
      <c r="CM124" s="451"/>
      <c r="CN124" s="451"/>
      <c r="CO124" s="451"/>
      <c r="CP124" s="451"/>
      <c r="CQ124" s="452"/>
      <c r="CR124" s="451"/>
      <c r="CS124" s="451"/>
      <c r="CT124" s="451"/>
      <c r="CU124" s="451"/>
      <c r="CV124" s="452"/>
      <c r="CW124" s="451"/>
      <c r="CX124" s="451"/>
      <c r="CY124" s="451"/>
      <c r="CZ124" s="451"/>
      <c r="DA124" s="452"/>
      <c r="DB124" s="451"/>
      <c r="DC124" s="451"/>
      <c r="DD124" s="451"/>
      <c r="DE124" s="451"/>
      <c r="DF124" s="452"/>
      <c r="DG124" s="451"/>
      <c r="DH124" s="451"/>
      <c r="DI124" s="451"/>
      <c r="DJ124" s="451"/>
      <c r="DK124" s="452"/>
      <c r="DL124" s="451"/>
      <c r="DM124" s="451"/>
      <c r="DN124" s="451"/>
      <c r="DO124" s="451"/>
      <c r="DP124" s="452"/>
      <c r="DQ124" s="451"/>
      <c r="DR124" s="451"/>
      <c r="DS124" s="451"/>
      <c r="DT124" s="451"/>
      <c r="DU124" s="452"/>
      <c r="DV124" s="451"/>
      <c r="DW124" s="451"/>
      <c r="DX124" s="451"/>
      <c r="DY124" s="451"/>
      <c r="DZ124" s="452"/>
      <c r="EA124" s="451"/>
      <c r="EB124" s="451"/>
      <c r="EC124" s="451"/>
      <c r="ED124" s="451"/>
      <c r="EE124" s="452"/>
      <c r="EF124" s="451"/>
      <c r="EG124" s="451"/>
      <c r="EH124" s="451"/>
      <c r="EI124" s="451"/>
      <c r="EJ124" s="452"/>
      <c r="EK124" s="451"/>
      <c r="EL124" s="451"/>
      <c r="EM124" s="451"/>
      <c r="EN124" s="451"/>
      <c r="EO124" s="13"/>
      <c r="ER124" s="14"/>
      <c r="ES124" s="14"/>
    </row>
    <row r="125" spans="4:149" ht="12.75" hidden="1" customHeight="1" x14ac:dyDescent="0.2">
      <c r="D125" s="13" t="s">
        <v>371</v>
      </c>
      <c r="E125" s="452"/>
      <c r="G125" s="451">
        <f>SUM(G126:G129)</f>
        <v>0</v>
      </c>
      <c r="H125" s="451"/>
      <c r="I125" s="451"/>
      <c r="J125" s="452"/>
      <c r="K125" s="451"/>
      <c r="L125" s="451">
        <f>SUM(L126:L129)</f>
        <v>0</v>
      </c>
      <c r="M125" s="451"/>
      <c r="N125" s="451"/>
      <c r="O125" s="452"/>
      <c r="P125" s="451"/>
      <c r="Q125" s="451">
        <f>SUM(Q126:Q129)</f>
        <v>0</v>
      </c>
      <c r="R125" s="451"/>
      <c r="S125" s="451"/>
      <c r="T125" s="452"/>
      <c r="U125" s="451"/>
      <c r="V125" s="451">
        <f>SUM(V126:V129)</f>
        <v>0</v>
      </c>
      <c r="W125" s="451"/>
      <c r="X125" s="451"/>
      <c r="Y125" s="452"/>
      <c r="Z125" s="451"/>
      <c r="AA125" s="451">
        <f>SUM(AA126:AA129)</f>
        <v>0</v>
      </c>
      <c r="AB125" s="451"/>
      <c r="AC125" s="451"/>
      <c r="AD125" s="452"/>
      <c r="AE125" s="451"/>
      <c r="AF125" s="451">
        <f>SUM(AF126:AF129)</f>
        <v>0</v>
      </c>
      <c r="AG125" s="451"/>
      <c r="AH125" s="451"/>
      <c r="AI125" s="452"/>
      <c r="AJ125" s="451"/>
      <c r="AK125" s="451">
        <f>SUM(AK126:AK129)</f>
        <v>0</v>
      </c>
      <c r="AL125" s="451"/>
      <c r="AM125" s="451"/>
      <c r="AN125" s="452"/>
      <c r="AO125" s="451"/>
      <c r="AP125" s="451">
        <f>SUM(AP126:AP129)</f>
        <v>0</v>
      </c>
      <c r="AQ125" s="451"/>
      <c r="AR125" s="451"/>
      <c r="AS125" s="452"/>
      <c r="AT125" s="451"/>
      <c r="AU125" s="451">
        <f>SUM(AU126:AU129)</f>
        <v>0</v>
      </c>
      <c r="AV125" s="451"/>
      <c r="AW125" s="451"/>
      <c r="AX125" s="452"/>
      <c r="AY125" s="451"/>
      <c r="AZ125" s="451">
        <f>SUM(AZ126:AZ129)</f>
        <v>0</v>
      </c>
      <c r="BA125" s="451"/>
      <c r="BB125" s="451"/>
      <c r="BC125" s="452"/>
      <c r="BD125" s="451"/>
      <c r="BE125" s="451">
        <f>SUM(BE126:BE129)</f>
        <v>0</v>
      </c>
      <c r="BF125" s="451"/>
      <c r="BG125" s="451"/>
      <c r="BH125" s="452"/>
      <c r="BI125" s="451"/>
      <c r="BJ125" s="451">
        <f>SUM(BJ126:BJ129)</f>
        <v>0</v>
      </c>
      <c r="BK125" s="451"/>
      <c r="BL125" s="451"/>
      <c r="BM125" s="452"/>
      <c r="BN125" s="451"/>
      <c r="BO125" s="451">
        <f>SUM(BO126:BO129)</f>
        <v>0</v>
      </c>
      <c r="BP125" s="451"/>
      <c r="BQ125" s="451"/>
      <c r="BR125" s="452"/>
      <c r="BS125" s="451"/>
      <c r="BT125" s="451">
        <f>SUM(BT126:BT129)</f>
        <v>0</v>
      </c>
      <c r="BU125" s="451"/>
      <c r="BV125" s="451"/>
      <c r="BW125" s="452"/>
      <c r="BX125" s="451"/>
      <c r="BY125" s="451">
        <f>SUM(BY126:BY129)</f>
        <v>0</v>
      </c>
      <c r="BZ125" s="451"/>
      <c r="CA125" s="451"/>
      <c r="CB125" s="452"/>
      <c r="CC125" s="451"/>
      <c r="CD125" s="451">
        <f>SUM(CD126:CD129)</f>
        <v>0</v>
      </c>
      <c r="CE125" s="451"/>
      <c r="CF125" s="451"/>
      <c r="CG125" s="452"/>
      <c r="CH125" s="451"/>
      <c r="CI125" s="451">
        <f>SUM(CI126:CI129)</f>
        <v>0</v>
      </c>
      <c r="CJ125" s="451"/>
      <c r="CK125" s="451"/>
      <c r="CL125" s="452"/>
      <c r="CM125" s="451"/>
      <c r="CN125" s="451">
        <f>SUM(CN126:CN129)</f>
        <v>0</v>
      </c>
      <c r="CO125" s="451"/>
      <c r="CP125" s="451"/>
      <c r="CQ125" s="452"/>
      <c r="CR125" s="451"/>
      <c r="CS125" s="451">
        <f>SUM(CS126:CS129)</f>
        <v>0</v>
      </c>
      <c r="CT125" s="451"/>
      <c r="CU125" s="451"/>
      <c r="CV125" s="452"/>
      <c r="CW125" s="451"/>
      <c r="CX125" s="451">
        <f>SUM(CX126:CX129)</f>
        <v>0</v>
      </c>
      <c r="CY125" s="451"/>
      <c r="CZ125" s="451"/>
      <c r="DA125" s="452"/>
      <c r="DB125" s="451"/>
      <c r="DC125" s="451">
        <f>SUM(DC126:DC129)</f>
        <v>0</v>
      </c>
      <c r="DD125" s="451"/>
      <c r="DE125" s="451"/>
      <c r="DF125" s="452"/>
      <c r="DG125" s="451"/>
      <c r="DH125" s="451">
        <f>SUM(DH126:DH129)</f>
        <v>0</v>
      </c>
      <c r="DI125" s="451"/>
      <c r="DJ125" s="451"/>
      <c r="DK125" s="452"/>
      <c r="DL125" s="451"/>
      <c r="DM125" s="451">
        <f>SUM(DM126:DM129)</f>
        <v>0</v>
      </c>
      <c r="DN125" s="451"/>
      <c r="DO125" s="451"/>
      <c r="DP125" s="452"/>
      <c r="DQ125" s="451"/>
      <c r="DR125" s="451">
        <f>SUM(DR126:DR129)</f>
        <v>0</v>
      </c>
      <c r="DS125" s="451"/>
      <c r="DT125" s="451"/>
      <c r="DU125" s="452"/>
      <c r="DV125" s="451"/>
      <c r="DW125" s="451">
        <f>SUM(DW126:DW129)</f>
        <v>0</v>
      </c>
      <c r="DX125" s="451"/>
      <c r="DY125" s="451"/>
      <c r="DZ125" s="452"/>
      <c r="EA125" s="451"/>
      <c r="EB125" s="451">
        <f>SUM(EB126:EB129)</f>
        <v>0</v>
      </c>
      <c r="EC125" s="451"/>
      <c r="ED125" s="451"/>
      <c r="EE125" s="452"/>
      <c r="EF125" s="451"/>
      <c r="EG125" s="451">
        <f>SUM(EG126:EG129)</f>
        <v>0</v>
      </c>
      <c r="EH125" s="451"/>
      <c r="EI125" s="451"/>
      <c r="EJ125" s="452"/>
      <c r="EK125" s="451"/>
      <c r="EL125" s="451">
        <f>SUM(EL126:EL129)</f>
        <v>0</v>
      </c>
      <c r="EM125" s="451"/>
      <c r="EN125" s="451"/>
      <c r="EO125" s="13"/>
      <c r="ER125" s="14"/>
      <c r="ES125" s="14"/>
    </row>
    <row r="126" spans="4:149" ht="12.75" hidden="1" customHeight="1" x14ac:dyDescent="0.2">
      <c r="D126" s="13" t="s">
        <v>347</v>
      </c>
      <c r="E126" s="452"/>
      <c r="F126" s="374"/>
      <c r="G126" s="449">
        <v>0</v>
      </c>
      <c r="H126" s="450"/>
      <c r="I126" s="451"/>
      <c r="J126" s="452"/>
      <c r="K126" s="453"/>
      <c r="L126" s="449">
        <v>0</v>
      </c>
      <c r="M126" s="450"/>
      <c r="N126" s="451"/>
      <c r="O126" s="452"/>
      <c r="P126" s="453"/>
      <c r="Q126" s="449">
        <v>0</v>
      </c>
      <c r="R126" s="450"/>
      <c r="S126" s="451"/>
      <c r="T126" s="452"/>
      <c r="U126" s="453"/>
      <c r="V126" s="449">
        <v>0</v>
      </c>
      <c r="W126" s="450"/>
      <c r="X126" s="451"/>
      <c r="Y126" s="452"/>
      <c r="Z126" s="453"/>
      <c r="AA126" s="449">
        <v>0</v>
      </c>
      <c r="AB126" s="450"/>
      <c r="AC126" s="451"/>
      <c r="AD126" s="452"/>
      <c r="AE126" s="453"/>
      <c r="AF126" s="449">
        <v>0</v>
      </c>
      <c r="AG126" s="450"/>
      <c r="AH126" s="451"/>
      <c r="AI126" s="452"/>
      <c r="AJ126" s="453"/>
      <c r="AK126" s="449">
        <v>0</v>
      </c>
      <c r="AL126" s="450"/>
      <c r="AM126" s="451"/>
      <c r="AN126" s="452"/>
      <c r="AO126" s="453"/>
      <c r="AP126" s="449">
        <v>0</v>
      </c>
      <c r="AQ126" s="450"/>
      <c r="AR126" s="451"/>
      <c r="AS126" s="452"/>
      <c r="AT126" s="453"/>
      <c r="AU126" s="449">
        <v>0</v>
      </c>
      <c r="AV126" s="450"/>
      <c r="AW126" s="451"/>
      <c r="AX126" s="452"/>
      <c r="AY126" s="453"/>
      <c r="AZ126" s="449">
        <v>0</v>
      </c>
      <c r="BA126" s="450"/>
      <c r="BB126" s="451"/>
      <c r="BC126" s="452"/>
      <c r="BD126" s="453"/>
      <c r="BE126" s="449">
        <v>0</v>
      </c>
      <c r="BF126" s="450"/>
      <c r="BG126" s="451"/>
      <c r="BH126" s="452"/>
      <c r="BI126" s="453"/>
      <c r="BJ126" s="449">
        <v>0</v>
      </c>
      <c r="BK126" s="450"/>
      <c r="BL126" s="451"/>
      <c r="BM126" s="452"/>
      <c r="BN126" s="453"/>
      <c r="BO126" s="449">
        <v>0</v>
      </c>
      <c r="BP126" s="450"/>
      <c r="BQ126" s="451"/>
      <c r="BR126" s="452"/>
      <c r="BS126" s="453"/>
      <c r="BT126" s="449">
        <f>SUM(L126:BO126)</f>
        <v>0</v>
      </c>
      <c r="BU126" s="450"/>
      <c r="BV126" s="451"/>
      <c r="BW126" s="452"/>
      <c r="BX126" s="453"/>
      <c r="BY126" s="449">
        <v>0</v>
      </c>
      <c r="BZ126" s="450"/>
      <c r="CA126" s="451"/>
      <c r="CB126" s="452"/>
      <c r="CC126" s="453"/>
      <c r="CD126" s="449">
        <v>0</v>
      </c>
      <c r="CE126" s="450"/>
      <c r="CF126" s="451"/>
      <c r="CG126" s="452"/>
      <c r="CH126" s="453"/>
      <c r="CI126" s="449">
        <v>0</v>
      </c>
      <c r="CJ126" s="450"/>
      <c r="CK126" s="451"/>
      <c r="CL126" s="452"/>
      <c r="CM126" s="453"/>
      <c r="CN126" s="449">
        <v>0</v>
      </c>
      <c r="CO126" s="450"/>
      <c r="CP126" s="451"/>
      <c r="CQ126" s="452"/>
      <c r="CR126" s="453"/>
      <c r="CS126" s="449">
        <v>0</v>
      </c>
      <c r="CT126" s="450"/>
      <c r="CU126" s="451"/>
      <c r="CV126" s="452"/>
      <c r="CW126" s="453"/>
      <c r="CX126" s="449">
        <v>0</v>
      </c>
      <c r="CY126" s="450"/>
      <c r="CZ126" s="451"/>
      <c r="DA126" s="452"/>
      <c r="DB126" s="453"/>
      <c r="DC126" s="449">
        <v>0</v>
      </c>
      <c r="DD126" s="450"/>
      <c r="DE126" s="451"/>
      <c r="DF126" s="452"/>
      <c r="DG126" s="453"/>
      <c r="DH126" s="449">
        <v>0</v>
      </c>
      <c r="DI126" s="450"/>
      <c r="DJ126" s="451"/>
      <c r="DK126" s="452"/>
      <c r="DL126" s="453"/>
      <c r="DM126" s="449">
        <v>0</v>
      </c>
      <c r="DN126" s="450"/>
      <c r="DO126" s="451"/>
      <c r="DP126" s="452"/>
      <c r="DQ126" s="453"/>
      <c r="DR126" s="449">
        <v>0</v>
      </c>
      <c r="DS126" s="450"/>
      <c r="DT126" s="451"/>
      <c r="DU126" s="452"/>
      <c r="DV126" s="453"/>
      <c r="DW126" s="449">
        <v>0</v>
      </c>
      <c r="DX126" s="450"/>
      <c r="DY126" s="451"/>
      <c r="DZ126" s="452"/>
      <c r="EA126" s="453"/>
      <c r="EB126" s="449">
        <v>0</v>
      </c>
      <c r="EC126" s="450"/>
      <c r="ED126" s="451"/>
      <c r="EE126" s="452"/>
      <c r="EF126" s="453"/>
      <c r="EG126" s="449">
        <v>0</v>
      </c>
      <c r="EH126" s="450"/>
      <c r="EI126" s="451"/>
      <c r="EJ126" s="452"/>
      <c r="EK126" s="453"/>
      <c r="EL126" s="449">
        <f>SUM(CD126:DM126)</f>
        <v>0</v>
      </c>
      <c r="EM126" s="450"/>
      <c r="EN126" s="451"/>
      <c r="EO126" s="13"/>
      <c r="ER126" s="14"/>
      <c r="ES126" s="14"/>
    </row>
    <row r="127" spans="4:149" ht="12.75" hidden="1" customHeight="1" x14ac:dyDescent="0.2">
      <c r="D127" s="13" t="s">
        <v>349</v>
      </c>
      <c r="E127" s="452"/>
      <c r="F127" s="198"/>
      <c r="G127" s="451">
        <v>0</v>
      </c>
      <c r="H127" s="455"/>
      <c r="I127" s="451"/>
      <c r="J127" s="452"/>
      <c r="K127" s="452"/>
      <c r="L127" s="451">
        <v>0</v>
      </c>
      <c r="M127" s="455"/>
      <c r="N127" s="451"/>
      <c r="O127" s="452"/>
      <c r="P127" s="452"/>
      <c r="Q127" s="451">
        <v>0</v>
      </c>
      <c r="R127" s="455"/>
      <c r="S127" s="451"/>
      <c r="T127" s="452"/>
      <c r="U127" s="452"/>
      <c r="V127" s="451">
        <v>0</v>
      </c>
      <c r="W127" s="455"/>
      <c r="X127" s="451"/>
      <c r="Y127" s="452"/>
      <c r="Z127" s="452"/>
      <c r="AA127" s="451">
        <v>0</v>
      </c>
      <c r="AB127" s="455"/>
      <c r="AC127" s="451"/>
      <c r="AD127" s="452"/>
      <c r="AE127" s="452"/>
      <c r="AF127" s="451">
        <v>0</v>
      </c>
      <c r="AG127" s="455"/>
      <c r="AH127" s="451"/>
      <c r="AI127" s="452"/>
      <c r="AJ127" s="452"/>
      <c r="AK127" s="451">
        <v>0</v>
      </c>
      <c r="AL127" s="455"/>
      <c r="AM127" s="451"/>
      <c r="AN127" s="452"/>
      <c r="AO127" s="452"/>
      <c r="AP127" s="451">
        <v>0</v>
      </c>
      <c r="AQ127" s="455"/>
      <c r="AR127" s="451"/>
      <c r="AS127" s="452"/>
      <c r="AT127" s="452"/>
      <c r="AU127" s="451">
        <v>0</v>
      </c>
      <c r="AV127" s="455"/>
      <c r="AW127" s="451"/>
      <c r="AX127" s="452"/>
      <c r="AY127" s="452"/>
      <c r="AZ127" s="451">
        <v>0</v>
      </c>
      <c r="BA127" s="455"/>
      <c r="BB127" s="451"/>
      <c r="BC127" s="452"/>
      <c r="BD127" s="452"/>
      <c r="BE127" s="451">
        <v>0</v>
      </c>
      <c r="BF127" s="455"/>
      <c r="BG127" s="451"/>
      <c r="BH127" s="452"/>
      <c r="BI127" s="452"/>
      <c r="BJ127" s="451">
        <v>0</v>
      </c>
      <c r="BK127" s="455"/>
      <c r="BL127" s="451"/>
      <c r="BM127" s="452"/>
      <c r="BN127" s="452"/>
      <c r="BO127" s="451">
        <v>0</v>
      </c>
      <c r="BP127" s="455"/>
      <c r="BQ127" s="451"/>
      <c r="BR127" s="452"/>
      <c r="BS127" s="452"/>
      <c r="BT127" s="451">
        <f>SUM(L127:BO127)</f>
        <v>0</v>
      </c>
      <c r="BU127" s="455"/>
      <c r="BV127" s="451"/>
      <c r="BW127" s="452"/>
      <c r="BX127" s="452"/>
      <c r="BY127" s="451">
        <v>0</v>
      </c>
      <c r="BZ127" s="455"/>
      <c r="CA127" s="451"/>
      <c r="CB127" s="452"/>
      <c r="CC127" s="452"/>
      <c r="CD127" s="451">
        <v>0</v>
      </c>
      <c r="CE127" s="455"/>
      <c r="CF127" s="451"/>
      <c r="CG127" s="452"/>
      <c r="CH127" s="452"/>
      <c r="CI127" s="451">
        <v>0</v>
      </c>
      <c r="CJ127" s="455"/>
      <c r="CK127" s="451"/>
      <c r="CL127" s="452"/>
      <c r="CM127" s="452"/>
      <c r="CN127" s="451">
        <v>0</v>
      </c>
      <c r="CO127" s="455"/>
      <c r="CP127" s="451"/>
      <c r="CQ127" s="452"/>
      <c r="CR127" s="452"/>
      <c r="CS127" s="451">
        <v>0</v>
      </c>
      <c r="CT127" s="455"/>
      <c r="CU127" s="451"/>
      <c r="CV127" s="452"/>
      <c r="CW127" s="452"/>
      <c r="CX127" s="451">
        <v>0</v>
      </c>
      <c r="CY127" s="455"/>
      <c r="CZ127" s="451"/>
      <c r="DA127" s="452"/>
      <c r="DB127" s="452"/>
      <c r="DC127" s="451">
        <v>0</v>
      </c>
      <c r="DD127" s="455"/>
      <c r="DE127" s="451"/>
      <c r="DF127" s="452"/>
      <c r="DG127" s="452"/>
      <c r="DH127" s="451">
        <v>0</v>
      </c>
      <c r="DI127" s="455"/>
      <c r="DJ127" s="451"/>
      <c r="DK127" s="452"/>
      <c r="DL127" s="452"/>
      <c r="DM127" s="451">
        <v>0</v>
      </c>
      <c r="DN127" s="455"/>
      <c r="DO127" s="451"/>
      <c r="DP127" s="452"/>
      <c r="DQ127" s="452"/>
      <c r="DR127" s="451">
        <v>0</v>
      </c>
      <c r="DS127" s="455"/>
      <c r="DT127" s="451"/>
      <c r="DU127" s="452"/>
      <c r="DV127" s="452"/>
      <c r="DW127" s="451">
        <v>0</v>
      </c>
      <c r="DX127" s="455"/>
      <c r="DY127" s="451"/>
      <c r="DZ127" s="452"/>
      <c r="EA127" s="452"/>
      <c r="EB127" s="451">
        <v>0</v>
      </c>
      <c r="EC127" s="455"/>
      <c r="ED127" s="451"/>
      <c r="EE127" s="452"/>
      <c r="EF127" s="452"/>
      <c r="EG127" s="451">
        <v>0</v>
      </c>
      <c r="EH127" s="455"/>
      <c r="EI127" s="451"/>
      <c r="EJ127" s="452"/>
      <c r="EK127" s="452"/>
      <c r="EL127" s="451">
        <f>SUM(CD127:DM127)</f>
        <v>0</v>
      </c>
      <c r="EM127" s="455"/>
      <c r="EN127" s="451"/>
      <c r="EO127" s="13"/>
      <c r="ER127" s="14"/>
      <c r="ES127" s="14"/>
    </row>
    <row r="128" spans="4:149" ht="12.75" hidden="1" customHeight="1" x14ac:dyDescent="0.2">
      <c r="D128" s="13" t="s">
        <v>350</v>
      </c>
      <c r="E128" s="452"/>
      <c r="F128" s="198"/>
      <c r="G128" s="451">
        <v>0</v>
      </c>
      <c r="H128" s="455"/>
      <c r="I128" s="451"/>
      <c r="J128" s="452"/>
      <c r="K128" s="452"/>
      <c r="L128" s="451">
        <v>0</v>
      </c>
      <c r="M128" s="455"/>
      <c r="N128" s="451"/>
      <c r="O128" s="452"/>
      <c r="P128" s="452"/>
      <c r="Q128" s="451">
        <v>0</v>
      </c>
      <c r="R128" s="455"/>
      <c r="S128" s="451"/>
      <c r="T128" s="452"/>
      <c r="U128" s="452"/>
      <c r="V128" s="451">
        <v>0</v>
      </c>
      <c r="W128" s="455"/>
      <c r="X128" s="451"/>
      <c r="Y128" s="452"/>
      <c r="Z128" s="452"/>
      <c r="AA128" s="451">
        <v>0</v>
      </c>
      <c r="AB128" s="455"/>
      <c r="AC128" s="451"/>
      <c r="AD128" s="452"/>
      <c r="AE128" s="452"/>
      <c r="AF128" s="451">
        <v>0</v>
      </c>
      <c r="AG128" s="455"/>
      <c r="AH128" s="451"/>
      <c r="AI128" s="452"/>
      <c r="AJ128" s="452"/>
      <c r="AK128" s="451">
        <v>0</v>
      </c>
      <c r="AL128" s="455"/>
      <c r="AM128" s="451"/>
      <c r="AN128" s="452"/>
      <c r="AO128" s="452"/>
      <c r="AP128" s="451">
        <v>0</v>
      </c>
      <c r="AQ128" s="455"/>
      <c r="AR128" s="451"/>
      <c r="AS128" s="452"/>
      <c r="AT128" s="452"/>
      <c r="AU128" s="451">
        <v>0</v>
      </c>
      <c r="AV128" s="455"/>
      <c r="AW128" s="451"/>
      <c r="AX128" s="452"/>
      <c r="AY128" s="452"/>
      <c r="AZ128" s="451">
        <v>0</v>
      </c>
      <c r="BA128" s="455"/>
      <c r="BB128" s="451"/>
      <c r="BC128" s="452"/>
      <c r="BD128" s="452"/>
      <c r="BE128" s="451">
        <v>0</v>
      </c>
      <c r="BF128" s="455"/>
      <c r="BG128" s="451"/>
      <c r="BH128" s="452"/>
      <c r="BI128" s="452"/>
      <c r="BJ128" s="451">
        <v>0</v>
      </c>
      <c r="BK128" s="455"/>
      <c r="BL128" s="451"/>
      <c r="BM128" s="452"/>
      <c r="BN128" s="452"/>
      <c r="BO128" s="451">
        <v>0</v>
      </c>
      <c r="BP128" s="455"/>
      <c r="BQ128" s="451"/>
      <c r="BR128" s="452"/>
      <c r="BS128" s="452"/>
      <c r="BT128" s="451">
        <f>SUM(L128:BO128)</f>
        <v>0</v>
      </c>
      <c r="BU128" s="455"/>
      <c r="BV128" s="451"/>
      <c r="BW128" s="452"/>
      <c r="BX128" s="452"/>
      <c r="BY128" s="451">
        <v>0</v>
      </c>
      <c r="BZ128" s="455"/>
      <c r="CA128" s="451"/>
      <c r="CB128" s="452"/>
      <c r="CC128" s="452"/>
      <c r="CD128" s="451">
        <v>0</v>
      </c>
      <c r="CE128" s="455"/>
      <c r="CF128" s="451"/>
      <c r="CG128" s="452"/>
      <c r="CH128" s="452"/>
      <c r="CI128" s="451">
        <v>0</v>
      </c>
      <c r="CJ128" s="455"/>
      <c r="CK128" s="451"/>
      <c r="CL128" s="452"/>
      <c r="CM128" s="452"/>
      <c r="CN128" s="451">
        <v>0</v>
      </c>
      <c r="CO128" s="455"/>
      <c r="CP128" s="451"/>
      <c r="CQ128" s="452"/>
      <c r="CR128" s="452"/>
      <c r="CS128" s="451">
        <v>0</v>
      </c>
      <c r="CT128" s="455"/>
      <c r="CU128" s="451"/>
      <c r="CV128" s="452"/>
      <c r="CW128" s="452"/>
      <c r="CX128" s="451">
        <v>0</v>
      </c>
      <c r="CY128" s="455"/>
      <c r="CZ128" s="451"/>
      <c r="DA128" s="452"/>
      <c r="DB128" s="452"/>
      <c r="DC128" s="451">
        <v>0</v>
      </c>
      <c r="DD128" s="455"/>
      <c r="DE128" s="451"/>
      <c r="DF128" s="452"/>
      <c r="DG128" s="452"/>
      <c r="DH128" s="451">
        <v>0</v>
      </c>
      <c r="DI128" s="455"/>
      <c r="DJ128" s="451"/>
      <c r="DK128" s="452"/>
      <c r="DL128" s="452"/>
      <c r="DM128" s="451">
        <v>0</v>
      </c>
      <c r="DN128" s="455"/>
      <c r="DO128" s="451"/>
      <c r="DP128" s="452"/>
      <c r="DQ128" s="452"/>
      <c r="DR128" s="451">
        <v>0</v>
      </c>
      <c r="DS128" s="455"/>
      <c r="DT128" s="451"/>
      <c r="DU128" s="452"/>
      <c r="DV128" s="452"/>
      <c r="DW128" s="451">
        <v>0</v>
      </c>
      <c r="DX128" s="455"/>
      <c r="DY128" s="451"/>
      <c r="DZ128" s="452"/>
      <c r="EA128" s="452"/>
      <c r="EB128" s="451">
        <v>0</v>
      </c>
      <c r="EC128" s="455"/>
      <c r="ED128" s="451"/>
      <c r="EE128" s="452"/>
      <c r="EF128" s="452"/>
      <c r="EG128" s="451">
        <v>0</v>
      </c>
      <c r="EH128" s="455"/>
      <c r="EI128" s="451"/>
      <c r="EJ128" s="452"/>
      <c r="EK128" s="452"/>
      <c r="EL128" s="451">
        <f>SUM(CD128:DM128)</f>
        <v>0</v>
      </c>
      <c r="EM128" s="455"/>
      <c r="EN128" s="451"/>
      <c r="EO128" s="13"/>
      <c r="ER128" s="14"/>
      <c r="ES128" s="14"/>
    </row>
    <row r="129" spans="4:149" ht="12.75" hidden="1" customHeight="1" x14ac:dyDescent="0.2">
      <c r="D129" s="13" t="s">
        <v>351</v>
      </c>
      <c r="E129" s="452"/>
      <c r="F129" s="385"/>
      <c r="G129" s="463">
        <v>0</v>
      </c>
      <c r="H129" s="464"/>
      <c r="I129" s="451"/>
      <c r="J129" s="452"/>
      <c r="K129" s="465"/>
      <c r="L129" s="463">
        <v>0</v>
      </c>
      <c r="M129" s="464"/>
      <c r="N129" s="451"/>
      <c r="O129" s="452"/>
      <c r="P129" s="465"/>
      <c r="Q129" s="463">
        <v>0</v>
      </c>
      <c r="R129" s="464"/>
      <c r="S129" s="451"/>
      <c r="T129" s="452"/>
      <c r="U129" s="465"/>
      <c r="V129" s="463">
        <v>0</v>
      </c>
      <c r="W129" s="464"/>
      <c r="X129" s="451"/>
      <c r="Y129" s="452"/>
      <c r="Z129" s="465"/>
      <c r="AA129" s="463">
        <v>0</v>
      </c>
      <c r="AB129" s="464"/>
      <c r="AC129" s="451"/>
      <c r="AD129" s="452"/>
      <c r="AE129" s="465"/>
      <c r="AF129" s="463">
        <v>0</v>
      </c>
      <c r="AG129" s="464"/>
      <c r="AH129" s="451"/>
      <c r="AI129" s="452"/>
      <c r="AJ129" s="465"/>
      <c r="AK129" s="463">
        <v>0</v>
      </c>
      <c r="AL129" s="464"/>
      <c r="AM129" s="451"/>
      <c r="AN129" s="452"/>
      <c r="AO129" s="465"/>
      <c r="AP129" s="463">
        <v>0</v>
      </c>
      <c r="AQ129" s="464"/>
      <c r="AR129" s="451"/>
      <c r="AS129" s="452"/>
      <c r="AT129" s="465"/>
      <c r="AU129" s="463">
        <v>0</v>
      </c>
      <c r="AV129" s="464"/>
      <c r="AW129" s="451"/>
      <c r="AX129" s="452"/>
      <c r="AY129" s="465"/>
      <c r="AZ129" s="463">
        <v>0</v>
      </c>
      <c r="BA129" s="464"/>
      <c r="BB129" s="451"/>
      <c r="BC129" s="452"/>
      <c r="BD129" s="465"/>
      <c r="BE129" s="463">
        <v>0</v>
      </c>
      <c r="BF129" s="464"/>
      <c r="BG129" s="451"/>
      <c r="BH129" s="452"/>
      <c r="BI129" s="465"/>
      <c r="BJ129" s="463">
        <v>0</v>
      </c>
      <c r="BK129" s="464"/>
      <c r="BL129" s="451"/>
      <c r="BM129" s="452"/>
      <c r="BN129" s="465"/>
      <c r="BO129" s="463">
        <v>0</v>
      </c>
      <c r="BP129" s="464"/>
      <c r="BQ129" s="451"/>
      <c r="BR129" s="452"/>
      <c r="BS129" s="465"/>
      <c r="BT129" s="463">
        <f>SUM(L129:BO129)</f>
        <v>0</v>
      </c>
      <c r="BU129" s="464"/>
      <c r="BV129" s="451"/>
      <c r="BW129" s="452"/>
      <c r="BX129" s="465"/>
      <c r="BY129" s="463">
        <v>0</v>
      </c>
      <c r="BZ129" s="464"/>
      <c r="CA129" s="451"/>
      <c r="CB129" s="452"/>
      <c r="CC129" s="465"/>
      <c r="CD129" s="463">
        <v>0</v>
      </c>
      <c r="CE129" s="464"/>
      <c r="CF129" s="451"/>
      <c r="CG129" s="452"/>
      <c r="CH129" s="465"/>
      <c r="CI129" s="463">
        <v>0</v>
      </c>
      <c r="CJ129" s="464"/>
      <c r="CK129" s="451"/>
      <c r="CL129" s="452"/>
      <c r="CM129" s="465"/>
      <c r="CN129" s="463">
        <v>0</v>
      </c>
      <c r="CO129" s="464"/>
      <c r="CP129" s="451"/>
      <c r="CQ129" s="452"/>
      <c r="CR129" s="465"/>
      <c r="CS129" s="463">
        <v>0</v>
      </c>
      <c r="CT129" s="464"/>
      <c r="CU129" s="451"/>
      <c r="CV129" s="452"/>
      <c r="CW129" s="465"/>
      <c r="CX129" s="463">
        <v>0</v>
      </c>
      <c r="CY129" s="464"/>
      <c r="CZ129" s="451"/>
      <c r="DA129" s="452"/>
      <c r="DB129" s="465"/>
      <c r="DC129" s="463">
        <v>0</v>
      </c>
      <c r="DD129" s="464"/>
      <c r="DE129" s="451"/>
      <c r="DF129" s="452"/>
      <c r="DG129" s="465"/>
      <c r="DH129" s="463">
        <v>0</v>
      </c>
      <c r="DI129" s="464"/>
      <c r="DJ129" s="451"/>
      <c r="DK129" s="452"/>
      <c r="DL129" s="465"/>
      <c r="DM129" s="463">
        <v>0</v>
      </c>
      <c r="DN129" s="464"/>
      <c r="DO129" s="451"/>
      <c r="DP129" s="452"/>
      <c r="DQ129" s="465"/>
      <c r="DR129" s="463">
        <v>0</v>
      </c>
      <c r="DS129" s="464"/>
      <c r="DT129" s="451"/>
      <c r="DU129" s="452"/>
      <c r="DV129" s="465"/>
      <c r="DW129" s="463">
        <v>0</v>
      </c>
      <c r="DX129" s="464"/>
      <c r="DY129" s="451"/>
      <c r="DZ129" s="452"/>
      <c r="EA129" s="465"/>
      <c r="EB129" s="463">
        <v>0</v>
      </c>
      <c r="EC129" s="464"/>
      <c r="ED129" s="451"/>
      <c r="EE129" s="452"/>
      <c r="EF129" s="465"/>
      <c r="EG129" s="463">
        <v>0</v>
      </c>
      <c r="EH129" s="464"/>
      <c r="EI129" s="451"/>
      <c r="EJ129" s="452"/>
      <c r="EK129" s="465"/>
      <c r="EL129" s="463">
        <f>SUM(CD129:DM129)</f>
        <v>0</v>
      </c>
      <c r="EM129" s="464"/>
      <c r="EN129" s="451"/>
      <c r="EO129" s="13"/>
      <c r="ER129" s="14"/>
      <c r="ES129" s="14"/>
    </row>
    <row r="130" spans="4:149" ht="12.75" hidden="1" customHeight="1" x14ac:dyDescent="0.2">
      <c r="D130" s="13"/>
      <c r="E130" s="452"/>
      <c r="G130" s="451"/>
      <c r="H130" s="451"/>
      <c r="I130" s="451"/>
      <c r="J130" s="452"/>
      <c r="K130" s="451"/>
      <c r="L130" s="451"/>
      <c r="M130" s="451"/>
      <c r="N130" s="451"/>
      <c r="O130" s="452"/>
      <c r="P130" s="451"/>
      <c r="Q130" s="451"/>
      <c r="R130" s="451"/>
      <c r="S130" s="451"/>
      <c r="T130" s="452"/>
      <c r="U130" s="451"/>
      <c r="V130" s="451"/>
      <c r="W130" s="451"/>
      <c r="X130" s="451"/>
      <c r="Y130" s="452"/>
      <c r="Z130" s="451"/>
      <c r="AA130" s="451"/>
      <c r="AB130" s="451"/>
      <c r="AC130" s="451"/>
      <c r="AD130" s="452"/>
      <c r="AE130" s="451"/>
      <c r="AF130" s="451"/>
      <c r="AG130" s="451"/>
      <c r="AH130" s="451"/>
      <c r="AI130" s="452"/>
      <c r="AJ130" s="451"/>
      <c r="AK130" s="451"/>
      <c r="AL130" s="451"/>
      <c r="AM130" s="451"/>
      <c r="AN130" s="452"/>
      <c r="AO130" s="451"/>
      <c r="AP130" s="451"/>
      <c r="AQ130" s="451"/>
      <c r="AR130" s="451"/>
      <c r="AS130" s="452"/>
      <c r="AT130" s="451"/>
      <c r="AU130" s="451"/>
      <c r="AV130" s="451"/>
      <c r="AW130" s="451"/>
      <c r="AX130" s="452"/>
      <c r="AY130" s="451"/>
      <c r="AZ130" s="451"/>
      <c r="BA130" s="451"/>
      <c r="BB130" s="451"/>
      <c r="BC130" s="452"/>
      <c r="BD130" s="451"/>
      <c r="BE130" s="451"/>
      <c r="BF130" s="451"/>
      <c r="BG130" s="451"/>
      <c r="BH130" s="452"/>
      <c r="BI130" s="451"/>
      <c r="BJ130" s="451"/>
      <c r="BK130" s="451"/>
      <c r="BL130" s="451"/>
      <c r="BM130" s="452"/>
      <c r="BN130" s="451"/>
      <c r="BO130" s="451"/>
      <c r="BP130" s="451"/>
      <c r="BQ130" s="451"/>
      <c r="BR130" s="452"/>
      <c r="BS130" s="451"/>
      <c r="BT130" s="451"/>
      <c r="BU130" s="451"/>
      <c r="BV130" s="451"/>
      <c r="BW130" s="452"/>
      <c r="BX130" s="451"/>
      <c r="BY130" s="451"/>
      <c r="BZ130" s="451"/>
      <c r="CA130" s="451"/>
      <c r="CB130" s="452"/>
      <c r="CC130" s="451"/>
      <c r="CD130" s="451"/>
      <c r="CE130" s="451"/>
      <c r="CF130" s="451"/>
      <c r="CG130" s="452"/>
      <c r="CH130" s="451"/>
      <c r="CI130" s="451"/>
      <c r="CJ130" s="451"/>
      <c r="CK130" s="451"/>
      <c r="CL130" s="452"/>
      <c r="CM130" s="451"/>
      <c r="CN130" s="451"/>
      <c r="CO130" s="451"/>
      <c r="CP130" s="451"/>
      <c r="CQ130" s="452"/>
      <c r="CR130" s="451"/>
      <c r="CS130" s="451"/>
      <c r="CT130" s="451"/>
      <c r="CU130" s="451"/>
      <c r="CV130" s="452"/>
      <c r="CW130" s="451"/>
      <c r="CX130" s="451"/>
      <c r="CY130" s="451"/>
      <c r="CZ130" s="451"/>
      <c r="DA130" s="452"/>
      <c r="DB130" s="451"/>
      <c r="DC130" s="451"/>
      <c r="DD130" s="451"/>
      <c r="DE130" s="451"/>
      <c r="DF130" s="452"/>
      <c r="DG130" s="451"/>
      <c r="DH130" s="451"/>
      <c r="DI130" s="451"/>
      <c r="DJ130" s="451"/>
      <c r="DK130" s="452"/>
      <c r="DL130" s="451"/>
      <c r="DM130" s="451"/>
      <c r="DN130" s="451"/>
      <c r="DO130" s="451"/>
      <c r="DP130" s="452"/>
      <c r="DQ130" s="451"/>
      <c r="DR130" s="451"/>
      <c r="DS130" s="451"/>
      <c r="DT130" s="451"/>
      <c r="DU130" s="452"/>
      <c r="DV130" s="451"/>
      <c r="DW130" s="451"/>
      <c r="DX130" s="451"/>
      <c r="DY130" s="451"/>
      <c r="DZ130" s="452"/>
      <c r="EA130" s="451"/>
      <c r="EB130" s="451"/>
      <c r="EC130" s="451"/>
      <c r="ED130" s="451"/>
      <c r="EE130" s="452"/>
      <c r="EF130" s="451"/>
      <c r="EG130" s="451"/>
      <c r="EH130" s="451"/>
      <c r="EI130" s="451"/>
      <c r="EJ130" s="452"/>
      <c r="EK130" s="451"/>
      <c r="EL130" s="451"/>
      <c r="EM130" s="451"/>
      <c r="EN130" s="451"/>
      <c r="EO130" s="13"/>
      <c r="ER130" s="14"/>
      <c r="ES130" s="14"/>
    </row>
    <row r="131" spans="4:149" ht="12.75" customHeight="1" x14ac:dyDescent="0.2">
      <c r="D131" s="13" t="s">
        <v>372</v>
      </c>
      <c r="E131" s="452"/>
      <c r="G131" s="451">
        <f>SUM(G132:G135)</f>
        <v>0</v>
      </c>
      <c r="H131" s="451"/>
      <c r="I131" s="451"/>
      <c r="J131" s="452"/>
      <c r="K131" s="451"/>
      <c r="L131" s="451">
        <f>SUM(L132:L135)</f>
        <v>2291175</v>
      </c>
      <c r="M131" s="451"/>
      <c r="N131" s="451"/>
      <c r="O131" s="452"/>
      <c r="P131" s="451"/>
      <c r="Q131" s="451">
        <f>SUM(Q132:Q135)</f>
        <v>0</v>
      </c>
      <c r="R131" s="451"/>
      <c r="S131" s="451"/>
      <c r="T131" s="452"/>
      <c r="U131" s="451"/>
      <c r="V131" s="451">
        <f>SUM(V132:V135)</f>
        <v>0</v>
      </c>
      <c r="W131" s="451"/>
      <c r="X131" s="451"/>
      <c r="Y131" s="452"/>
      <c r="Z131" s="451"/>
      <c r="AA131" s="451">
        <f>SUM(AA132:AA135)</f>
        <v>0</v>
      </c>
      <c r="AB131" s="451"/>
      <c r="AC131" s="451"/>
      <c r="AD131" s="452"/>
      <c r="AE131" s="451"/>
      <c r="AF131" s="451">
        <f>SUM(AF132:AF135)</f>
        <v>0</v>
      </c>
      <c r="AG131" s="451"/>
      <c r="AH131" s="451"/>
      <c r="AI131" s="452"/>
      <c r="AJ131" s="451"/>
      <c r="AK131" s="451">
        <f>SUM(AK132:AK135)</f>
        <v>0</v>
      </c>
      <c r="AL131" s="451"/>
      <c r="AM131" s="451"/>
      <c r="AN131" s="452"/>
      <c r="AO131" s="451"/>
      <c r="AP131" s="451">
        <f>SUM(AP132:AP135)</f>
        <v>0</v>
      </c>
      <c r="AQ131" s="451"/>
      <c r="AR131" s="451"/>
      <c r="AS131" s="452"/>
      <c r="AT131" s="451"/>
      <c r="AU131" s="451">
        <f>SUM(AU132:AU135)</f>
        <v>0</v>
      </c>
      <c r="AV131" s="451"/>
      <c r="AW131" s="451"/>
      <c r="AX131" s="452"/>
      <c r="AY131" s="451"/>
      <c r="AZ131" s="451">
        <f>SUM(AZ132:AZ135)</f>
        <v>0</v>
      </c>
      <c r="BA131" s="451"/>
      <c r="BB131" s="451"/>
      <c r="BC131" s="452"/>
      <c r="BD131" s="451"/>
      <c r="BE131" s="451">
        <f>SUM(BE132:BE135)</f>
        <v>0</v>
      </c>
      <c r="BF131" s="451"/>
      <c r="BG131" s="451"/>
      <c r="BH131" s="452"/>
      <c r="BI131" s="451"/>
      <c r="BJ131" s="451">
        <f>SUM(BJ132:BJ135)</f>
        <v>0</v>
      </c>
      <c r="BK131" s="451"/>
      <c r="BL131" s="451"/>
      <c r="BM131" s="452"/>
      <c r="BN131" s="451"/>
      <c r="BO131" s="451">
        <f>SUM(BO132:BO135)</f>
        <v>0</v>
      </c>
      <c r="BP131" s="451"/>
      <c r="BQ131" s="451"/>
      <c r="BR131" s="452"/>
      <c r="BS131" s="451"/>
      <c r="BT131" s="451">
        <f>SUM(BT132:BT135)</f>
        <v>2291175</v>
      </c>
      <c r="BU131" s="451"/>
      <c r="BV131" s="451"/>
      <c r="BW131" s="452"/>
      <c r="BX131" s="451"/>
      <c r="BY131" s="451">
        <f>SUM(BY132:BY135)</f>
        <v>0</v>
      </c>
      <c r="BZ131" s="451"/>
      <c r="CA131" s="451"/>
      <c r="CB131" s="452"/>
      <c r="CC131" s="451"/>
      <c r="CD131" s="451">
        <f>SUM(CD132:CD135)</f>
        <v>0</v>
      </c>
      <c r="CE131" s="451"/>
      <c r="CF131" s="451"/>
      <c r="CG131" s="452"/>
      <c r="CH131" s="451"/>
      <c r="CI131" s="451">
        <f>SUM(CI132:CI135)</f>
        <v>0</v>
      </c>
      <c r="CJ131" s="451"/>
      <c r="CK131" s="451"/>
      <c r="CL131" s="452"/>
      <c r="CM131" s="451"/>
      <c r="CN131" s="451">
        <f>SUM(CN132:CN135)</f>
        <v>0</v>
      </c>
      <c r="CO131" s="451"/>
      <c r="CP131" s="451"/>
      <c r="CQ131" s="452"/>
      <c r="CR131" s="451"/>
      <c r="CS131" s="451">
        <f>SUM(CS132:CS135)</f>
        <v>0</v>
      </c>
      <c r="CT131" s="451"/>
      <c r="CU131" s="451"/>
      <c r="CV131" s="452"/>
      <c r="CW131" s="451"/>
      <c r="CX131" s="451">
        <f>SUM(CX132:CX135)</f>
        <v>0</v>
      </c>
      <c r="CY131" s="451"/>
      <c r="CZ131" s="451"/>
      <c r="DA131" s="452"/>
      <c r="DB131" s="451"/>
      <c r="DC131" s="451">
        <f>SUM(DC132:DC135)</f>
        <v>0</v>
      </c>
      <c r="DD131" s="451"/>
      <c r="DE131" s="451"/>
      <c r="DF131" s="452"/>
      <c r="DG131" s="451"/>
      <c r="DH131" s="451">
        <f>SUM(DH132:DH135)</f>
        <v>0</v>
      </c>
      <c r="DI131" s="451"/>
      <c r="DJ131" s="451"/>
      <c r="DK131" s="452"/>
      <c r="DL131" s="451"/>
      <c r="DM131" s="451">
        <f>SUM(DM132:DM135)</f>
        <v>0</v>
      </c>
      <c r="DN131" s="451"/>
      <c r="DO131" s="451"/>
      <c r="DP131" s="452"/>
      <c r="DQ131" s="451"/>
      <c r="DR131" s="451">
        <f>SUM(DR132:DR135)</f>
        <v>0</v>
      </c>
      <c r="DS131" s="451"/>
      <c r="DT131" s="451"/>
      <c r="DU131" s="452"/>
      <c r="DV131" s="451"/>
      <c r="DW131" s="451">
        <f>SUM(DW132:DW135)</f>
        <v>0</v>
      </c>
      <c r="DX131" s="451"/>
      <c r="DY131" s="451"/>
      <c r="DZ131" s="452"/>
      <c r="EA131" s="451"/>
      <c r="EB131" s="451">
        <f>SUM(EB132:EB135)</f>
        <v>0</v>
      </c>
      <c r="EC131" s="451"/>
      <c r="ED131" s="451"/>
      <c r="EE131" s="452"/>
      <c r="EF131" s="451"/>
      <c r="EG131" s="451">
        <f>SUM(EG132:EG135)</f>
        <v>0</v>
      </c>
      <c r="EH131" s="451"/>
      <c r="EI131" s="451"/>
      <c r="EJ131" s="452"/>
      <c r="EK131" s="451"/>
      <c r="EL131" s="451">
        <f>SUM(EL132:EL135)</f>
        <v>0</v>
      </c>
      <c r="EM131" s="451"/>
      <c r="EN131" s="451"/>
      <c r="EO131" s="13"/>
      <c r="ER131" s="14"/>
      <c r="ES131" s="14"/>
    </row>
    <row r="132" spans="4:149" ht="12.75" customHeight="1" x14ac:dyDescent="0.2">
      <c r="D132" s="13" t="s">
        <v>347</v>
      </c>
      <c r="E132" s="452"/>
      <c r="F132" s="374"/>
      <c r="G132" s="449">
        <v>0</v>
      </c>
      <c r="H132" s="450"/>
      <c r="I132" s="451"/>
      <c r="J132" s="452"/>
      <c r="K132" s="374"/>
      <c r="L132" s="449">
        <f>1410000-18467+4648</f>
        <v>1396181</v>
      </c>
      <c r="M132" s="450"/>
      <c r="N132" s="451"/>
      <c r="O132" s="452"/>
      <c r="P132" s="453"/>
      <c r="Q132" s="449">
        <v>0</v>
      </c>
      <c r="R132" s="450"/>
      <c r="S132" s="451"/>
      <c r="T132" s="452"/>
      <c r="U132" s="453"/>
      <c r="V132" s="449">
        <v>0</v>
      </c>
      <c r="W132" s="450"/>
      <c r="X132" s="451"/>
      <c r="Y132" s="452"/>
      <c r="Z132" s="453"/>
      <c r="AA132" s="449">
        <v>0</v>
      </c>
      <c r="AB132" s="450"/>
      <c r="AC132" s="451"/>
      <c r="AD132" s="452"/>
      <c r="AE132" s="453"/>
      <c r="AF132" s="449">
        <v>0</v>
      </c>
      <c r="AG132" s="450"/>
      <c r="AH132" s="451"/>
      <c r="AI132" s="452"/>
      <c r="AJ132" s="453"/>
      <c r="AK132" s="449">
        <v>0</v>
      </c>
      <c r="AL132" s="450"/>
      <c r="AM132" s="451"/>
      <c r="AN132" s="452"/>
      <c r="AO132" s="453"/>
      <c r="AP132" s="449">
        <v>0</v>
      </c>
      <c r="AQ132" s="450"/>
      <c r="AR132" s="451"/>
      <c r="AS132" s="452"/>
      <c r="AT132" s="453"/>
      <c r="AU132" s="449">
        <v>0</v>
      </c>
      <c r="AV132" s="450"/>
      <c r="AW132" s="451"/>
      <c r="AX132" s="452"/>
      <c r="AY132" s="453"/>
      <c r="AZ132" s="449">
        <v>0</v>
      </c>
      <c r="BA132" s="450"/>
      <c r="BB132" s="451"/>
      <c r="BC132" s="452"/>
      <c r="BD132" s="453"/>
      <c r="BE132" s="449">
        <v>0</v>
      </c>
      <c r="BF132" s="450"/>
      <c r="BG132" s="451"/>
      <c r="BH132" s="452"/>
      <c r="BI132" s="453"/>
      <c r="BJ132" s="449">
        <v>0</v>
      </c>
      <c r="BK132" s="450"/>
      <c r="BL132" s="451"/>
      <c r="BM132" s="452"/>
      <c r="BN132" s="453"/>
      <c r="BO132" s="449">
        <v>0</v>
      </c>
      <c r="BP132" s="450"/>
      <c r="BQ132" s="451"/>
      <c r="BR132" s="452"/>
      <c r="BS132" s="453"/>
      <c r="BT132" s="449">
        <f>SUM(L132:BO132)</f>
        <v>1396181</v>
      </c>
      <c r="BU132" s="450"/>
      <c r="BV132" s="451"/>
      <c r="BW132" s="452"/>
      <c r="BX132" s="453"/>
      <c r="BY132" s="449">
        <v>0</v>
      </c>
      <c r="BZ132" s="450"/>
      <c r="CA132" s="451"/>
      <c r="CB132" s="452"/>
      <c r="CC132" s="374"/>
      <c r="CD132" s="449">
        <v>0</v>
      </c>
      <c r="CE132" s="450"/>
      <c r="CF132" s="451"/>
      <c r="CG132" s="452"/>
      <c r="CH132" s="453"/>
      <c r="CI132" s="449">
        <v>0</v>
      </c>
      <c r="CJ132" s="450"/>
      <c r="CK132" s="451"/>
      <c r="CL132" s="452"/>
      <c r="CM132" s="453"/>
      <c r="CN132" s="449">
        <v>0</v>
      </c>
      <c r="CO132" s="450"/>
      <c r="CP132" s="451"/>
      <c r="CQ132" s="452"/>
      <c r="CR132" s="453"/>
      <c r="CS132" s="449">
        <v>0</v>
      </c>
      <c r="CT132" s="450"/>
      <c r="CU132" s="451"/>
      <c r="CV132" s="452"/>
      <c r="CW132" s="453"/>
      <c r="CX132" s="449">
        <v>0</v>
      </c>
      <c r="CY132" s="450"/>
      <c r="CZ132" s="451"/>
      <c r="DA132" s="452"/>
      <c r="DB132" s="453"/>
      <c r="DC132" s="449">
        <v>0</v>
      </c>
      <c r="DD132" s="450"/>
      <c r="DE132" s="451"/>
      <c r="DF132" s="452"/>
      <c r="DG132" s="453"/>
      <c r="DH132" s="449">
        <v>0</v>
      </c>
      <c r="DI132" s="450"/>
      <c r="DJ132" s="451"/>
      <c r="DK132" s="452"/>
      <c r="DL132" s="453"/>
      <c r="DM132" s="449">
        <v>0</v>
      </c>
      <c r="DN132" s="450"/>
      <c r="DO132" s="451"/>
      <c r="DP132" s="452"/>
      <c r="DQ132" s="453"/>
      <c r="DR132" s="449">
        <v>0</v>
      </c>
      <c r="DS132" s="450"/>
      <c r="DT132" s="451"/>
      <c r="DU132" s="452"/>
      <c r="DV132" s="453"/>
      <c r="DW132" s="449">
        <v>0</v>
      </c>
      <c r="DX132" s="450"/>
      <c r="DY132" s="451"/>
      <c r="DZ132" s="452"/>
      <c r="EA132" s="453"/>
      <c r="EB132" s="449">
        <v>0</v>
      </c>
      <c r="EC132" s="450"/>
      <c r="ED132" s="451"/>
      <c r="EE132" s="452"/>
      <c r="EF132" s="453"/>
      <c r="EG132" s="449">
        <v>0</v>
      </c>
      <c r="EH132" s="450"/>
      <c r="EI132" s="451"/>
      <c r="EJ132" s="452"/>
      <c r="EK132" s="453"/>
      <c r="EL132" s="449">
        <f>SUM(CD132:DW132)</f>
        <v>0</v>
      </c>
      <c r="EM132" s="450"/>
      <c r="EN132" s="451"/>
      <c r="EO132" s="13"/>
      <c r="ER132" s="14"/>
      <c r="ES132" s="14"/>
    </row>
    <row r="133" spans="4:149" ht="12.75" customHeight="1" x14ac:dyDescent="0.2">
      <c r="D133" s="13" t="s">
        <v>349</v>
      </c>
      <c r="E133" s="452"/>
      <c r="F133" s="198"/>
      <c r="G133" s="451">
        <v>0</v>
      </c>
      <c r="H133" s="455"/>
      <c r="I133" s="451"/>
      <c r="J133" s="452"/>
      <c r="K133" s="198"/>
      <c r="L133" s="451">
        <v>18467</v>
      </c>
      <c r="M133" s="455"/>
      <c r="N133" s="451"/>
      <c r="O133" s="452"/>
      <c r="P133" s="452"/>
      <c r="Q133" s="451">
        <v>0</v>
      </c>
      <c r="R133" s="455"/>
      <c r="S133" s="451"/>
      <c r="T133" s="452"/>
      <c r="U133" s="452"/>
      <c r="V133" s="451">
        <v>0</v>
      </c>
      <c r="W133" s="455"/>
      <c r="X133" s="451"/>
      <c r="Y133" s="452"/>
      <c r="Z133" s="452"/>
      <c r="AA133" s="451">
        <v>0</v>
      </c>
      <c r="AB133" s="455"/>
      <c r="AC133" s="451"/>
      <c r="AD133" s="452"/>
      <c r="AE133" s="452"/>
      <c r="AF133" s="451">
        <v>0</v>
      </c>
      <c r="AG133" s="455"/>
      <c r="AH133" s="451"/>
      <c r="AI133" s="452"/>
      <c r="AJ133" s="452"/>
      <c r="AK133" s="451">
        <v>0</v>
      </c>
      <c r="AL133" s="455"/>
      <c r="AM133" s="451"/>
      <c r="AN133" s="452"/>
      <c r="AO133" s="452"/>
      <c r="AP133" s="451">
        <v>0</v>
      </c>
      <c r="AQ133" s="455"/>
      <c r="AR133" s="451"/>
      <c r="AS133" s="452"/>
      <c r="AT133" s="452"/>
      <c r="AU133" s="451">
        <v>0</v>
      </c>
      <c r="AV133" s="455"/>
      <c r="AW133" s="451"/>
      <c r="AX133" s="452"/>
      <c r="AY133" s="452"/>
      <c r="AZ133" s="451">
        <v>0</v>
      </c>
      <c r="BA133" s="455"/>
      <c r="BB133" s="451"/>
      <c r="BC133" s="452"/>
      <c r="BD133" s="452"/>
      <c r="BE133" s="451">
        <v>0</v>
      </c>
      <c r="BF133" s="455"/>
      <c r="BG133" s="451"/>
      <c r="BH133" s="452"/>
      <c r="BI133" s="452"/>
      <c r="BJ133" s="451">
        <v>0</v>
      </c>
      <c r="BK133" s="455"/>
      <c r="BL133" s="451"/>
      <c r="BM133" s="452"/>
      <c r="BN133" s="452"/>
      <c r="BO133" s="451">
        <v>0</v>
      </c>
      <c r="BP133" s="455"/>
      <c r="BQ133" s="451"/>
      <c r="BR133" s="452"/>
      <c r="BS133" s="452"/>
      <c r="BT133" s="451">
        <f>SUM(L133:BO133)</f>
        <v>18467</v>
      </c>
      <c r="BU133" s="455"/>
      <c r="BV133" s="451"/>
      <c r="BW133" s="452"/>
      <c r="BX133" s="452"/>
      <c r="BY133" s="451">
        <v>0</v>
      </c>
      <c r="BZ133" s="455"/>
      <c r="CA133" s="451"/>
      <c r="CB133" s="452"/>
      <c r="CC133" s="198"/>
      <c r="CD133" s="451">
        <v>0</v>
      </c>
      <c r="CE133" s="455"/>
      <c r="CF133" s="451"/>
      <c r="CG133" s="452"/>
      <c r="CH133" s="452"/>
      <c r="CI133" s="451">
        <v>0</v>
      </c>
      <c r="CJ133" s="455"/>
      <c r="CK133" s="451"/>
      <c r="CL133" s="452"/>
      <c r="CM133" s="452"/>
      <c r="CN133" s="451">
        <v>0</v>
      </c>
      <c r="CO133" s="455"/>
      <c r="CP133" s="451"/>
      <c r="CQ133" s="452"/>
      <c r="CR133" s="452"/>
      <c r="CS133" s="451">
        <v>0</v>
      </c>
      <c r="CT133" s="455"/>
      <c r="CU133" s="451"/>
      <c r="CV133" s="452"/>
      <c r="CW133" s="452"/>
      <c r="CX133" s="451">
        <v>0</v>
      </c>
      <c r="CY133" s="455"/>
      <c r="CZ133" s="451"/>
      <c r="DA133" s="452"/>
      <c r="DB133" s="452"/>
      <c r="DC133" s="451">
        <v>0</v>
      </c>
      <c r="DD133" s="455"/>
      <c r="DE133" s="451"/>
      <c r="DF133" s="452"/>
      <c r="DG133" s="452"/>
      <c r="DH133" s="451">
        <v>0</v>
      </c>
      <c r="DI133" s="455"/>
      <c r="DJ133" s="451"/>
      <c r="DK133" s="452"/>
      <c r="DL133" s="452"/>
      <c r="DM133" s="451">
        <v>0</v>
      </c>
      <c r="DN133" s="455"/>
      <c r="DO133" s="451"/>
      <c r="DP133" s="452"/>
      <c r="DQ133" s="452"/>
      <c r="DR133" s="451">
        <v>0</v>
      </c>
      <c r="DS133" s="455"/>
      <c r="DT133" s="451"/>
      <c r="DU133" s="452"/>
      <c r="DV133" s="452"/>
      <c r="DW133" s="451">
        <v>0</v>
      </c>
      <c r="DX133" s="455"/>
      <c r="DY133" s="451"/>
      <c r="DZ133" s="452"/>
      <c r="EA133" s="452"/>
      <c r="EB133" s="451">
        <v>0</v>
      </c>
      <c r="EC133" s="455"/>
      <c r="ED133" s="451"/>
      <c r="EE133" s="452"/>
      <c r="EF133" s="452"/>
      <c r="EG133" s="451">
        <v>0</v>
      </c>
      <c r="EH133" s="455"/>
      <c r="EI133" s="451"/>
      <c r="EJ133" s="452"/>
      <c r="EK133" s="452"/>
      <c r="EL133" s="451">
        <f>SUM(CD133:DW133)</f>
        <v>0</v>
      </c>
      <c r="EM133" s="455"/>
      <c r="EN133" s="451"/>
      <c r="EO133" s="13"/>
      <c r="ER133" s="14"/>
      <c r="ES133" s="14"/>
    </row>
    <row r="134" spans="4:149" ht="12.75" customHeight="1" x14ac:dyDescent="0.2">
      <c r="D134" s="13" t="s">
        <v>350</v>
      </c>
      <c r="E134" s="452"/>
      <c r="F134" s="198"/>
      <c r="G134" s="451">
        <v>0</v>
      </c>
      <c r="H134" s="455"/>
      <c r="I134" s="451"/>
      <c r="J134" s="452"/>
      <c r="K134" s="198"/>
      <c r="L134" s="451">
        <v>-4648</v>
      </c>
      <c r="M134" s="455"/>
      <c r="N134" s="451"/>
      <c r="O134" s="452"/>
      <c r="P134" s="452"/>
      <c r="Q134" s="451">
        <v>0</v>
      </c>
      <c r="R134" s="455"/>
      <c r="S134" s="451"/>
      <c r="T134" s="452"/>
      <c r="U134" s="452"/>
      <c r="V134" s="451">
        <v>0</v>
      </c>
      <c r="W134" s="455"/>
      <c r="X134" s="451"/>
      <c r="Y134" s="452"/>
      <c r="Z134" s="452"/>
      <c r="AA134" s="451">
        <v>0</v>
      </c>
      <c r="AB134" s="455"/>
      <c r="AC134" s="451"/>
      <c r="AD134" s="452"/>
      <c r="AE134" s="452"/>
      <c r="AF134" s="451">
        <v>0</v>
      </c>
      <c r="AG134" s="455"/>
      <c r="AH134" s="451"/>
      <c r="AI134" s="452"/>
      <c r="AJ134" s="452"/>
      <c r="AK134" s="451">
        <v>0</v>
      </c>
      <c r="AL134" s="455"/>
      <c r="AM134" s="451"/>
      <c r="AN134" s="452"/>
      <c r="AO134" s="452"/>
      <c r="AP134" s="451">
        <v>0</v>
      </c>
      <c r="AQ134" s="455"/>
      <c r="AR134" s="451"/>
      <c r="AS134" s="452"/>
      <c r="AT134" s="452"/>
      <c r="AU134" s="451">
        <v>0</v>
      </c>
      <c r="AV134" s="455"/>
      <c r="AW134" s="451"/>
      <c r="AX134" s="452"/>
      <c r="AY134" s="452"/>
      <c r="AZ134" s="451">
        <v>0</v>
      </c>
      <c r="BA134" s="455"/>
      <c r="BB134" s="451"/>
      <c r="BC134" s="452"/>
      <c r="BD134" s="452"/>
      <c r="BE134" s="451">
        <v>0</v>
      </c>
      <c r="BF134" s="455"/>
      <c r="BG134" s="451"/>
      <c r="BH134" s="452"/>
      <c r="BI134" s="452"/>
      <c r="BJ134" s="451">
        <v>0</v>
      </c>
      <c r="BK134" s="455"/>
      <c r="BL134" s="451"/>
      <c r="BM134" s="452"/>
      <c r="BN134" s="452"/>
      <c r="BO134" s="451">
        <v>0</v>
      </c>
      <c r="BP134" s="455"/>
      <c r="BQ134" s="451"/>
      <c r="BR134" s="452"/>
      <c r="BS134" s="452"/>
      <c r="BT134" s="451">
        <f>SUM(L134:BO134)</f>
        <v>-4648</v>
      </c>
      <c r="BU134" s="455"/>
      <c r="BV134" s="451"/>
      <c r="BW134" s="452"/>
      <c r="BX134" s="452"/>
      <c r="BY134" s="451">
        <v>0</v>
      </c>
      <c r="BZ134" s="455"/>
      <c r="CA134" s="451"/>
      <c r="CB134" s="452"/>
      <c r="CC134" s="198"/>
      <c r="CD134" s="451">
        <v>0</v>
      </c>
      <c r="CE134" s="455"/>
      <c r="CF134" s="451"/>
      <c r="CG134" s="452"/>
      <c r="CH134" s="452"/>
      <c r="CI134" s="451">
        <v>0</v>
      </c>
      <c r="CJ134" s="455"/>
      <c r="CK134" s="451"/>
      <c r="CL134" s="452"/>
      <c r="CM134" s="452"/>
      <c r="CN134" s="451">
        <v>0</v>
      </c>
      <c r="CO134" s="455"/>
      <c r="CP134" s="451"/>
      <c r="CQ134" s="452"/>
      <c r="CR134" s="452"/>
      <c r="CS134" s="451">
        <v>0</v>
      </c>
      <c r="CT134" s="455"/>
      <c r="CU134" s="451"/>
      <c r="CV134" s="452"/>
      <c r="CW134" s="452"/>
      <c r="CX134" s="451">
        <v>0</v>
      </c>
      <c r="CY134" s="455"/>
      <c r="CZ134" s="451"/>
      <c r="DA134" s="452"/>
      <c r="DB134" s="452"/>
      <c r="DC134" s="451">
        <v>0</v>
      </c>
      <c r="DD134" s="455"/>
      <c r="DE134" s="451"/>
      <c r="DF134" s="452"/>
      <c r="DG134" s="452"/>
      <c r="DH134" s="451">
        <v>0</v>
      </c>
      <c r="DI134" s="455"/>
      <c r="DJ134" s="451"/>
      <c r="DK134" s="452"/>
      <c r="DL134" s="452"/>
      <c r="DM134" s="451">
        <v>0</v>
      </c>
      <c r="DN134" s="455"/>
      <c r="DO134" s="451"/>
      <c r="DP134" s="452"/>
      <c r="DQ134" s="452"/>
      <c r="DR134" s="451">
        <v>0</v>
      </c>
      <c r="DS134" s="455"/>
      <c r="DT134" s="451"/>
      <c r="DU134" s="452"/>
      <c r="DV134" s="452"/>
      <c r="DW134" s="451">
        <v>0</v>
      </c>
      <c r="DX134" s="455"/>
      <c r="DY134" s="451"/>
      <c r="DZ134" s="452"/>
      <c r="EA134" s="452"/>
      <c r="EB134" s="451">
        <v>0</v>
      </c>
      <c r="EC134" s="455"/>
      <c r="ED134" s="451"/>
      <c r="EE134" s="452"/>
      <c r="EF134" s="452"/>
      <c r="EG134" s="451">
        <v>0</v>
      </c>
      <c r="EH134" s="455"/>
      <c r="EI134" s="451"/>
      <c r="EJ134" s="452"/>
      <c r="EK134" s="452"/>
      <c r="EL134" s="451">
        <f>SUM(CD134:DW134)</f>
        <v>0</v>
      </c>
      <c r="EM134" s="455"/>
      <c r="EN134" s="451"/>
      <c r="EO134" s="13"/>
      <c r="ER134" s="14"/>
      <c r="ES134" s="14"/>
    </row>
    <row r="135" spans="4:149" ht="12.75" customHeight="1" x14ac:dyDescent="0.2">
      <c r="D135" s="13" t="s">
        <v>351</v>
      </c>
      <c r="F135" s="385"/>
      <c r="G135" s="463">
        <v>0</v>
      </c>
      <c r="H135" s="464"/>
      <c r="I135" s="451"/>
      <c r="J135" s="452"/>
      <c r="K135" s="385"/>
      <c r="L135" s="463">
        <v>881175</v>
      </c>
      <c r="M135" s="464"/>
      <c r="N135" s="451"/>
      <c r="O135" s="452"/>
      <c r="P135" s="465"/>
      <c r="Q135" s="463">
        <v>0</v>
      </c>
      <c r="R135" s="464"/>
      <c r="S135" s="451"/>
      <c r="T135" s="452"/>
      <c r="U135" s="465"/>
      <c r="V135" s="463">
        <v>0</v>
      </c>
      <c r="W135" s="464"/>
      <c r="X135" s="451"/>
      <c r="Y135" s="452"/>
      <c r="Z135" s="465"/>
      <c r="AA135" s="463">
        <v>0</v>
      </c>
      <c r="AB135" s="464"/>
      <c r="AC135" s="451"/>
      <c r="AD135" s="452"/>
      <c r="AE135" s="465"/>
      <c r="AF135" s="463">
        <v>0</v>
      </c>
      <c r="AG135" s="464"/>
      <c r="AH135" s="451"/>
      <c r="AI135" s="452"/>
      <c r="AJ135" s="465"/>
      <c r="AK135" s="463">
        <v>0</v>
      </c>
      <c r="AL135" s="464"/>
      <c r="AM135" s="451"/>
      <c r="AN135" s="452"/>
      <c r="AO135" s="465"/>
      <c r="AP135" s="463">
        <v>0</v>
      </c>
      <c r="AQ135" s="464"/>
      <c r="AR135" s="451"/>
      <c r="AS135" s="452"/>
      <c r="AT135" s="465"/>
      <c r="AU135" s="463">
        <v>0</v>
      </c>
      <c r="AV135" s="464"/>
      <c r="AW135" s="451"/>
      <c r="AX135" s="452"/>
      <c r="AY135" s="465"/>
      <c r="AZ135" s="463">
        <v>0</v>
      </c>
      <c r="BA135" s="464"/>
      <c r="BB135" s="451"/>
      <c r="BC135" s="452"/>
      <c r="BD135" s="465"/>
      <c r="BE135" s="463">
        <v>0</v>
      </c>
      <c r="BF135" s="464"/>
      <c r="BG135" s="451"/>
      <c r="BH135" s="452"/>
      <c r="BI135" s="465"/>
      <c r="BJ135" s="463">
        <v>0</v>
      </c>
      <c r="BK135" s="464"/>
      <c r="BL135" s="451"/>
      <c r="BM135" s="452"/>
      <c r="BN135" s="465"/>
      <c r="BO135" s="463">
        <v>0</v>
      </c>
      <c r="BP135" s="464"/>
      <c r="BQ135" s="451"/>
      <c r="BR135" s="452"/>
      <c r="BS135" s="465"/>
      <c r="BT135" s="463">
        <f>SUM(L135:BO135)</f>
        <v>881175</v>
      </c>
      <c r="BU135" s="464"/>
      <c r="BV135" s="451"/>
      <c r="BW135" s="452"/>
      <c r="BX135" s="465"/>
      <c r="BY135" s="463">
        <v>0</v>
      </c>
      <c r="BZ135" s="464"/>
      <c r="CA135" s="451"/>
      <c r="CB135" s="452"/>
      <c r="CC135" s="385"/>
      <c r="CD135" s="463">
        <v>0</v>
      </c>
      <c r="CE135" s="464"/>
      <c r="CF135" s="451"/>
      <c r="CG135" s="452"/>
      <c r="CH135" s="465"/>
      <c r="CI135" s="463">
        <v>0</v>
      </c>
      <c r="CJ135" s="464"/>
      <c r="CK135" s="451"/>
      <c r="CL135" s="452"/>
      <c r="CM135" s="465"/>
      <c r="CN135" s="463">
        <v>0</v>
      </c>
      <c r="CO135" s="464"/>
      <c r="CP135" s="451"/>
      <c r="CQ135" s="452"/>
      <c r="CR135" s="465"/>
      <c r="CS135" s="463">
        <v>0</v>
      </c>
      <c r="CT135" s="464"/>
      <c r="CU135" s="451"/>
      <c r="CV135" s="452"/>
      <c r="CW135" s="465"/>
      <c r="CX135" s="463">
        <v>0</v>
      </c>
      <c r="CY135" s="464"/>
      <c r="CZ135" s="451"/>
      <c r="DA135" s="452"/>
      <c r="DB135" s="465"/>
      <c r="DC135" s="463">
        <v>0</v>
      </c>
      <c r="DD135" s="464"/>
      <c r="DE135" s="451"/>
      <c r="DF135" s="452"/>
      <c r="DG135" s="465"/>
      <c r="DH135" s="463">
        <v>0</v>
      </c>
      <c r="DI135" s="464"/>
      <c r="DJ135" s="451"/>
      <c r="DK135" s="452"/>
      <c r="DL135" s="465"/>
      <c r="DM135" s="463">
        <v>0</v>
      </c>
      <c r="DN135" s="464"/>
      <c r="DO135" s="451"/>
      <c r="DP135" s="452"/>
      <c r="DQ135" s="465"/>
      <c r="DR135" s="463">
        <v>0</v>
      </c>
      <c r="DS135" s="464"/>
      <c r="DT135" s="451"/>
      <c r="DU135" s="452"/>
      <c r="DV135" s="465"/>
      <c r="DW135" s="463">
        <v>0</v>
      </c>
      <c r="DX135" s="464"/>
      <c r="DY135" s="451"/>
      <c r="DZ135" s="452"/>
      <c r="EA135" s="465"/>
      <c r="EB135" s="463">
        <v>0</v>
      </c>
      <c r="EC135" s="464"/>
      <c r="ED135" s="451"/>
      <c r="EE135" s="452"/>
      <c r="EF135" s="465"/>
      <c r="EG135" s="463">
        <v>0</v>
      </c>
      <c r="EH135" s="464"/>
      <c r="EI135" s="451"/>
      <c r="EJ135" s="452"/>
      <c r="EK135" s="465"/>
      <c r="EL135" s="463">
        <f>SUM(CD135:DW135)</f>
        <v>0</v>
      </c>
      <c r="EM135" s="464"/>
      <c r="EN135" s="451"/>
      <c r="EO135" s="13"/>
      <c r="ER135" s="14"/>
      <c r="ES135" s="14"/>
    </row>
    <row r="136" spans="4:149" ht="12.75" customHeight="1" x14ac:dyDescent="0.2">
      <c r="D136" s="13"/>
      <c r="G136" s="451"/>
      <c r="H136" s="451"/>
      <c r="I136" s="451"/>
      <c r="J136" s="452"/>
      <c r="K136" s="451"/>
      <c r="L136" s="451"/>
      <c r="M136" s="451"/>
      <c r="N136" s="451"/>
      <c r="O136" s="452"/>
      <c r="P136" s="451"/>
      <c r="Q136" s="451"/>
      <c r="R136" s="451"/>
      <c r="S136" s="451"/>
      <c r="T136" s="452"/>
      <c r="U136" s="451"/>
      <c r="V136" s="451"/>
      <c r="W136" s="451"/>
      <c r="X136" s="451"/>
      <c r="Y136" s="452"/>
      <c r="Z136" s="451"/>
      <c r="AA136" s="451"/>
      <c r="AB136" s="451"/>
      <c r="AC136" s="451"/>
      <c r="AD136" s="452"/>
      <c r="AE136" s="451"/>
      <c r="AF136" s="451"/>
      <c r="AG136" s="451"/>
      <c r="AH136" s="451"/>
      <c r="AI136" s="452"/>
      <c r="AJ136" s="451"/>
      <c r="AK136" s="451"/>
      <c r="AL136" s="451"/>
      <c r="AM136" s="451"/>
      <c r="AN136" s="452"/>
      <c r="AO136" s="451"/>
      <c r="AP136" s="451"/>
      <c r="AQ136" s="451"/>
      <c r="AR136" s="451"/>
      <c r="AS136" s="452"/>
      <c r="AT136" s="451"/>
      <c r="AU136" s="451"/>
      <c r="AV136" s="451"/>
      <c r="AW136" s="451"/>
      <c r="AX136" s="452"/>
      <c r="AY136" s="451"/>
      <c r="AZ136" s="451"/>
      <c r="BA136" s="451"/>
      <c r="BB136" s="451"/>
      <c r="BC136" s="452"/>
      <c r="BD136" s="451"/>
      <c r="BE136" s="451"/>
      <c r="BF136" s="451"/>
      <c r="BG136" s="451"/>
      <c r="BH136" s="452"/>
      <c r="BI136" s="451"/>
      <c r="BJ136" s="451"/>
      <c r="BK136" s="451"/>
      <c r="BL136" s="451"/>
      <c r="BM136" s="452"/>
      <c r="BN136" s="451"/>
      <c r="BO136" s="451"/>
      <c r="BP136" s="451"/>
      <c r="BQ136" s="451"/>
      <c r="BR136" s="452"/>
      <c r="BS136" s="451"/>
      <c r="BT136" s="451"/>
      <c r="BU136" s="451"/>
      <c r="BV136" s="451"/>
      <c r="BW136" s="452"/>
      <c r="BX136" s="451"/>
      <c r="BY136" s="451"/>
      <c r="BZ136" s="451"/>
      <c r="CA136" s="451"/>
      <c r="CB136" s="452"/>
      <c r="CC136" s="451"/>
      <c r="CD136" s="451"/>
      <c r="CE136" s="451"/>
      <c r="CF136" s="451"/>
      <c r="CG136" s="452"/>
      <c r="CH136" s="451"/>
      <c r="CI136" s="451"/>
      <c r="CJ136" s="451"/>
      <c r="CK136" s="451"/>
      <c r="CL136" s="452"/>
      <c r="CM136" s="451"/>
      <c r="CN136" s="451"/>
      <c r="CO136" s="451"/>
      <c r="CP136" s="451"/>
      <c r="CQ136" s="452"/>
      <c r="CR136" s="451"/>
      <c r="CS136" s="451"/>
      <c r="CT136" s="451"/>
      <c r="CU136" s="451"/>
      <c r="CV136" s="452"/>
      <c r="CW136" s="451"/>
      <c r="CX136" s="451"/>
      <c r="CY136" s="451"/>
      <c r="CZ136" s="451"/>
      <c r="DA136" s="452"/>
      <c r="DB136" s="451"/>
      <c r="DC136" s="451"/>
      <c r="DD136" s="451"/>
      <c r="DE136" s="451"/>
      <c r="DF136" s="452"/>
      <c r="DG136" s="451"/>
      <c r="DH136" s="451"/>
      <c r="DI136" s="451"/>
      <c r="DJ136" s="451"/>
      <c r="DK136" s="452"/>
      <c r="DL136" s="451"/>
      <c r="DM136" s="451"/>
      <c r="DN136" s="451"/>
      <c r="DO136" s="451"/>
      <c r="DP136" s="452"/>
      <c r="DQ136" s="451"/>
      <c r="DR136" s="451"/>
      <c r="DS136" s="451"/>
      <c r="DT136" s="451"/>
      <c r="DU136" s="452"/>
      <c r="DV136" s="451"/>
      <c r="DW136" s="451"/>
      <c r="DX136" s="451"/>
      <c r="DY136" s="451"/>
      <c r="DZ136" s="452"/>
      <c r="EA136" s="451"/>
      <c r="EB136" s="451"/>
      <c r="EC136" s="451"/>
      <c r="ED136" s="451"/>
      <c r="EE136" s="452"/>
      <c r="EF136" s="451"/>
      <c r="EG136" s="451"/>
      <c r="EH136" s="451"/>
      <c r="EI136" s="451"/>
      <c r="EJ136" s="452"/>
      <c r="EK136" s="451"/>
      <c r="EL136" s="451"/>
      <c r="EM136" s="451"/>
      <c r="EN136" s="451"/>
      <c r="EO136" s="13"/>
      <c r="ER136" s="14"/>
      <c r="ES136" s="14"/>
    </row>
    <row r="137" spans="4:149" ht="12.75" customHeight="1" x14ac:dyDescent="0.2">
      <c r="D137" s="13" t="s">
        <v>373</v>
      </c>
      <c r="G137" s="451">
        <f>SUM(G138:G140)</f>
        <v>0</v>
      </c>
      <c r="H137" s="451"/>
      <c r="I137" s="451"/>
      <c r="J137" s="452"/>
      <c r="K137" s="451"/>
      <c r="L137" s="451">
        <f>SUM(L138:L140)</f>
        <v>0</v>
      </c>
      <c r="M137" s="451"/>
      <c r="N137" s="451"/>
      <c r="O137" s="452"/>
      <c r="P137" s="451"/>
      <c r="Q137" s="451">
        <f>SUM(Q138:Q140)</f>
        <v>0</v>
      </c>
      <c r="R137" s="451"/>
      <c r="S137" s="451"/>
      <c r="T137" s="452"/>
      <c r="U137" s="451"/>
      <c r="V137" s="451">
        <f>SUM(V138:V140)</f>
        <v>0</v>
      </c>
      <c r="W137" s="451"/>
      <c r="X137" s="451"/>
      <c r="Y137" s="452"/>
      <c r="Z137" s="451"/>
      <c r="AA137" s="451">
        <f>SUM(AA138:AA140)</f>
        <v>0</v>
      </c>
      <c r="AB137" s="451"/>
      <c r="AC137" s="451"/>
      <c r="AD137" s="452"/>
      <c r="AE137" s="451"/>
      <c r="AF137" s="451">
        <f>SUM(AF138:AF140)</f>
        <v>0</v>
      </c>
      <c r="AG137" s="451"/>
      <c r="AH137" s="451"/>
      <c r="AI137" s="452"/>
      <c r="AJ137" s="451"/>
      <c r="AK137" s="451">
        <f>SUM(AK138:AK140)</f>
        <v>0</v>
      </c>
      <c r="AL137" s="451"/>
      <c r="AM137" s="451"/>
      <c r="AN137" s="452"/>
      <c r="AO137" s="451"/>
      <c r="AP137" s="451">
        <f>SUM(AP138:AP140)</f>
        <v>0</v>
      </c>
      <c r="AQ137" s="451"/>
      <c r="AR137" s="451"/>
      <c r="AS137" s="452"/>
      <c r="AT137" s="451"/>
      <c r="AU137" s="451">
        <f>SUM(AU138:AU140)</f>
        <v>0</v>
      </c>
      <c r="AV137" s="451"/>
      <c r="AW137" s="451"/>
      <c r="AX137" s="452"/>
      <c r="AY137" s="451"/>
      <c r="AZ137" s="451">
        <f>SUM(AZ138:AZ140)</f>
        <v>3976000</v>
      </c>
      <c r="BA137" s="451"/>
      <c r="BB137" s="451"/>
      <c r="BC137" s="452"/>
      <c r="BD137" s="451"/>
      <c r="BE137" s="451">
        <f>SUM(BE138:BE140)</f>
        <v>0</v>
      </c>
      <c r="BF137" s="451"/>
      <c r="BG137" s="451"/>
      <c r="BH137" s="452"/>
      <c r="BI137" s="451"/>
      <c r="BJ137" s="451">
        <f>SUM(BJ138:BJ140)</f>
        <v>0</v>
      </c>
      <c r="BK137" s="451"/>
      <c r="BL137" s="451"/>
      <c r="BM137" s="452"/>
      <c r="BN137" s="451"/>
      <c r="BO137" s="451">
        <f>SUM(BO138:BO140)</f>
        <v>0</v>
      </c>
      <c r="BP137" s="451"/>
      <c r="BQ137" s="451"/>
      <c r="BR137" s="452"/>
      <c r="BS137" s="451"/>
      <c r="BT137" s="451">
        <f>SUM(BT138:BT140)</f>
        <v>3976000</v>
      </c>
      <c r="BU137" s="451"/>
      <c r="BV137" s="451"/>
      <c r="BW137" s="452"/>
      <c r="BX137" s="451"/>
      <c r="BY137" s="451">
        <f>SUM(BY138:BY140)</f>
        <v>0</v>
      </c>
      <c r="BZ137" s="451"/>
      <c r="CA137" s="451"/>
      <c r="CB137" s="452"/>
      <c r="CC137" s="451"/>
      <c r="CD137" s="451">
        <f>SUM(CD138:CD140)</f>
        <v>0</v>
      </c>
      <c r="CE137" s="451"/>
      <c r="CF137" s="451"/>
      <c r="CG137" s="452"/>
      <c r="CH137" s="451"/>
      <c r="CI137" s="451">
        <f>SUM(CI138:CI140)</f>
        <v>0</v>
      </c>
      <c r="CJ137" s="451"/>
      <c r="CK137" s="451"/>
      <c r="CL137" s="452"/>
      <c r="CM137" s="451"/>
      <c r="CN137" s="451">
        <f>SUM(CN138:CN140)</f>
        <v>0</v>
      </c>
      <c r="CO137" s="451"/>
      <c r="CP137" s="451"/>
      <c r="CQ137" s="452"/>
      <c r="CR137" s="451"/>
      <c r="CS137" s="451">
        <f>SUM(CS138:CS140)</f>
        <v>0</v>
      </c>
      <c r="CT137" s="451"/>
      <c r="CU137" s="451"/>
      <c r="CV137" s="452"/>
      <c r="CW137" s="451"/>
      <c r="CX137" s="451">
        <f>SUM(CX138:CX140)</f>
        <v>0</v>
      </c>
      <c r="CY137" s="451"/>
      <c r="CZ137" s="451"/>
      <c r="DA137" s="452"/>
      <c r="DB137" s="451"/>
      <c r="DC137" s="451">
        <f>SUM(DC138:DC140)</f>
        <v>0</v>
      </c>
      <c r="DD137" s="451"/>
      <c r="DE137" s="451"/>
      <c r="DF137" s="452"/>
      <c r="DG137" s="451"/>
      <c r="DH137" s="451">
        <f>SUM(DH138:DH140)</f>
        <v>0</v>
      </c>
      <c r="DI137" s="451"/>
      <c r="DJ137" s="451"/>
      <c r="DK137" s="452"/>
      <c r="DL137" s="451"/>
      <c r="DM137" s="451">
        <f>SUM(DM138:DM140)</f>
        <v>0</v>
      </c>
      <c r="DN137" s="451"/>
      <c r="DO137" s="451"/>
      <c r="DP137" s="452"/>
      <c r="DQ137" s="451"/>
      <c r="DR137" s="451">
        <f>SUM(DR138:DR140)</f>
        <v>0</v>
      </c>
      <c r="DS137" s="451"/>
      <c r="DT137" s="451"/>
      <c r="DU137" s="452"/>
      <c r="DV137" s="451"/>
      <c r="DW137" s="451">
        <f>SUM(DW138:DW140)</f>
        <v>0</v>
      </c>
      <c r="DX137" s="451"/>
      <c r="DY137" s="451"/>
      <c r="DZ137" s="452"/>
      <c r="EA137" s="451"/>
      <c r="EB137" s="451">
        <f>SUM(EB138:EB140)</f>
        <v>0</v>
      </c>
      <c r="EC137" s="451"/>
      <c r="ED137" s="451"/>
      <c r="EE137" s="452"/>
      <c r="EF137" s="451"/>
      <c r="EG137" s="451">
        <f>SUM(EG138:EG140)</f>
        <v>0</v>
      </c>
      <c r="EH137" s="451"/>
      <c r="EI137" s="451"/>
      <c r="EJ137" s="452"/>
      <c r="EK137" s="451"/>
      <c r="EL137" s="451">
        <f>SUM(EL138:EL140)</f>
        <v>0</v>
      </c>
      <c r="EM137" s="451"/>
      <c r="EN137" s="451"/>
      <c r="EO137" s="13"/>
      <c r="ER137" s="14"/>
      <c r="ES137" s="14"/>
    </row>
    <row r="138" spans="4:149" ht="12.75" customHeight="1" x14ac:dyDescent="0.2">
      <c r="D138" s="13" t="s">
        <v>347</v>
      </c>
      <c r="F138" s="374"/>
      <c r="G138" s="449">
        <v>0</v>
      </c>
      <c r="H138" s="450"/>
      <c r="I138" s="451"/>
      <c r="J138" s="452"/>
      <c r="K138" s="374"/>
      <c r="L138" s="449">
        <v>0</v>
      </c>
      <c r="M138" s="450"/>
      <c r="N138" s="451"/>
      <c r="O138" s="452"/>
      <c r="P138" s="374"/>
      <c r="Q138" s="449">
        <v>0</v>
      </c>
      <c r="R138" s="450"/>
      <c r="S138" s="451"/>
      <c r="T138" s="452"/>
      <c r="U138" s="374"/>
      <c r="V138" s="449">
        <v>0</v>
      </c>
      <c r="W138" s="450"/>
      <c r="X138" s="451"/>
      <c r="Y138" s="452"/>
      <c r="Z138" s="374"/>
      <c r="AA138" s="449">
        <v>0</v>
      </c>
      <c r="AB138" s="450"/>
      <c r="AC138" s="451"/>
      <c r="AD138" s="452"/>
      <c r="AE138" s="374"/>
      <c r="AF138" s="449">
        <v>0</v>
      </c>
      <c r="AG138" s="450"/>
      <c r="AH138" s="451"/>
      <c r="AI138" s="452"/>
      <c r="AJ138" s="374"/>
      <c r="AK138" s="449">
        <v>0</v>
      </c>
      <c r="AL138" s="450"/>
      <c r="AM138" s="451"/>
      <c r="AN138" s="452"/>
      <c r="AO138" s="374"/>
      <c r="AP138" s="449">
        <v>0</v>
      </c>
      <c r="AQ138" s="450"/>
      <c r="AR138" s="451"/>
      <c r="AS138" s="452"/>
      <c r="AT138" s="453"/>
      <c r="AU138" s="449">
        <v>0</v>
      </c>
      <c r="AV138" s="450"/>
      <c r="AW138" s="451"/>
      <c r="AX138" s="452"/>
      <c r="AY138" s="453"/>
      <c r="AZ138" s="449">
        <f>3976000-641745</f>
        <v>3334255</v>
      </c>
      <c r="BA138" s="450"/>
      <c r="BB138" s="451"/>
      <c r="BC138" s="452"/>
      <c r="BD138" s="453"/>
      <c r="BE138" s="449">
        <v>0</v>
      </c>
      <c r="BF138" s="450"/>
      <c r="BG138" s="451"/>
      <c r="BH138" s="452"/>
      <c r="BI138" s="453"/>
      <c r="BJ138" s="449">
        <v>0</v>
      </c>
      <c r="BK138" s="450"/>
      <c r="BL138" s="451"/>
      <c r="BM138" s="452"/>
      <c r="BN138" s="453"/>
      <c r="BO138" s="449">
        <v>0</v>
      </c>
      <c r="BP138" s="450"/>
      <c r="BQ138" s="451"/>
      <c r="BR138" s="452"/>
      <c r="BS138" s="453"/>
      <c r="BT138" s="449">
        <f>SUM(L138:BO138)</f>
        <v>3334255</v>
      </c>
      <c r="BU138" s="450"/>
      <c r="BV138" s="451"/>
      <c r="BW138" s="452"/>
      <c r="BX138" s="453"/>
      <c r="BY138" s="449">
        <v>0</v>
      </c>
      <c r="BZ138" s="450"/>
      <c r="CA138" s="451"/>
      <c r="CB138" s="452"/>
      <c r="CC138" s="374"/>
      <c r="CD138" s="449">
        <v>0</v>
      </c>
      <c r="CE138" s="450"/>
      <c r="CF138" s="451"/>
      <c r="CG138" s="452"/>
      <c r="CH138" s="374"/>
      <c r="CI138" s="449">
        <v>0</v>
      </c>
      <c r="CJ138" s="450"/>
      <c r="CK138" s="451"/>
      <c r="CL138" s="452"/>
      <c r="CM138" s="374"/>
      <c r="CN138" s="449">
        <v>0</v>
      </c>
      <c r="CO138" s="450"/>
      <c r="CP138" s="451"/>
      <c r="CQ138" s="452"/>
      <c r="CR138" s="374"/>
      <c r="CS138" s="449">
        <v>0</v>
      </c>
      <c r="CT138" s="450"/>
      <c r="CU138" s="451"/>
      <c r="CV138" s="452"/>
      <c r="CW138" s="374"/>
      <c r="CX138" s="449">
        <v>0</v>
      </c>
      <c r="CY138" s="450"/>
      <c r="CZ138" s="451"/>
      <c r="DA138" s="452"/>
      <c r="DB138" s="374"/>
      <c r="DC138" s="449">
        <v>0</v>
      </c>
      <c r="DD138" s="450"/>
      <c r="DE138" s="451"/>
      <c r="DF138" s="452"/>
      <c r="DG138" s="374"/>
      <c r="DH138" s="449">
        <v>0</v>
      </c>
      <c r="DI138" s="450"/>
      <c r="DJ138" s="451"/>
      <c r="DK138" s="452"/>
      <c r="DL138" s="453"/>
      <c r="DM138" s="449">
        <v>0</v>
      </c>
      <c r="DN138" s="450"/>
      <c r="DO138" s="451"/>
      <c r="DP138" s="452"/>
      <c r="DQ138" s="453"/>
      <c r="DR138" s="449">
        <v>0</v>
      </c>
      <c r="DS138" s="450"/>
      <c r="DT138" s="451"/>
      <c r="DU138" s="452"/>
      <c r="DV138" s="453"/>
      <c r="DW138" s="449">
        <v>0</v>
      </c>
      <c r="DX138" s="450"/>
      <c r="DY138" s="451"/>
      <c r="DZ138" s="452"/>
      <c r="EA138" s="453"/>
      <c r="EB138" s="449">
        <v>0</v>
      </c>
      <c r="EC138" s="450"/>
      <c r="ED138" s="451"/>
      <c r="EE138" s="452"/>
      <c r="EF138" s="453"/>
      <c r="EG138" s="449">
        <v>0</v>
      </c>
      <c r="EH138" s="450"/>
      <c r="EI138" s="451"/>
      <c r="EJ138" s="452"/>
      <c r="EK138" s="453"/>
      <c r="EL138" s="449">
        <f>SUM(CD138:DW138)</f>
        <v>0</v>
      </c>
      <c r="EM138" s="450"/>
      <c r="EN138" s="451"/>
      <c r="EO138" s="13"/>
      <c r="ER138" s="14"/>
      <c r="ES138" s="14"/>
    </row>
    <row r="139" spans="4:149" ht="12.75" customHeight="1" x14ac:dyDescent="0.2">
      <c r="D139" s="13" t="s">
        <v>349</v>
      </c>
      <c r="F139" s="198"/>
      <c r="G139" s="451">
        <v>0</v>
      </c>
      <c r="H139" s="455"/>
      <c r="I139" s="451"/>
      <c r="J139" s="452"/>
      <c r="K139" s="198"/>
      <c r="L139" s="451">
        <v>0</v>
      </c>
      <c r="M139" s="455"/>
      <c r="N139" s="451"/>
      <c r="O139" s="452"/>
      <c r="P139" s="198"/>
      <c r="Q139" s="451">
        <v>0</v>
      </c>
      <c r="R139" s="455"/>
      <c r="S139" s="451"/>
      <c r="T139" s="452"/>
      <c r="U139" s="198"/>
      <c r="V139" s="451">
        <v>0</v>
      </c>
      <c r="W139" s="455"/>
      <c r="X139" s="451"/>
      <c r="Y139" s="452"/>
      <c r="Z139" s="198"/>
      <c r="AA139" s="451">
        <v>0</v>
      </c>
      <c r="AB139" s="455"/>
      <c r="AC139" s="451"/>
      <c r="AD139" s="452"/>
      <c r="AE139" s="198"/>
      <c r="AF139" s="451">
        <v>0</v>
      </c>
      <c r="AG139" s="455"/>
      <c r="AH139" s="451"/>
      <c r="AI139" s="452"/>
      <c r="AJ139" s="198"/>
      <c r="AK139" s="451">
        <v>0</v>
      </c>
      <c r="AL139" s="455"/>
      <c r="AM139" s="451"/>
      <c r="AN139" s="452"/>
      <c r="AO139" s="198"/>
      <c r="AP139" s="451">
        <v>0</v>
      </c>
      <c r="AQ139" s="455"/>
      <c r="AR139" s="451"/>
      <c r="AS139" s="452"/>
      <c r="AT139" s="452"/>
      <c r="AU139" s="451">
        <v>0</v>
      </c>
      <c r="AV139" s="455"/>
      <c r="AW139" s="451"/>
      <c r="AX139" s="452"/>
      <c r="AY139" s="452"/>
      <c r="AZ139" s="451">
        <v>641745</v>
      </c>
      <c r="BA139" s="455"/>
      <c r="BB139" s="451"/>
      <c r="BC139" s="452"/>
      <c r="BD139" s="452"/>
      <c r="BE139" s="451">
        <v>0</v>
      </c>
      <c r="BF139" s="455"/>
      <c r="BG139" s="451"/>
      <c r="BH139" s="452"/>
      <c r="BI139" s="452"/>
      <c r="BJ139" s="451">
        <v>0</v>
      </c>
      <c r="BK139" s="455"/>
      <c r="BL139" s="451"/>
      <c r="BM139" s="452"/>
      <c r="BN139" s="452"/>
      <c r="BO139" s="451">
        <v>0</v>
      </c>
      <c r="BP139" s="455"/>
      <c r="BQ139" s="451"/>
      <c r="BR139" s="452"/>
      <c r="BS139" s="452"/>
      <c r="BT139" s="451">
        <f>SUM(L139:BO139)</f>
        <v>641745</v>
      </c>
      <c r="BU139" s="455"/>
      <c r="BV139" s="451"/>
      <c r="BW139" s="452"/>
      <c r="BX139" s="452"/>
      <c r="BY139" s="451">
        <v>0</v>
      </c>
      <c r="BZ139" s="455"/>
      <c r="CA139" s="451"/>
      <c r="CB139" s="452"/>
      <c r="CC139" s="198"/>
      <c r="CD139" s="451">
        <v>0</v>
      </c>
      <c r="CE139" s="455"/>
      <c r="CF139" s="451"/>
      <c r="CG139" s="452"/>
      <c r="CH139" s="198"/>
      <c r="CI139" s="451">
        <v>0</v>
      </c>
      <c r="CJ139" s="455"/>
      <c r="CK139" s="451"/>
      <c r="CL139" s="452"/>
      <c r="CM139" s="198"/>
      <c r="CN139" s="451">
        <v>0</v>
      </c>
      <c r="CO139" s="455"/>
      <c r="CP139" s="451"/>
      <c r="CQ139" s="452"/>
      <c r="CR139" s="198"/>
      <c r="CS139" s="451">
        <v>0</v>
      </c>
      <c r="CT139" s="455"/>
      <c r="CU139" s="451"/>
      <c r="CV139" s="452"/>
      <c r="CW139" s="198"/>
      <c r="CX139" s="451">
        <v>0</v>
      </c>
      <c r="CY139" s="455"/>
      <c r="CZ139" s="451"/>
      <c r="DA139" s="452"/>
      <c r="DB139" s="198"/>
      <c r="DC139" s="451">
        <v>0</v>
      </c>
      <c r="DD139" s="455"/>
      <c r="DE139" s="451"/>
      <c r="DF139" s="452"/>
      <c r="DG139" s="198"/>
      <c r="DH139" s="451">
        <v>0</v>
      </c>
      <c r="DI139" s="455"/>
      <c r="DJ139" s="451"/>
      <c r="DK139" s="452"/>
      <c r="DL139" s="452"/>
      <c r="DM139" s="451">
        <v>0</v>
      </c>
      <c r="DN139" s="455"/>
      <c r="DO139" s="451"/>
      <c r="DP139" s="452"/>
      <c r="DQ139" s="452"/>
      <c r="DR139" s="451">
        <v>0</v>
      </c>
      <c r="DS139" s="455"/>
      <c r="DT139" s="451"/>
      <c r="DU139" s="452"/>
      <c r="DV139" s="452"/>
      <c r="DW139" s="451">
        <v>0</v>
      </c>
      <c r="DX139" s="455"/>
      <c r="DY139" s="451"/>
      <c r="DZ139" s="452"/>
      <c r="EA139" s="452"/>
      <c r="EB139" s="451">
        <v>0</v>
      </c>
      <c r="EC139" s="455"/>
      <c r="ED139" s="451"/>
      <c r="EE139" s="452"/>
      <c r="EF139" s="452"/>
      <c r="EG139" s="451">
        <v>0</v>
      </c>
      <c r="EH139" s="455"/>
      <c r="EI139" s="451"/>
      <c r="EJ139" s="452"/>
      <c r="EK139" s="452"/>
      <c r="EL139" s="451">
        <f>SUM(CD139:DW139)</f>
        <v>0</v>
      </c>
      <c r="EM139" s="455"/>
      <c r="EN139" s="451"/>
      <c r="EO139" s="13"/>
      <c r="ER139" s="14"/>
      <c r="ES139" s="14"/>
    </row>
    <row r="140" spans="4:149" ht="12.75" customHeight="1" x14ac:dyDescent="0.2">
      <c r="D140" s="13" t="s">
        <v>350</v>
      </c>
      <c r="F140" s="385"/>
      <c r="G140" s="463">
        <v>0</v>
      </c>
      <c r="H140" s="464"/>
      <c r="I140" s="451"/>
      <c r="J140" s="452"/>
      <c r="K140" s="385"/>
      <c r="L140" s="463">
        <v>0</v>
      </c>
      <c r="M140" s="464"/>
      <c r="N140" s="451"/>
      <c r="O140" s="452"/>
      <c r="P140" s="385"/>
      <c r="Q140" s="463">
        <v>0</v>
      </c>
      <c r="R140" s="464"/>
      <c r="S140" s="451"/>
      <c r="T140" s="452"/>
      <c r="U140" s="385"/>
      <c r="V140" s="463">
        <v>0</v>
      </c>
      <c r="W140" s="464"/>
      <c r="X140" s="451"/>
      <c r="Y140" s="452"/>
      <c r="Z140" s="385"/>
      <c r="AA140" s="463">
        <v>0</v>
      </c>
      <c r="AB140" s="464"/>
      <c r="AC140" s="451"/>
      <c r="AD140" s="452"/>
      <c r="AE140" s="385"/>
      <c r="AF140" s="463">
        <v>0</v>
      </c>
      <c r="AG140" s="464"/>
      <c r="AH140" s="451"/>
      <c r="AI140" s="452"/>
      <c r="AJ140" s="385"/>
      <c r="AK140" s="463">
        <v>0</v>
      </c>
      <c r="AL140" s="464"/>
      <c r="AM140" s="451"/>
      <c r="AN140" s="452"/>
      <c r="AO140" s="385"/>
      <c r="AP140" s="463">
        <v>0</v>
      </c>
      <c r="AQ140" s="464"/>
      <c r="AR140" s="451"/>
      <c r="AS140" s="452"/>
      <c r="AT140" s="465"/>
      <c r="AU140" s="463">
        <v>0</v>
      </c>
      <c r="AV140" s="464"/>
      <c r="AW140" s="451"/>
      <c r="AX140" s="452"/>
      <c r="AY140" s="465"/>
      <c r="AZ140" s="463">
        <v>0</v>
      </c>
      <c r="BA140" s="464"/>
      <c r="BB140" s="451"/>
      <c r="BC140" s="452"/>
      <c r="BD140" s="465"/>
      <c r="BE140" s="463">
        <v>0</v>
      </c>
      <c r="BF140" s="464"/>
      <c r="BG140" s="451"/>
      <c r="BH140" s="452"/>
      <c r="BI140" s="465"/>
      <c r="BJ140" s="463">
        <v>0</v>
      </c>
      <c r="BK140" s="464"/>
      <c r="BL140" s="451"/>
      <c r="BM140" s="452"/>
      <c r="BN140" s="465"/>
      <c r="BO140" s="463">
        <v>0</v>
      </c>
      <c r="BP140" s="464"/>
      <c r="BQ140" s="451"/>
      <c r="BR140" s="452"/>
      <c r="BS140" s="465"/>
      <c r="BT140" s="463">
        <f>SUM(L140:BO140)</f>
        <v>0</v>
      </c>
      <c r="BU140" s="464"/>
      <c r="BV140" s="451"/>
      <c r="BW140" s="452"/>
      <c r="BX140" s="465"/>
      <c r="BY140" s="463">
        <v>0</v>
      </c>
      <c r="BZ140" s="464"/>
      <c r="CA140" s="451"/>
      <c r="CB140" s="452"/>
      <c r="CC140" s="385"/>
      <c r="CD140" s="463">
        <v>0</v>
      </c>
      <c r="CE140" s="464"/>
      <c r="CF140" s="451"/>
      <c r="CG140" s="452"/>
      <c r="CH140" s="385"/>
      <c r="CI140" s="463">
        <v>0</v>
      </c>
      <c r="CJ140" s="464"/>
      <c r="CK140" s="451"/>
      <c r="CL140" s="452"/>
      <c r="CM140" s="385"/>
      <c r="CN140" s="463">
        <v>0</v>
      </c>
      <c r="CO140" s="464"/>
      <c r="CP140" s="451"/>
      <c r="CQ140" s="452"/>
      <c r="CR140" s="385"/>
      <c r="CS140" s="463">
        <v>0</v>
      </c>
      <c r="CT140" s="464"/>
      <c r="CU140" s="451"/>
      <c r="CV140" s="452"/>
      <c r="CW140" s="385"/>
      <c r="CX140" s="463">
        <v>0</v>
      </c>
      <c r="CY140" s="464"/>
      <c r="CZ140" s="451"/>
      <c r="DA140" s="452"/>
      <c r="DB140" s="385"/>
      <c r="DC140" s="463">
        <v>0</v>
      </c>
      <c r="DD140" s="464"/>
      <c r="DE140" s="451"/>
      <c r="DF140" s="452"/>
      <c r="DG140" s="385"/>
      <c r="DH140" s="463">
        <v>0</v>
      </c>
      <c r="DI140" s="464"/>
      <c r="DJ140" s="451"/>
      <c r="DK140" s="452"/>
      <c r="DL140" s="465"/>
      <c r="DM140" s="463">
        <v>0</v>
      </c>
      <c r="DN140" s="464"/>
      <c r="DO140" s="451"/>
      <c r="DP140" s="452"/>
      <c r="DQ140" s="465"/>
      <c r="DR140" s="463">
        <v>0</v>
      </c>
      <c r="DS140" s="464"/>
      <c r="DT140" s="451"/>
      <c r="DU140" s="452"/>
      <c r="DV140" s="465"/>
      <c r="DW140" s="463">
        <v>0</v>
      </c>
      <c r="DX140" s="464"/>
      <c r="DY140" s="451"/>
      <c r="DZ140" s="452"/>
      <c r="EA140" s="465"/>
      <c r="EB140" s="463">
        <v>0</v>
      </c>
      <c r="EC140" s="464"/>
      <c r="ED140" s="451"/>
      <c r="EE140" s="452"/>
      <c r="EF140" s="465"/>
      <c r="EG140" s="463">
        <v>0</v>
      </c>
      <c r="EH140" s="464"/>
      <c r="EI140" s="451"/>
      <c r="EJ140" s="452"/>
      <c r="EK140" s="465"/>
      <c r="EL140" s="463">
        <f>SUM(CD140:DW140)</f>
        <v>0</v>
      </c>
      <c r="EM140" s="464"/>
      <c r="EN140" s="451"/>
      <c r="EO140" s="13"/>
      <c r="ER140" s="14"/>
      <c r="ES140" s="14"/>
    </row>
    <row r="141" spans="4:149" ht="12.75" customHeight="1" x14ac:dyDescent="0.2">
      <c r="D141" s="13"/>
      <c r="G141" s="451"/>
      <c r="H141" s="451"/>
      <c r="I141" s="451"/>
      <c r="J141" s="452"/>
      <c r="K141" s="451"/>
      <c r="L141" s="451"/>
      <c r="M141" s="451"/>
      <c r="N141" s="451"/>
      <c r="O141" s="452"/>
      <c r="P141" s="451"/>
      <c r="Q141" s="451"/>
      <c r="R141" s="451"/>
      <c r="S141" s="451"/>
      <c r="T141" s="452"/>
      <c r="U141" s="451"/>
      <c r="V141" s="451"/>
      <c r="W141" s="451"/>
      <c r="X141" s="451"/>
      <c r="Y141" s="452"/>
      <c r="Z141" s="451"/>
      <c r="AA141" s="451"/>
      <c r="AB141" s="451"/>
      <c r="AC141" s="451"/>
      <c r="AD141" s="452"/>
      <c r="AE141" s="451"/>
      <c r="AF141" s="451"/>
      <c r="AG141" s="451"/>
      <c r="AH141" s="451"/>
      <c r="AI141" s="452"/>
      <c r="AJ141" s="451"/>
      <c r="AK141" s="451"/>
      <c r="AL141" s="451"/>
      <c r="AM141" s="451"/>
      <c r="AN141" s="452"/>
      <c r="AO141" s="451"/>
      <c r="AP141" s="451"/>
      <c r="AQ141" s="451"/>
      <c r="AR141" s="451"/>
      <c r="AS141" s="452"/>
      <c r="AT141" s="451"/>
      <c r="AU141" s="451"/>
      <c r="AV141" s="451"/>
      <c r="AW141" s="451"/>
      <c r="AX141" s="452"/>
      <c r="AY141" s="451"/>
      <c r="AZ141" s="451"/>
      <c r="BA141" s="451"/>
      <c r="BB141" s="451"/>
      <c r="BC141" s="452"/>
      <c r="BD141" s="451"/>
      <c r="BE141" s="451"/>
      <c r="BF141" s="451"/>
      <c r="BG141" s="451"/>
      <c r="BH141" s="452"/>
      <c r="BI141" s="451"/>
      <c r="BJ141" s="451"/>
      <c r="BK141" s="451"/>
      <c r="BL141" s="451"/>
      <c r="BM141" s="452"/>
      <c r="BN141" s="451"/>
      <c r="BO141" s="451"/>
      <c r="BP141" s="451"/>
      <c r="BQ141" s="451"/>
      <c r="BR141" s="452"/>
      <c r="BS141" s="451"/>
      <c r="BT141" s="451"/>
      <c r="BU141" s="451"/>
      <c r="BV141" s="451"/>
      <c r="BW141" s="452"/>
      <c r="BX141" s="451"/>
      <c r="BY141" s="451"/>
      <c r="BZ141" s="451"/>
      <c r="CA141" s="451"/>
      <c r="CB141" s="452"/>
      <c r="CC141" s="451"/>
      <c r="CD141" s="451"/>
      <c r="CE141" s="451"/>
      <c r="CF141" s="451"/>
      <c r="CG141" s="452"/>
      <c r="CH141" s="451"/>
      <c r="CI141" s="451"/>
      <c r="CJ141" s="451"/>
      <c r="CK141" s="451"/>
      <c r="CL141" s="452"/>
      <c r="CM141" s="451"/>
      <c r="CN141" s="451"/>
      <c r="CO141" s="451"/>
      <c r="CP141" s="451"/>
      <c r="CQ141" s="452"/>
      <c r="CR141" s="451"/>
      <c r="CS141" s="451"/>
      <c r="CT141" s="451"/>
      <c r="CU141" s="451"/>
      <c r="CV141" s="452"/>
      <c r="CW141" s="451"/>
      <c r="CX141" s="451"/>
      <c r="CY141" s="451"/>
      <c r="CZ141" s="451"/>
      <c r="DA141" s="452"/>
      <c r="DB141" s="451"/>
      <c r="DC141" s="451"/>
      <c r="DD141" s="451"/>
      <c r="DE141" s="451"/>
      <c r="DF141" s="452"/>
      <c r="DG141" s="451"/>
      <c r="DH141" s="451"/>
      <c r="DI141" s="451"/>
      <c r="DJ141" s="451"/>
      <c r="DK141" s="452"/>
      <c r="DL141" s="451"/>
      <c r="DM141" s="451"/>
      <c r="DN141" s="451"/>
      <c r="DO141" s="451"/>
      <c r="DP141" s="452"/>
      <c r="DQ141" s="451"/>
      <c r="DR141" s="451"/>
      <c r="DS141" s="451"/>
      <c r="DT141" s="451"/>
      <c r="DU141" s="452"/>
      <c r="DV141" s="451"/>
      <c r="DW141" s="451"/>
      <c r="DX141" s="451"/>
      <c r="DY141" s="451"/>
      <c r="DZ141" s="452"/>
      <c r="EA141" s="451"/>
      <c r="EB141" s="451"/>
      <c r="EC141" s="451"/>
      <c r="ED141" s="451"/>
      <c r="EE141" s="452"/>
      <c r="EF141" s="451"/>
      <c r="EG141" s="451"/>
      <c r="EH141" s="451"/>
      <c r="EI141" s="451"/>
      <c r="EJ141" s="452"/>
      <c r="EK141" s="451"/>
      <c r="EL141" s="451"/>
      <c r="EM141" s="451"/>
      <c r="EN141" s="451"/>
      <c r="EO141" s="13"/>
      <c r="ER141" s="14"/>
      <c r="ES141" s="14"/>
    </row>
    <row r="142" spans="4:149" ht="12.75" customHeight="1" x14ac:dyDescent="0.2">
      <c r="D142" s="13" t="s">
        <v>374</v>
      </c>
      <c r="G142" s="451">
        <f>SUM(G143:G145)</f>
        <v>0</v>
      </c>
      <c r="H142" s="451"/>
      <c r="I142" s="451"/>
      <c r="J142" s="452"/>
      <c r="K142" s="451"/>
      <c r="L142" s="451">
        <f>SUM(L143:L145)</f>
        <v>0</v>
      </c>
      <c r="M142" s="451"/>
      <c r="N142" s="451"/>
      <c r="O142" s="452"/>
      <c r="P142" s="451"/>
      <c r="Q142" s="451">
        <f>SUM(Q143:Q145)</f>
        <v>0</v>
      </c>
      <c r="R142" s="451"/>
      <c r="S142" s="451"/>
      <c r="T142" s="452"/>
      <c r="U142" s="451"/>
      <c r="V142" s="451">
        <f>SUM(V143:V145)</f>
        <v>0</v>
      </c>
      <c r="W142" s="451"/>
      <c r="X142" s="451"/>
      <c r="Y142" s="452"/>
      <c r="Z142" s="451"/>
      <c r="AA142" s="451">
        <f>SUM(AA143:AA145)</f>
        <v>0</v>
      </c>
      <c r="AB142" s="451"/>
      <c r="AC142" s="451"/>
      <c r="AD142" s="452"/>
      <c r="AE142" s="451"/>
      <c r="AF142" s="451">
        <f>SUM(AF143:AF145)</f>
        <v>0</v>
      </c>
      <c r="AG142" s="451"/>
      <c r="AH142" s="451"/>
      <c r="AI142" s="452"/>
      <c r="AJ142" s="451"/>
      <c r="AK142" s="451">
        <f>SUM(AK143:AK145)</f>
        <v>0</v>
      </c>
      <c r="AL142" s="451"/>
      <c r="AM142" s="451"/>
      <c r="AN142" s="452"/>
      <c r="AO142" s="451"/>
      <c r="AP142" s="451">
        <f>SUM(AP143:AP145)</f>
        <v>0</v>
      </c>
      <c r="AQ142" s="451"/>
      <c r="AR142" s="451"/>
      <c r="AS142" s="452"/>
      <c r="AT142" s="451"/>
      <c r="AU142" s="451">
        <f>SUM(AU143:AU145)</f>
        <v>0</v>
      </c>
      <c r="AV142" s="451"/>
      <c r="AW142" s="451"/>
      <c r="AX142" s="452"/>
      <c r="AY142" s="451"/>
      <c r="AZ142" s="451">
        <f>SUM(AZ143:AZ145)</f>
        <v>0</v>
      </c>
      <c r="BA142" s="451"/>
      <c r="BB142" s="451"/>
      <c r="BC142" s="452"/>
      <c r="BD142" s="451"/>
      <c r="BE142" s="451">
        <f>SUM(BE143:BE145)</f>
        <v>0</v>
      </c>
      <c r="BF142" s="451"/>
      <c r="BG142" s="451"/>
      <c r="BH142" s="452"/>
      <c r="BI142" s="451"/>
      <c r="BJ142" s="451">
        <f>SUM(BJ143:BJ145)</f>
        <v>0</v>
      </c>
      <c r="BK142" s="451"/>
      <c r="BL142" s="451"/>
      <c r="BM142" s="452"/>
      <c r="BN142" s="451"/>
      <c r="BO142" s="451">
        <f>SUM(BO143:BO145)</f>
        <v>0</v>
      </c>
      <c r="BP142" s="451"/>
      <c r="BQ142" s="451"/>
      <c r="BR142" s="452"/>
      <c r="BS142" s="451"/>
      <c r="BT142" s="451">
        <f>SUM(BT143:BT145)</f>
        <v>0</v>
      </c>
      <c r="BU142" s="451"/>
      <c r="BV142" s="451"/>
      <c r="BW142" s="452"/>
      <c r="BX142" s="451"/>
      <c r="BY142" s="451">
        <f>SUM(BY143:BY145)</f>
        <v>1592</v>
      </c>
      <c r="BZ142" s="451"/>
      <c r="CA142" s="451"/>
      <c r="CB142" s="452"/>
      <c r="CC142" s="451"/>
      <c r="CD142" s="451">
        <f>SUM(CD143:CD145)</f>
        <v>0</v>
      </c>
      <c r="CE142" s="451"/>
      <c r="CF142" s="451"/>
      <c r="CG142" s="452"/>
      <c r="CH142" s="451"/>
      <c r="CI142" s="451">
        <f>SUM(CI143:CI145)</f>
        <v>1592</v>
      </c>
      <c r="CJ142" s="451"/>
      <c r="CK142" s="451"/>
      <c r="CL142" s="452"/>
      <c r="CM142" s="451"/>
      <c r="CN142" s="451">
        <f>SUM(CN143:CN145)</f>
        <v>0</v>
      </c>
      <c r="CO142" s="451"/>
      <c r="CP142" s="451"/>
      <c r="CQ142" s="452"/>
      <c r="CR142" s="451"/>
      <c r="CS142" s="451">
        <f>SUM(CS143:CS145)</f>
        <v>0</v>
      </c>
      <c r="CT142" s="451"/>
      <c r="CU142" s="451"/>
      <c r="CV142" s="452"/>
      <c r="CW142" s="451"/>
      <c r="CX142" s="451">
        <f>SUM(CX143:CX145)</f>
        <v>0</v>
      </c>
      <c r="CY142" s="451"/>
      <c r="CZ142" s="451"/>
      <c r="DA142" s="452"/>
      <c r="DB142" s="451"/>
      <c r="DC142" s="451">
        <f>SUM(DC143:DC145)</f>
        <v>0</v>
      </c>
      <c r="DD142" s="451"/>
      <c r="DE142" s="451"/>
      <c r="DF142" s="452"/>
      <c r="DG142" s="451"/>
      <c r="DH142" s="451">
        <f>SUM(DH143:DH145)</f>
        <v>0</v>
      </c>
      <c r="DI142" s="451"/>
      <c r="DJ142" s="451"/>
      <c r="DK142" s="452"/>
      <c r="DL142" s="451"/>
      <c r="DM142" s="451">
        <f>SUM(DM143:DM145)</f>
        <v>0</v>
      </c>
      <c r="DN142" s="451"/>
      <c r="DO142" s="451"/>
      <c r="DP142" s="452"/>
      <c r="DQ142" s="451"/>
      <c r="DR142" s="451">
        <f>SUM(DR143:DR145)</f>
        <v>0</v>
      </c>
      <c r="DS142" s="451"/>
      <c r="DT142" s="451"/>
      <c r="DU142" s="452"/>
      <c r="DV142" s="451"/>
      <c r="DW142" s="451">
        <f>SUM(DW143:DW145)</f>
        <v>0</v>
      </c>
      <c r="DX142" s="451"/>
      <c r="DY142" s="451"/>
      <c r="DZ142" s="452"/>
      <c r="EA142" s="451"/>
      <c r="EB142" s="451">
        <f>SUM(EB143:EB145)</f>
        <v>0</v>
      </c>
      <c r="EC142" s="451"/>
      <c r="ED142" s="451"/>
      <c r="EE142" s="452"/>
      <c r="EF142" s="451"/>
      <c r="EG142" s="451">
        <f>SUM(EG143:EG145)</f>
        <v>0</v>
      </c>
      <c r="EH142" s="451"/>
      <c r="EI142" s="451"/>
      <c r="EJ142" s="452"/>
      <c r="EK142" s="451"/>
      <c r="EL142" s="451">
        <f>SUM(EL143:EL145)</f>
        <v>1592</v>
      </c>
      <c r="EM142" s="451"/>
      <c r="EN142" s="451"/>
      <c r="EO142" s="13"/>
      <c r="ER142" s="14"/>
      <c r="ES142" s="14"/>
    </row>
    <row r="143" spans="4:149" ht="12.75" customHeight="1" x14ac:dyDescent="0.2">
      <c r="D143" s="13" t="s">
        <v>347</v>
      </c>
      <c r="F143" s="374"/>
      <c r="G143" s="449">
        <v>0</v>
      </c>
      <c r="H143" s="450"/>
      <c r="I143" s="451"/>
      <c r="J143" s="452"/>
      <c r="K143" s="453"/>
      <c r="L143" s="449">
        <v>0</v>
      </c>
      <c r="M143" s="450"/>
      <c r="N143" s="451"/>
      <c r="O143" s="452"/>
      <c r="P143" s="453"/>
      <c r="Q143" s="449">
        <v>0</v>
      </c>
      <c r="R143" s="450"/>
      <c r="S143" s="451"/>
      <c r="T143" s="452"/>
      <c r="U143" s="453"/>
      <c r="V143" s="449">
        <v>0</v>
      </c>
      <c r="W143" s="450"/>
      <c r="X143" s="451"/>
      <c r="Y143" s="452"/>
      <c r="Z143" s="453"/>
      <c r="AA143" s="449">
        <v>0</v>
      </c>
      <c r="AB143" s="450"/>
      <c r="AC143" s="451"/>
      <c r="AD143" s="452"/>
      <c r="AE143" s="453"/>
      <c r="AF143" s="449">
        <v>0</v>
      </c>
      <c r="AG143" s="450"/>
      <c r="AH143" s="451"/>
      <c r="AI143" s="452"/>
      <c r="AJ143" s="453"/>
      <c r="AK143" s="449">
        <v>0</v>
      </c>
      <c r="AL143" s="450"/>
      <c r="AM143" s="451"/>
      <c r="AN143" s="452"/>
      <c r="AO143" s="453"/>
      <c r="AP143" s="449">
        <v>0</v>
      </c>
      <c r="AQ143" s="450"/>
      <c r="AR143" s="451"/>
      <c r="AS143" s="452"/>
      <c r="AT143" s="453"/>
      <c r="AU143" s="449">
        <v>0</v>
      </c>
      <c r="AV143" s="450"/>
      <c r="AW143" s="451"/>
      <c r="AX143" s="452"/>
      <c r="AY143" s="453"/>
      <c r="AZ143" s="449">
        <v>0</v>
      </c>
      <c r="BA143" s="450"/>
      <c r="BB143" s="451"/>
      <c r="BC143" s="452"/>
      <c r="BD143" s="453"/>
      <c r="BE143" s="449">
        <v>0</v>
      </c>
      <c r="BF143" s="450"/>
      <c r="BG143" s="451"/>
      <c r="BH143" s="452"/>
      <c r="BI143" s="453"/>
      <c r="BJ143" s="449">
        <v>0</v>
      </c>
      <c r="BK143" s="450"/>
      <c r="BL143" s="451"/>
      <c r="BM143" s="452"/>
      <c r="BN143" s="453"/>
      <c r="BO143" s="449">
        <v>0</v>
      </c>
      <c r="BP143" s="450"/>
      <c r="BQ143" s="451"/>
      <c r="BR143" s="452"/>
      <c r="BS143" s="453"/>
      <c r="BT143" s="449">
        <f>SUM(L143:BO143)</f>
        <v>0</v>
      </c>
      <c r="BU143" s="450"/>
      <c r="BV143" s="451"/>
      <c r="BW143" s="452"/>
      <c r="BX143" s="453"/>
      <c r="BY143" s="449">
        <v>1123</v>
      </c>
      <c r="BZ143" s="450"/>
      <c r="CA143" s="451"/>
      <c r="CB143" s="452"/>
      <c r="CC143" s="453"/>
      <c r="CD143" s="449">
        <v>0</v>
      </c>
      <c r="CE143" s="450"/>
      <c r="CF143" s="451"/>
      <c r="CG143" s="452"/>
      <c r="CH143" s="453"/>
      <c r="CI143" s="449">
        <f>1592-469</f>
        <v>1123</v>
      </c>
      <c r="CJ143" s="450"/>
      <c r="CK143" s="451"/>
      <c r="CL143" s="452"/>
      <c r="CM143" s="453"/>
      <c r="CN143" s="449">
        <v>0</v>
      </c>
      <c r="CO143" s="450"/>
      <c r="CP143" s="451"/>
      <c r="CQ143" s="452"/>
      <c r="CR143" s="453"/>
      <c r="CS143" s="449">
        <v>0</v>
      </c>
      <c r="CT143" s="450"/>
      <c r="CU143" s="451"/>
      <c r="CV143" s="452"/>
      <c r="CW143" s="453"/>
      <c r="CX143" s="449">
        <v>0</v>
      </c>
      <c r="CY143" s="450"/>
      <c r="CZ143" s="451"/>
      <c r="DA143" s="452"/>
      <c r="DB143" s="453"/>
      <c r="DC143" s="449">
        <v>0</v>
      </c>
      <c r="DD143" s="450"/>
      <c r="DE143" s="451"/>
      <c r="DF143" s="452"/>
      <c r="DG143" s="453"/>
      <c r="DH143" s="449">
        <v>0</v>
      </c>
      <c r="DI143" s="450"/>
      <c r="DJ143" s="451"/>
      <c r="DK143" s="452"/>
      <c r="DL143" s="453"/>
      <c r="DM143" s="449">
        <v>0</v>
      </c>
      <c r="DN143" s="450"/>
      <c r="DO143" s="451"/>
      <c r="DP143" s="452"/>
      <c r="DQ143" s="453"/>
      <c r="DR143" s="449">
        <v>0</v>
      </c>
      <c r="DS143" s="450"/>
      <c r="DT143" s="451"/>
      <c r="DU143" s="452"/>
      <c r="DV143" s="453"/>
      <c r="DW143" s="449">
        <v>0</v>
      </c>
      <c r="DX143" s="450"/>
      <c r="DY143" s="451"/>
      <c r="DZ143" s="452"/>
      <c r="EA143" s="453"/>
      <c r="EB143" s="449">
        <v>0</v>
      </c>
      <c r="EC143" s="450"/>
      <c r="ED143" s="451"/>
      <c r="EE143" s="452"/>
      <c r="EF143" s="453"/>
      <c r="EG143" s="449">
        <v>0</v>
      </c>
      <c r="EH143" s="450"/>
      <c r="EI143" s="451"/>
      <c r="EJ143" s="452"/>
      <c r="EK143" s="453"/>
      <c r="EL143" s="449">
        <f>SUM(CD143:DW143)</f>
        <v>1123</v>
      </c>
      <c r="EM143" s="450"/>
      <c r="EN143" s="451"/>
      <c r="EO143" s="13"/>
      <c r="ER143" s="14"/>
      <c r="ES143" s="14"/>
    </row>
    <row r="144" spans="4:149" ht="12.75" customHeight="1" x14ac:dyDescent="0.2">
      <c r="D144" s="13" t="s">
        <v>349</v>
      </c>
      <c r="F144" s="198"/>
      <c r="G144" s="451">
        <v>0</v>
      </c>
      <c r="H144" s="455"/>
      <c r="I144" s="451"/>
      <c r="J144" s="452"/>
      <c r="K144" s="452"/>
      <c r="L144" s="451">
        <v>0</v>
      </c>
      <c r="M144" s="455"/>
      <c r="N144" s="451"/>
      <c r="O144" s="452"/>
      <c r="P144" s="452"/>
      <c r="Q144" s="451">
        <v>0</v>
      </c>
      <c r="R144" s="455"/>
      <c r="S144" s="451"/>
      <c r="T144" s="452"/>
      <c r="U144" s="452"/>
      <c r="V144" s="451">
        <v>0</v>
      </c>
      <c r="W144" s="455"/>
      <c r="X144" s="451"/>
      <c r="Y144" s="452"/>
      <c r="Z144" s="452"/>
      <c r="AA144" s="451">
        <v>0</v>
      </c>
      <c r="AB144" s="455"/>
      <c r="AC144" s="451"/>
      <c r="AD144" s="452"/>
      <c r="AE144" s="452"/>
      <c r="AF144" s="451">
        <v>0</v>
      </c>
      <c r="AG144" s="455"/>
      <c r="AH144" s="451"/>
      <c r="AI144" s="452"/>
      <c r="AJ144" s="452"/>
      <c r="AK144" s="451">
        <v>0</v>
      </c>
      <c r="AL144" s="455"/>
      <c r="AM144" s="451"/>
      <c r="AN144" s="452"/>
      <c r="AO144" s="452"/>
      <c r="AP144" s="451">
        <v>0</v>
      </c>
      <c r="AQ144" s="455"/>
      <c r="AR144" s="451"/>
      <c r="AS144" s="452"/>
      <c r="AT144" s="452"/>
      <c r="AU144" s="451">
        <v>0</v>
      </c>
      <c r="AV144" s="455"/>
      <c r="AW144" s="451"/>
      <c r="AX144" s="452"/>
      <c r="AY144" s="452"/>
      <c r="AZ144" s="451">
        <v>0</v>
      </c>
      <c r="BA144" s="455"/>
      <c r="BB144" s="451"/>
      <c r="BC144" s="452"/>
      <c r="BD144" s="452"/>
      <c r="BE144" s="451">
        <v>0</v>
      </c>
      <c r="BF144" s="455"/>
      <c r="BG144" s="451"/>
      <c r="BH144" s="452"/>
      <c r="BI144" s="452"/>
      <c r="BJ144" s="451">
        <v>0</v>
      </c>
      <c r="BK144" s="455"/>
      <c r="BL144" s="451"/>
      <c r="BM144" s="452"/>
      <c r="BN144" s="452"/>
      <c r="BO144" s="451">
        <v>0</v>
      </c>
      <c r="BP144" s="455"/>
      <c r="BQ144" s="451"/>
      <c r="BR144" s="452"/>
      <c r="BS144" s="452"/>
      <c r="BT144" s="451">
        <f>SUM(L144:BO144)</f>
        <v>0</v>
      </c>
      <c r="BU144" s="455"/>
      <c r="BV144" s="451"/>
      <c r="BW144" s="452"/>
      <c r="BX144" s="452"/>
      <c r="BY144" s="451">
        <v>469</v>
      </c>
      <c r="BZ144" s="455"/>
      <c r="CA144" s="451"/>
      <c r="CB144" s="452"/>
      <c r="CC144" s="452"/>
      <c r="CD144" s="451">
        <v>0</v>
      </c>
      <c r="CE144" s="455"/>
      <c r="CF144" s="451"/>
      <c r="CG144" s="452"/>
      <c r="CH144" s="452"/>
      <c r="CI144" s="451">
        <v>469</v>
      </c>
      <c r="CJ144" s="455"/>
      <c r="CK144" s="451"/>
      <c r="CL144" s="452"/>
      <c r="CM144" s="452"/>
      <c r="CN144" s="451">
        <v>0</v>
      </c>
      <c r="CO144" s="455"/>
      <c r="CP144" s="451"/>
      <c r="CQ144" s="452"/>
      <c r="CR144" s="452"/>
      <c r="CS144" s="451">
        <v>0</v>
      </c>
      <c r="CT144" s="455"/>
      <c r="CU144" s="451"/>
      <c r="CV144" s="452"/>
      <c r="CW144" s="452"/>
      <c r="CX144" s="451">
        <v>0</v>
      </c>
      <c r="CY144" s="455"/>
      <c r="CZ144" s="451"/>
      <c r="DA144" s="452"/>
      <c r="DB144" s="452"/>
      <c r="DC144" s="451">
        <v>0</v>
      </c>
      <c r="DD144" s="455"/>
      <c r="DE144" s="451"/>
      <c r="DF144" s="452"/>
      <c r="DG144" s="452"/>
      <c r="DH144" s="451">
        <v>0</v>
      </c>
      <c r="DI144" s="455"/>
      <c r="DJ144" s="451"/>
      <c r="DK144" s="452"/>
      <c r="DL144" s="452"/>
      <c r="DM144" s="451">
        <v>0</v>
      </c>
      <c r="DN144" s="455"/>
      <c r="DO144" s="451"/>
      <c r="DP144" s="452"/>
      <c r="DQ144" s="452"/>
      <c r="DR144" s="451">
        <v>0</v>
      </c>
      <c r="DS144" s="455"/>
      <c r="DT144" s="451"/>
      <c r="DU144" s="452"/>
      <c r="DV144" s="452"/>
      <c r="DW144" s="451">
        <v>0</v>
      </c>
      <c r="DX144" s="455"/>
      <c r="DY144" s="451"/>
      <c r="DZ144" s="452"/>
      <c r="EA144" s="452"/>
      <c r="EB144" s="451">
        <v>0</v>
      </c>
      <c r="EC144" s="455"/>
      <c r="ED144" s="451"/>
      <c r="EE144" s="452"/>
      <c r="EF144" s="452"/>
      <c r="EG144" s="451">
        <v>0</v>
      </c>
      <c r="EH144" s="455"/>
      <c r="EI144" s="451"/>
      <c r="EJ144" s="452"/>
      <c r="EK144" s="452"/>
      <c r="EL144" s="451">
        <f>SUM(CD144:DW144)</f>
        <v>469</v>
      </c>
      <c r="EM144" s="455"/>
      <c r="EN144" s="451"/>
      <c r="EO144" s="13"/>
      <c r="ER144" s="14"/>
      <c r="ES144" s="14"/>
    </row>
    <row r="145" spans="4:149" ht="12.75" customHeight="1" x14ac:dyDescent="0.2">
      <c r="D145" s="13" t="s">
        <v>350</v>
      </c>
      <c r="F145" s="385"/>
      <c r="G145" s="463">
        <v>0</v>
      </c>
      <c r="H145" s="464"/>
      <c r="I145" s="451"/>
      <c r="J145" s="452"/>
      <c r="K145" s="465"/>
      <c r="L145" s="463">
        <v>0</v>
      </c>
      <c r="M145" s="464"/>
      <c r="N145" s="451"/>
      <c r="O145" s="452"/>
      <c r="P145" s="465"/>
      <c r="Q145" s="463">
        <v>0</v>
      </c>
      <c r="R145" s="464"/>
      <c r="S145" s="451"/>
      <c r="T145" s="452"/>
      <c r="U145" s="465"/>
      <c r="V145" s="463">
        <v>0</v>
      </c>
      <c r="W145" s="464"/>
      <c r="X145" s="451"/>
      <c r="Y145" s="452"/>
      <c r="Z145" s="465"/>
      <c r="AA145" s="463">
        <v>0</v>
      </c>
      <c r="AB145" s="464"/>
      <c r="AC145" s="451"/>
      <c r="AD145" s="452"/>
      <c r="AE145" s="465"/>
      <c r="AF145" s="463">
        <v>0</v>
      </c>
      <c r="AG145" s="464"/>
      <c r="AH145" s="451"/>
      <c r="AI145" s="452"/>
      <c r="AJ145" s="465"/>
      <c r="AK145" s="463">
        <v>0</v>
      </c>
      <c r="AL145" s="464"/>
      <c r="AM145" s="451"/>
      <c r="AN145" s="452"/>
      <c r="AO145" s="465"/>
      <c r="AP145" s="463">
        <v>0</v>
      </c>
      <c r="AQ145" s="464"/>
      <c r="AR145" s="451"/>
      <c r="AS145" s="452"/>
      <c r="AT145" s="465"/>
      <c r="AU145" s="463">
        <v>0</v>
      </c>
      <c r="AV145" s="464"/>
      <c r="AW145" s="451"/>
      <c r="AX145" s="452"/>
      <c r="AY145" s="465"/>
      <c r="AZ145" s="463">
        <v>0</v>
      </c>
      <c r="BA145" s="464"/>
      <c r="BB145" s="451"/>
      <c r="BC145" s="452"/>
      <c r="BD145" s="465"/>
      <c r="BE145" s="463">
        <v>0</v>
      </c>
      <c r="BF145" s="464"/>
      <c r="BG145" s="451"/>
      <c r="BH145" s="452"/>
      <c r="BI145" s="465"/>
      <c r="BJ145" s="463">
        <v>0</v>
      </c>
      <c r="BK145" s="464"/>
      <c r="BL145" s="451"/>
      <c r="BM145" s="452"/>
      <c r="BN145" s="465"/>
      <c r="BO145" s="463">
        <v>0</v>
      </c>
      <c r="BP145" s="464"/>
      <c r="BQ145" s="451"/>
      <c r="BR145" s="452"/>
      <c r="BS145" s="465"/>
      <c r="BT145" s="463">
        <f>SUM(L145:BO145)</f>
        <v>0</v>
      </c>
      <c r="BU145" s="464"/>
      <c r="BV145" s="451"/>
      <c r="BW145" s="452"/>
      <c r="BX145" s="465"/>
      <c r="BY145" s="463">
        <v>0</v>
      </c>
      <c r="BZ145" s="464"/>
      <c r="CA145" s="451"/>
      <c r="CB145" s="452"/>
      <c r="CC145" s="465"/>
      <c r="CD145" s="463">
        <v>0</v>
      </c>
      <c r="CE145" s="464"/>
      <c r="CF145" s="451"/>
      <c r="CG145" s="452"/>
      <c r="CH145" s="465"/>
      <c r="CI145" s="463">
        <v>0</v>
      </c>
      <c r="CJ145" s="464"/>
      <c r="CK145" s="451"/>
      <c r="CL145" s="452"/>
      <c r="CM145" s="465"/>
      <c r="CN145" s="463">
        <v>0</v>
      </c>
      <c r="CO145" s="464"/>
      <c r="CP145" s="451"/>
      <c r="CQ145" s="452"/>
      <c r="CR145" s="465"/>
      <c r="CS145" s="463">
        <v>0</v>
      </c>
      <c r="CT145" s="464"/>
      <c r="CU145" s="451"/>
      <c r="CV145" s="452"/>
      <c r="CW145" s="465"/>
      <c r="CX145" s="463">
        <v>0</v>
      </c>
      <c r="CY145" s="464"/>
      <c r="CZ145" s="451"/>
      <c r="DA145" s="452"/>
      <c r="DB145" s="465"/>
      <c r="DC145" s="463">
        <v>0</v>
      </c>
      <c r="DD145" s="464"/>
      <c r="DE145" s="451"/>
      <c r="DF145" s="452"/>
      <c r="DG145" s="465"/>
      <c r="DH145" s="463">
        <v>0</v>
      </c>
      <c r="DI145" s="464"/>
      <c r="DJ145" s="451"/>
      <c r="DK145" s="452"/>
      <c r="DL145" s="465"/>
      <c r="DM145" s="463">
        <v>0</v>
      </c>
      <c r="DN145" s="464"/>
      <c r="DO145" s="451"/>
      <c r="DP145" s="452"/>
      <c r="DQ145" s="465"/>
      <c r="DR145" s="463">
        <v>0</v>
      </c>
      <c r="DS145" s="464"/>
      <c r="DT145" s="451"/>
      <c r="DU145" s="452"/>
      <c r="DV145" s="465"/>
      <c r="DW145" s="463">
        <v>0</v>
      </c>
      <c r="DX145" s="464"/>
      <c r="DY145" s="451"/>
      <c r="DZ145" s="452"/>
      <c r="EA145" s="465"/>
      <c r="EB145" s="463">
        <v>0</v>
      </c>
      <c r="EC145" s="464"/>
      <c r="ED145" s="451"/>
      <c r="EE145" s="452"/>
      <c r="EF145" s="465"/>
      <c r="EG145" s="463">
        <v>0</v>
      </c>
      <c r="EH145" s="464"/>
      <c r="EI145" s="451"/>
      <c r="EJ145" s="452"/>
      <c r="EK145" s="465"/>
      <c r="EL145" s="463">
        <f>SUM(CD145:DW145)</f>
        <v>0</v>
      </c>
      <c r="EM145" s="464"/>
      <c r="EN145" s="451"/>
      <c r="EO145" s="13"/>
      <c r="ER145" s="14"/>
      <c r="ES145" s="14"/>
    </row>
    <row r="146" spans="4:149" ht="12.75" customHeight="1" x14ac:dyDescent="0.2">
      <c r="D146" s="13"/>
      <c r="G146" s="451"/>
      <c r="H146" s="451"/>
      <c r="I146" s="451"/>
      <c r="J146" s="452"/>
      <c r="K146" s="451"/>
      <c r="L146" s="451"/>
      <c r="M146" s="451"/>
      <c r="N146" s="451"/>
      <c r="O146" s="452"/>
      <c r="P146" s="451"/>
      <c r="Q146" s="451"/>
      <c r="R146" s="451"/>
      <c r="S146" s="451"/>
      <c r="T146" s="452"/>
      <c r="U146" s="451"/>
      <c r="V146" s="451"/>
      <c r="W146" s="451"/>
      <c r="X146" s="451"/>
      <c r="Y146" s="452"/>
      <c r="Z146" s="451"/>
      <c r="AA146" s="451"/>
      <c r="AB146" s="451"/>
      <c r="AC146" s="451"/>
      <c r="AD146" s="452"/>
      <c r="AE146" s="451"/>
      <c r="AF146" s="451"/>
      <c r="AG146" s="451"/>
      <c r="AH146" s="451"/>
      <c r="AI146" s="452"/>
      <c r="AJ146" s="451"/>
      <c r="AK146" s="451"/>
      <c r="AL146" s="451"/>
      <c r="AM146" s="451"/>
      <c r="AN146" s="452"/>
      <c r="AO146" s="451"/>
      <c r="AP146" s="451"/>
      <c r="AQ146" s="451"/>
      <c r="AR146" s="451"/>
      <c r="AS146" s="452"/>
      <c r="AT146" s="451"/>
      <c r="AU146" s="451"/>
      <c r="AV146" s="451"/>
      <c r="AW146" s="451"/>
      <c r="AX146" s="452"/>
      <c r="AY146" s="451"/>
      <c r="AZ146" s="451"/>
      <c r="BA146" s="451"/>
      <c r="BB146" s="451"/>
      <c r="BC146" s="452"/>
      <c r="BD146" s="451"/>
      <c r="BE146" s="451"/>
      <c r="BF146" s="451"/>
      <c r="BG146" s="451"/>
      <c r="BH146" s="452"/>
      <c r="BI146" s="451"/>
      <c r="BJ146" s="451"/>
      <c r="BK146" s="451"/>
      <c r="BL146" s="451"/>
      <c r="BM146" s="452"/>
      <c r="BN146" s="451"/>
      <c r="BO146" s="451"/>
      <c r="BP146" s="451"/>
      <c r="BQ146" s="451"/>
      <c r="BR146" s="452"/>
      <c r="BS146" s="451"/>
      <c r="BT146" s="451"/>
      <c r="BU146" s="451"/>
      <c r="BV146" s="451"/>
      <c r="BW146" s="452"/>
      <c r="BX146" s="451"/>
      <c r="BY146" s="451"/>
      <c r="BZ146" s="451"/>
      <c r="CA146" s="451"/>
      <c r="CB146" s="452"/>
      <c r="CC146" s="451"/>
      <c r="CD146" s="451"/>
      <c r="CE146" s="451"/>
      <c r="CF146" s="451"/>
      <c r="CG146" s="452"/>
      <c r="CH146" s="451"/>
      <c r="CI146" s="451"/>
      <c r="CJ146" s="451"/>
      <c r="CK146" s="451"/>
      <c r="CL146" s="452"/>
      <c r="CM146" s="451"/>
      <c r="CN146" s="451"/>
      <c r="CO146" s="451"/>
      <c r="CP146" s="451"/>
      <c r="CQ146" s="452"/>
      <c r="CR146" s="451"/>
      <c r="CS146" s="451"/>
      <c r="CT146" s="451"/>
      <c r="CU146" s="451"/>
      <c r="CV146" s="452"/>
      <c r="CW146" s="451"/>
      <c r="CX146" s="451"/>
      <c r="CY146" s="451"/>
      <c r="CZ146" s="451"/>
      <c r="DA146" s="452"/>
      <c r="DB146" s="451"/>
      <c r="DC146" s="451"/>
      <c r="DD146" s="451"/>
      <c r="DE146" s="451"/>
      <c r="DF146" s="452"/>
      <c r="DG146" s="451"/>
      <c r="DH146" s="451"/>
      <c r="DI146" s="451"/>
      <c r="DJ146" s="451"/>
      <c r="DK146" s="452"/>
      <c r="DL146" s="451"/>
      <c r="DM146" s="451"/>
      <c r="DN146" s="451"/>
      <c r="DO146" s="451"/>
      <c r="DP146" s="452"/>
      <c r="DQ146" s="451"/>
      <c r="DR146" s="451"/>
      <c r="DS146" s="451"/>
      <c r="DT146" s="451"/>
      <c r="DU146" s="452"/>
      <c r="DV146" s="451"/>
      <c r="DW146" s="451"/>
      <c r="DX146" s="451"/>
      <c r="DY146" s="451"/>
      <c r="DZ146" s="452"/>
      <c r="EA146" s="451"/>
      <c r="EB146" s="451"/>
      <c r="EC146" s="451"/>
      <c r="ED146" s="451"/>
      <c r="EE146" s="452"/>
      <c r="EF146" s="451"/>
      <c r="EG146" s="451"/>
      <c r="EH146" s="451"/>
      <c r="EI146" s="451"/>
      <c r="EJ146" s="452"/>
      <c r="EK146" s="451"/>
      <c r="EL146" s="451"/>
      <c r="EM146" s="451"/>
      <c r="EN146" s="451"/>
      <c r="EO146" s="13"/>
      <c r="ER146" s="14"/>
      <c r="ES146" s="14"/>
    </row>
    <row r="147" spans="4:149" ht="12.75" customHeight="1" x14ac:dyDescent="0.2">
      <c r="D147" s="13" t="s">
        <v>375</v>
      </c>
      <c r="G147" s="451">
        <f>SUM(G148:G150)</f>
        <v>0</v>
      </c>
      <c r="H147" s="451"/>
      <c r="I147" s="451"/>
      <c r="J147" s="452"/>
      <c r="K147" s="451"/>
      <c r="L147" s="451">
        <f>SUM(L148:L150)</f>
        <v>5260000</v>
      </c>
      <c r="M147" s="451"/>
      <c r="N147" s="451"/>
      <c r="O147" s="452"/>
      <c r="P147" s="451"/>
      <c r="Q147" s="451">
        <f>SUM(Q148:Q150)</f>
        <v>6040000</v>
      </c>
      <c r="R147" s="451"/>
      <c r="S147" s="451"/>
      <c r="T147" s="452"/>
      <c r="U147" s="451"/>
      <c r="V147" s="451">
        <f>SUM(V148:V150)</f>
        <v>0</v>
      </c>
      <c r="W147" s="451"/>
      <c r="X147" s="451"/>
      <c r="Y147" s="452"/>
      <c r="Z147" s="451"/>
      <c r="AA147" s="451">
        <f>SUM(AA148:AA150)</f>
        <v>0</v>
      </c>
      <c r="AB147" s="451"/>
      <c r="AC147" s="451"/>
      <c r="AD147" s="452"/>
      <c r="AE147" s="451"/>
      <c r="AF147" s="451">
        <f>SUM(AF148:AF150)</f>
        <v>0</v>
      </c>
      <c r="AG147" s="451"/>
      <c r="AH147" s="451"/>
      <c r="AI147" s="452"/>
      <c r="AJ147" s="451"/>
      <c r="AK147" s="451">
        <f>SUM(AK148:AK150)</f>
        <v>0</v>
      </c>
      <c r="AL147" s="451"/>
      <c r="AM147" s="451"/>
      <c r="AN147" s="452"/>
      <c r="AO147" s="451"/>
      <c r="AP147" s="451">
        <f>SUM(AP148:AP150)</f>
        <v>0</v>
      </c>
      <c r="AQ147" s="451"/>
      <c r="AR147" s="451"/>
      <c r="AS147" s="452"/>
      <c r="AT147" s="451"/>
      <c r="AU147" s="451">
        <f>SUM(AU148:AU150)</f>
        <v>0</v>
      </c>
      <c r="AV147" s="451"/>
      <c r="AW147" s="451"/>
      <c r="AX147" s="452"/>
      <c r="AY147" s="451"/>
      <c r="AZ147" s="451">
        <f>SUM(AZ148:AZ150)</f>
        <v>0</v>
      </c>
      <c r="BA147" s="451"/>
      <c r="BB147" s="451"/>
      <c r="BC147" s="452"/>
      <c r="BD147" s="451"/>
      <c r="BE147" s="451">
        <f>SUM(BE148:BE150)</f>
        <v>0</v>
      </c>
      <c r="BF147" s="451"/>
      <c r="BG147" s="451"/>
      <c r="BH147" s="452"/>
      <c r="BI147" s="451"/>
      <c r="BJ147" s="451">
        <f>SUM(BJ148:BJ150)</f>
        <v>0</v>
      </c>
      <c r="BK147" s="451"/>
      <c r="BL147" s="451"/>
      <c r="BM147" s="452"/>
      <c r="BN147" s="451"/>
      <c r="BO147" s="451">
        <f>SUM(BO148:BO150)</f>
        <v>0</v>
      </c>
      <c r="BP147" s="451"/>
      <c r="BQ147" s="451"/>
      <c r="BR147" s="452"/>
      <c r="BS147" s="451"/>
      <c r="BT147" s="451">
        <f>SUM(BT148:BT150)</f>
        <v>11300000</v>
      </c>
      <c r="BU147" s="451"/>
      <c r="BV147" s="451"/>
      <c r="BW147" s="452"/>
      <c r="BX147" s="451"/>
      <c r="BY147" s="451">
        <f>SUM(BY148:BY150)</f>
        <v>24103092</v>
      </c>
      <c r="BZ147" s="451"/>
      <c r="CA147" s="451"/>
      <c r="CB147" s="452"/>
      <c r="CC147" s="451"/>
      <c r="CD147" s="451">
        <f>SUM(CD148:CD150)</f>
        <v>2541000</v>
      </c>
      <c r="CE147" s="451"/>
      <c r="CF147" s="451"/>
      <c r="CG147" s="452"/>
      <c r="CH147" s="451"/>
      <c r="CI147" s="451">
        <f>SUM(CI148:CI150)</f>
        <v>5976092</v>
      </c>
      <c r="CJ147" s="451"/>
      <c r="CK147" s="451"/>
      <c r="CL147" s="452"/>
      <c r="CM147" s="451"/>
      <c r="CN147" s="451">
        <f>SUM(CN148:CN150)</f>
        <v>496000</v>
      </c>
      <c r="CO147" s="451"/>
      <c r="CP147" s="451"/>
      <c r="CQ147" s="452"/>
      <c r="CR147" s="451"/>
      <c r="CS147" s="451">
        <f>SUM(CS148:CS150)</f>
        <v>1653000</v>
      </c>
      <c r="CT147" s="451"/>
      <c r="CU147" s="451"/>
      <c r="CV147" s="452"/>
      <c r="CW147" s="451"/>
      <c r="CX147" s="451">
        <f>SUM(CX148:CX150)</f>
        <v>0</v>
      </c>
      <c r="CY147" s="451"/>
      <c r="CZ147" s="451"/>
      <c r="DA147" s="452"/>
      <c r="DB147" s="451"/>
      <c r="DC147" s="451">
        <f>SUM(DC148:DC150)</f>
        <v>3238000</v>
      </c>
      <c r="DD147" s="451"/>
      <c r="DE147" s="451"/>
      <c r="DF147" s="452"/>
      <c r="DG147" s="451"/>
      <c r="DH147" s="451">
        <f>SUM(DH148:DH150)</f>
        <v>4911000</v>
      </c>
      <c r="DI147" s="451"/>
      <c r="DJ147" s="451"/>
      <c r="DK147" s="452"/>
      <c r="DL147" s="451"/>
      <c r="DM147" s="451">
        <f>SUM(DM148:DM150)</f>
        <v>1510000</v>
      </c>
      <c r="DN147" s="451"/>
      <c r="DO147" s="451"/>
      <c r="DP147" s="452"/>
      <c r="DQ147" s="451"/>
      <c r="DR147" s="451">
        <f>SUM(DR148:DR150)</f>
        <v>3778000</v>
      </c>
      <c r="DS147" s="451"/>
      <c r="DT147" s="451"/>
      <c r="DU147" s="452"/>
      <c r="DV147" s="451"/>
      <c r="DW147" s="451">
        <f>SUM(DW148:DW150)</f>
        <v>0</v>
      </c>
      <c r="DX147" s="451"/>
      <c r="DY147" s="451"/>
      <c r="DZ147" s="452"/>
      <c r="EA147" s="451"/>
      <c r="EB147" s="451">
        <f>SUM(EB148:EB150)</f>
        <v>0</v>
      </c>
      <c r="EC147" s="451"/>
      <c r="ED147" s="451"/>
      <c r="EE147" s="452"/>
      <c r="EF147" s="451"/>
      <c r="EG147" s="451">
        <f>SUM(EG148:EG150)</f>
        <v>0</v>
      </c>
      <c r="EH147" s="451"/>
      <c r="EI147" s="451"/>
      <c r="EJ147" s="452"/>
      <c r="EK147" s="451"/>
      <c r="EL147" s="451">
        <f>SUM(EL148:EL150)</f>
        <v>24103092</v>
      </c>
      <c r="EM147" s="451"/>
      <c r="EN147" s="451"/>
      <c r="EO147" s="13"/>
      <c r="ER147" s="14"/>
      <c r="ES147" s="14"/>
    </row>
    <row r="148" spans="4:149" ht="12.75" customHeight="1" x14ac:dyDescent="0.2">
      <c r="D148" s="13" t="s">
        <v>347</v>
      </c>
      <c r="F148" s="374"/>
      <c r="G148" s="449">
        <v>0</v>
      </c>
      <c r="H148" s="450"/>
      <c r="I148" s="451"/>
      <c r="J148" s="452"/>
      <c r="K148" s="453"/>
      <c r="L148" s="449">
        <f>5260000+82405</f>
        <v>5342405</v>
      </c>
      <c r="M148" s="450"/>
      <c r="N148" s="451"/>
      <c r="O148" s="452"/>
      <c r="P148" s="453"/>
      <c r="Q148" s="449">
        <f>6040000+364741</f>
        <v>6404741</v>
      </c>
      <c r="R148" s="450"/>
      <c r="S148" s="451"/>
      <c r="T148" s="452"/>
      <c r="U148" s="453"/>
      <c r="V148" s="449">
        <v>0</v>
      </c>
      <c r="W148" s="450"/>
      <c r="X148" s="451"/>
      <c r="Y148" s="452"/>
      <c r="Z148" s="453"/>
      <c r="AA148" s="449">
        <v>0</v>
      </c>
      <c r="AB148" s="450"/>
      <c r="AC148" s="451"/>
      <c r="AD148" s="452"/>
      <c r="AE148" s="453"/>
      <c r="AF148" s="449">
        <v>0</v>
      </c>
      <c r="AG148" s="450"/>
      <c r="AH148" s="451"/>
      <c r="AI148" s="452"/>
      <c r="AJ148" s="453"/>
      <c r="AK148" s="449">
        <v>0</v>
      </c>
      <c r="AL148" s="450"/>
      <c r="AM148" s="451"/>
      <c r="AN148" s="452"/>
      <c r="AO148" s="453"/>
      <c r="AP148" s="449">
        <v>0</v>
      </c>
      <c r="AQ148" s="450"/>
      <c r="AR148" s="451"/>
      <c r="AS148" s="452"/>
      <c r="AT148" s="453"/>
      <c r="AU148" s="449">
        <v>0</v>
      </c>
      <c r="AV148" s="450"/>
      <c r="AW148" s="451"/>
      <c r="AX148" s="452"/>
      <c r="AY148" s="453"/>
      <c r="AZ148" s="449">
        <v>0</v>
      </c>
      <c r="BA148" s="450"/>
      <c r="BB148" s="451"/>
      <c r="BC148" s="452"/>
      <c r="BD148" s="453"/>
      <c r="BE148" s="449">
        <v>0</v>
      </c>
      <c r="BF148" s="450"/>
      <c r="BG148" s="451"/>
      <c r="BH148" s="452"/>
      <c r="BI148" s="453"/>
      <c r="BJ148" s="449">
        <v>0</v>
      </c>
      <c r="BK148" s="450"/>
      <c r="BL148" s="451"/>
      <c r="BM148" s="452"/>
      <c r="BN148" s="453"/>
      <c r="BO148" s="449">
        <v>0</v>
      </c>
      <c r="BP148" s="450"/>
      <c r="BQ148" s="451"/>
      <c r="BR148" s="452"/>
      <c r="BS148" s="453"/>
      <c r="BT148" s="449">
        <f>SUM(L148:BO148)</f>
        <v>11747146</v>
      </c>
      <c r="BU148" s="450"/>
      <c r="BV148" s="451"/>
      <c r="BW148" s="452"/>
      <c r="BX148" s="453"/>
      <c r="BY148" s="449">
        <v>24337729</v>
      </c>
      <c r="BZ148" s="450"/>
      <c r="CA148" s="451"/>
      <c r="CB148" s="452"/>
      <c r="CC148" s="453"/>
      <c r="CD148" s="449">
        <f>2541000+10556</f>
        <v>2551556</v>
      </c>
      <c r="CE148" s="450"/>
      <c r="CF148" s="451"/>
      <c r="CG148" s="452"/>
      <c r="CH148" s="453"/>
      <c r="CI148" s="449">
        <f>5976092-6+24173</f>
        <v>6000259</v>
      </c>
      <c r="CJ148" s="450"/>
      <c r="CK148" s="451"/>
      <c r="CL148" s="452"/>
      <c r="CM148" s="453"/>
      <c r="CN148" s="449">
        <f>496000+3328</f>
        <v>499328</v>
      </c>
      <c r="CO148" s="450"/>
      <c r="CP148" s="451"/>
      <c r="CQ148" s="452"/>
      <c r="CR148" s="453"/>
      <c r="CS148" s="449">
        <f>1676387</f>
        <v>1676387</v>
      </c>
      <c r="CT148" s="450"/>
      <c r="CU148" s="451"/>
      <c r="CV148" s="452"/>
      <c r="CW148" s="453"/>
      <c r="CX148" s="449">
        <v>0</v>
      </c>
      <c r="CY148" s="450"/>
      <c r="CZ148" s="451"/>
      <c r="DA148" s="452"/>
      <c r="DB148" s="453"/>
      <c r="DC148" s="449">
        <f>3238000+44207</f>
        <v>3282207</v>
      </c>
      <c r="DD148" s="450"/>
      <c r="DE148" s="451"/>
      <c r="DF148" s="452"/>
      <c r="DG148" s="453"/>
      <c r="DH148" s="449">
        <f>4911000+54544</f>
        <v>4965544</v>
      </c>
      <c r="DI148" s="450"/>
      <c r="DJ148" s="451"/>
      <c r="DK148" s="452"/>
      <c r="DL148" s="453"/>
      <c r="DM148" s="449">
        <f>1510000+21022</f>
        <v>1531022</v>
      </c>
      <c r="DN148" s="450"/>
      <c r="DO148" s="451"/>
      <c r="DP148" s="452"/>
      <c r="DQ148" s="453"/>
      <c r="DR148" s="449">
        <f>3778000+53426</f>
        <v>3831426</v>
      </c>
      <c r="DS148" s="450"/>
      <c r="DT148" s="451"/>
      <c r="DU148" s="452"/>
      <c r="DV148" s="453"/>
      <c r="DW148" s="449">
        <v>0</v>
      </c>
      <c r="DX148" s="450"/>
      <c r="DY148" s="451"/>
      <c r="DZ148" s="452"/>
      <c r="EA148" s="453"/>
      <c r="EB148" s="449">
        <v>0</v>
      </c>
      <c r="EC148" s="450"/>
      <c r="ED148" s="451"/>
      <c r="EE148" s="452"/>
      <c r="EF148" s="453"/>
      <c r="EG148" s="449">
        <v>0</v>
      </c>
      <c r="EH148" s="450"/>
      <c r="EI148" s="451"/>
      <c r="EJ148" s="452"/>
      <c r="EK148" s="453"/>
      <c r="EL148" s="449">
        <f>SUM(CD148:DW148)</f>
        <v>24337729</v>
      </c>
      <c r="EM148" s="450"/>
      <c r="EN148" s="451"/>
      <c r="EO148" s="13"/>
      <c r="ER148" s="14"/>
      <c r="ES148" s="14"/>
    </row>
    <row r="149" spans="4:149" ht="12.75" customHeight="1" x14ac:dyDescent="0.2">
      <c r="D149" s="13" t="s">
        <v>349</v>
      </c>
      <c r="F149" s="198"/>
      <c r="G149" s="451">
        <v>0</v>
      </c>
      <c r="H149" s="455"/>
      <c r="I149" s="451"/>
      <c r="J149" s="452"/>
      <c r="K149" s="452"/>
      <c r="L149" s="451">
        <v>0</v>
      </c>
      <c r="M149" s="455"/>
      <c r="N149" s="451"/>
      <c r="O149" s="452"/>
      <c r="P149" s="452"/>
      <c r="Q149" s="451">
        <v>0</v>
      </c>
      <c r="R149" s="455"/>
      <c r="S149" s="451"/>
      <c r="T149" s="452"/>
      <c r="U149" s="452"/>
      <c r="V149" s="451">
        <v>0</v>
      </c>
      <c r="W149" s="455"/>
      <c r="X149" s="451"/>
      <c r="Y149" s="452"/>
      <c r="Z149" s="452"/>
      <c r="AA149" s="451">
        <v>0</v>
      </c>
      <c r="AB149" s="455"/>
      <c r="AC149" s="451"/>
      <c r="AD149" s="452"/>
      <c r="AE149" s="452"/>
      <c r="AF149" s="451">
        <v>0</v>
      </c>
      <c r="AG149" s="455"/>
      <c r="AH149" s="451"/>
      <c r="AI149" s="452"/>
      <c r="AJ149" s="452"/>
      <c r="AK149" s="451">
        <v>0</v>
      </c>
      <c r="AL149" s="455"/>
      <c r="AM149" s="451"/>
      <c r="AN149" s="452"/>
      <c r="AO149" s="452"/>
      <c r="AP149" s="451">
        <v>0</v>
      </c>
      <c r="AQ149" s="455"/>
      <c r="AR149" s="451"/>
      <c r="AS149" s="452"/>
      <c r="AT149" s="452"/>
      <c r="AU149" s="451">
        <v>0</v>
      </c>
      <c r="AV149" s="455"/>
      <c r="AW149" s="451"/>
      <c r="AX149" s="452"/>
      <c r="AY149" s="452"/>
      <c r="AZ149" s="451">
        <v>0</v>
      </c>
      <c r="BA149" s="455"/>
      <c r="BB149" s="451"/>
      <c r="BC149" s="452"/>
      <c r="BD149" s="452"/>
      <c r="BE149" s="451">
        <v>0</v>
      </c>
      <c r="BF149" s="455"/>
      <c r="BG149" s="451"/>
      <c r="BH149" s="452"/>
      <c r="BI149" s="452"/>
      <c r="BJ149" s="451">
        <v>0</v>
      </c>
      <c r="BK149" s="455"/>
      <c r="BL149" s="451"/>
      <c r="BM149" s="452"/>
      <c r="BN149" s="452"/>
      <c r="BO149" s="451">
        <v>0</v>
      </c>
      <c r="BP149" s="455"/>
      <c r="BQ149" s="451"/>
      <c r="BR149" s="452"/>
      <c r="BS149" s="452"/>
      <c r="BT149" s="451">
        <f>SUM(L149:BO149)</f>
        <v>0</v>
      </c>
      <c r="BU149" s="455"/>
      <c r="BV149" s="451"/>
      <c r="BW149" s="452"/>
      <c r="BX149" s="452"/>
      <c r="BY149" s="451">
        <v>6</v>
      </c>
      <c r="BZ149" s="455"/>
      <c r="CA149" s="451"/>
      <c r="CB149" s="452"/>
      <c r="CC149" s="452"/>
      <c r="CD149" s="451">
        <v>0</v>
      </c>
      <c r="CE149" s="455"/>
      <c r="CF149" s="451"/>
      <c r="CG149" s="452"/>
      <c r="CH149" s="452"/>
      <c r="CI149" s="451">
        <v>6</v>
      </c>
      <c r="CJ149" s="455"/>
      <c r="CK149" s="451"/>
      <c r="CL149" s="452"/>
      <c r="CM149" s="452"/>
      <c r="CN149" s="451">
        <v>0</v>
      </c>
      <c r="CO149" s="455"/>
      <c r="CP149" s="451"/>
      <c r="CQ149" s="452"/>
      <c r="CR149" s="452"/>
      <c r="CS149" s="451">
        <v>0</v>
      </c>
      <c r="CT149" s="455"/>
      <c r="CU149" s="451"/>
      <c r="CV149" s="452"/>
      <c r="CW149" s="452"/>
      <c r="CX149" s="451">
        <v>0</v>
      </c>
      <c r="CY149" s="455"/>
      <c r="CZ149" s="451"/>
      <c r="DA149" s="452"/>
      <c r="DB149" s="452"/>
      <c r="DC149" s="451">
        <v>0</v>
      </c>
      <c r="DD149" s="455"/>
      <c r="DE149" s="451"/>
      <c r="DF149" s="452"/>
      <c r="DG149" s="452"/>
      <c r="DH149" s="451">
        <v>0</v>
      </c>
      <c r="DI149" s="455"/>
      <c r="DJ149" s="451"/>
      <c r="DK149" s="452"/>
      <c r="DL149" s="452"/>
      <c r="DM149" s="451">
        <v>0</v>
      </c>
      <c r="DN149" s="455"/>
      <c r="DO149" s="451"/>
      <c r="DP149" s="452"/>
      <c r="DQ149" s="452"/>
      <c r="DR149" s="451">
        <v>0</v>
      </c>
      <c r="DS149" s="455"/>
      <c r="DT149" s="451"/>
      <c r="DU149" s="452"/>
      <c r="DV149" s="452"/>
      <c r="DW149" s="451">
        <v>0</v>
      </c>
      <c r="DX149" s="455"/>
      <c r="DY149" s="451"/>
      <c r="DZ149" s="452"/>
      <c r="EA149" s="452"/>
      <c r="EB149" s="451">
        <v>0</v>
      </c>
      <c r="EC149" s="455"/>
      <c r="ED149" s="451"/>
      <c r="EE149" s="452"/>
      <c r="EF149" s="452"/>
      <c r="EG149" s="451">
        <v>0</v>
      </c>
      <c r="EH149" s="455"/>
      <c r="EI149" s="451"/>
      <c r="EJ149" s="452"/>
      <c r="EK149" s="452"/>
      <c r="EL149" s="451">
        <f>SUM(CD149:DW149)</f>
        <v>6</v>
      </c>
      <c r="EM149" s="455"/>
      <c r="EN149" s="451"/>
      <c r="EO149" s="13"/>
      <c r="ER149" s="14"/>
      <c r="ES149" s="14"/>
    </row>
    <row r="150" spans="4:149" ht="12.75" customHeight="1" x14ac:dyDescent="0.2">
      <c r="D150" s="13" t="s">
        <v>350</v>
      </c>
      <c r="F150" s="385"/>
      <c r="G150" s="463">
        <v>0</v>
      </c>
      <c r="H150" s="464"/>
      <c r="I150" s="451"/>
      <c r="J150" s="452"/>
      <c r="K150" s="465"/>
      <c r="L150" s="463">
        <v>-82405</v>
      </c>
      <c r="M150" s="464"/>
      <c r="N150" s="451"/>
      <c r="O150" s="452"/>
      <c r="P150" s="465"/>
      <c r="Q150" s="463">
        <v>-364741</v>
      </c>
      <c r="R150" s="464"/>
      <c r="S150" s="451"/>
      <c r="T150" s="452"/>
      <c r="U150" s="465"/>
      <c r="V150" s="463">
        <v>0</v>
      </c>
      <c r="W150" s="464"/>
      <c r="X150" s="451"/>
      <c r="Y150" s="452"/>
      <c r="Z150" s="465"/>
      <c r="AA150" s="463">
        <v>0</v>
      </c>
      <c r="AB150" s="464"/>
      <c r="AC150" s="451"/>
      <c r="AD150" s="452"/>
      <c r="AE150" s="465"/>
      <c r="AF150" s="463">
        <v>0</v>
      </c>
      <c r="AG150" s="464"/>
      <c r="AH150" s="451"/>
      <c r="AI150" s="452"/>
      <c r="AJ150" s="465"/>
      <c r="AK150" s="463">
        <v>0</v>
      </c>
      <c r="AL150" s="464"/>
      <c r="AM150" s="451"/>
      <c r="AN150" s="452"/>
      <c r="AO150" s="465"/>
      <c r="AP150" s="463">
        <v>0</v>
      </c>
      <c r="AQ150" s="464"/>
      <c r="AR150" s="451"/>
      <c r="AS150" s="452"/>
      <c r="AT150" s="465"/>
      <c r="AU150" s="463">
        <v>0</v>
      </c>
      <c r="AV150" s="464"/>
      <c r="AW150" s="451"/>
      <c r="AX150" s="452"/>
      <c r="AY150" s="465"/>
      <c r="AZ150" s="463">
        <v>0</v>
      </c>
      <c r="BA150" s="464"/>
      <c r="BB150" s="451"/>
      <c r="BC150" s="452"/>
      <c r="BD150" s="465"/>
      <c r="BE150" s="463">
        <v>0</v>
      </c>
      <c r="BF150" s="464"/>
      <c r="BG150" s="451"/>
      <c r="BH150" s="452"/>
      <c r="BI150" s="465"/>
      <c r="BJ150" s="463">
        <v>0</v>
      </c>
      <c r="BK150" s="464"/>
      <c r="BL150" s="451"/>
      <c r="BM150" s="452"/>
      <c r="BN150" s="465"/>
      <c r="BO150" s="463">
        <v>0</v>
      </c>
      <c r="BP150" s="464"/>
      <c r="BQ150" s="451"/>
      <c r="BR150" s="452"/>
      <c r="BS150" s="465"/>
      <c r="BT150" s="463">
        <f>SUM(L150:BO150)</f>
        <v>-447146</v>
      </c>
      <c r="BU150" s="464"/>
      <c r="BV150" s="451"/>
      <c r="BW150" s="452"/>
      <c r="BX150" s="465"/>
      <c r="BY150" s="463">
        <v>-234643</v>
      </c>
      <c r="BZ150" s="464"/>
      <c r="CA150" s="451"/>
      <c r="CB150" s="452"/>
      <c r="CC150" s="465"/>
      <c r="CD150" s="463">
        <v>-10556</v>
      </c>
      <c r="CE150" s="464"/>
      <c r="CF150" s="451"/>
      <c r="CG150" s="452"/>
      <c r="CH150" s="465"/>
      <c r="CI150" s="463">
        <v>-24173</v>
      </c>
      <c r="CJ150" s="464"/>
      <c r="CK150" s="451"/>
      <c r="CL150" s="452"/>
      <c r="CM150" s="465"/>
      <c r="CN150" s="463">
        <v>-3328</v>
      </c>
      <c r="CO150" s="464"/>
      <c r="CP150" s="451"/>
      <c r="CQ150" s="452"/>
      <c r="CR150" s="465"/>
      <c r="CS150" s="463">
        <v>-23387</v>
      </c>
      <c r="CT150" s="464"/>
      <c r="CU150" s="451"/>
      <c r="CV150" s="452"/>
      <c r="CW150" s="465"/>
      <c r="CX150" s="463">
        <v>0</v>
      </c>
      <c r="CY150" s="464"/>
      <c r="CZ150" s="451"/>
      <c r="DA150" s="452"/>
      <c r="DB150" s="465"/>
      <c r="DC150" s="463">
        <v>-44207</v>
      </c>
      <c r="DD150" s="464"/>
      <c r="DE150" s="451"/>
      <c r="DF150" s="452"/>
      <c r="DG150" s="465"/>
      <c r="DH150" s="463">
        <v>-54544</v>
      </c>
      <c r="DI150" s="464"/>
      <c r="DJ150" s="451"/>
      <c r="DK150" s="452"/>
      <c r="DL150" s="465"/>
      <c r="DM150" s="463">
        <v>-21022</v>
      </c>
      <c r="DN150" s="464"/>
      <c r="DO150" s="451"/>
      <c r="DP150" s="452"/>
      <c r="DQ150" s="465"/>
      <c r="DR150" s="463">
        <v>-53426</v>
      </c>
      <c r="DS150" s="464"/>
      <c r="DT150" s="451"/>
      <c r="DU150" s="452"/>
      <c r="DV150" s="465"/>
      <c r="DW150" s="463">
        <v>0</v>
      </c>
      <c r="DX150" s="464"/>
      <c r="DY150" s="451"/>
      <c r="DZ150" s="452"/>
      <c r="EA150" s="465"/>
      <c r="EB150" s="463">
        <v>0</v>
      </c>
      <c r="EC150" s="464"/>
      <c r="ED150" s="451"/>
      <c r="EE150" s="452"/>
      <c r="EF150" s="465"/>
      <c r="EG150" s="463">
        <v>0</v>
      </c>
      <c r="EH150" s="464"/>
      <c r="EI150" s="451"/>
      <c r="EJ150" s="452"/>
      <c r="EK150" s="465"/>
      <c r="EL150" s="463">
        <f>SUM(CD150:DW150)</f>
        <v>-234643</v>
      </c>
      <c r="EM150" s="464"/>
      <c r="EN150" s="451"/>
      <c r="EO150" s="13"/>
      <c r="ER150" s="14"/>
      <c r="ES150" s="14"/>
    </row>
    <row r="151" spans="4:149" ht="12.75" customHeight="1" x14ac:dyDescent="0.2">
      <c r="D151" s="13"/>
      <c r="G151" s="451"/>
      <c r="H151" s="451"/>
      <c r="I151" s="451"/>
      <c r="J151" s="452"/>
      <c r="K151" s="451"/>
      <c r="L151" s="451"/>
      <c r="M151" s="451"/>
      <c r="N151" s="451"/>
      <c r="O151" s="452"/>
      <c r="P151" s="451"/>
      <c r="Q151" s="451"/>
      <c r="R151" s="451"/>
      <c r="S151" s="451"/>
      <c r="T151" s="452"/>
      <c r="U151" s="451"/>
      <c r="V151" s="451"/>
      <c r="W151" s="451"/>
      <c r="X151" s="451"/>
      <c r="Y151" s="452"/>
      <c r="Z151" s="451"/>
      <c r="AA151" s="451"/>
      <c r="AB151" s="451"/>
      <c r="AC151" s="451"/>
      <c r="AD151" s="452"/>
      <c r="AE151" s="451"/>
      <c r="AF151" s="451"/>
      <c r="AG151" s="451"/>
      <c r="AH151" s="451"/>
      <c r="AI151" s="452"/>
      <c r="AJ151" s="451"/>
      <c r="AK151" s="451"/>
      <c r="AL151" s="451"/>
      <c r="AM151" s="451"/>
      <c r="AN151" s="452"/>
      <c r="AO151" s="451"/>
      <c r="AP151" s="451"/>
      <c r="AQ151" s="451"/>
      <c r="AR151" s="451"/>
      <c r="AS151" s="452"/>
      <c r="AT151" s="451"/>
      <c r="AU151" s="451"/>
      <c r="AV151" s="451"/>
      <c r="AW151" s="451"/>
      <c r="AX151" s="452"/>
      <c r="AY151" s="451"/>
      <c r="AZ151" s="451"/>
      <c r="BA151" s="451"/>
      <c r="BB151" s="451"/>
      <c r="BC151" s="452"/>
      <c r="BD151" s="451"/>
      <c r="BE151" s="451"/>
      <c r="BF151" s="451"/>
      <c r="BG151" s="451"/>
      <c r="BH151" s="452"/>
      <c r="BI151" s="451"/>
      <c r="BJ151" s="451"/>
      <c r="BK151" s="451"/>
      <c r="BL151" s="451"/>
      <c r="BM151" s="452"/>
      <c r="BN151" s="451"/>
      <c r="BO151" s="451"/>
      <c r="BP151" s="451"/>
      <c r="BQ151" s="451"/>
      <c r="BR151" s="452"/>
      <c r="BS151" s="451"/>
      <c r="BT151" s="451"/>
      <c r="BU151" s="451"/>
      <c r="BV151" s="451"/>
      <c r="BW151" s="452"/>
      <c r="BX151" s="451"/>
      <c r="BY151" s="451"/>
      <c r="BZ151" s="451"/>
      <c r="CA151" s="451"/>
      <c r="CB151" s="452"/>
      <c r="CC151" s="451"/>
      <c r="CD151" s="451"/>
      <c r="CE151" s="451"/>
      <c r="CF151" s="451"/>
      <c r="CG151" s="452"/>
      <c r="CH151" s="451"/>
      <c r="CI151" s="451"/>
      <c r="CJ151" s="451"/>
      <c r="CK151" s="451"/>
      <c r="CL151" s="452"/>
      <c r="CM151" s="451"/>
      <c r="CN151" s="451"/>
      <c r="CO151" s="451"/>
      <c r="CP151" s="451"/>
      <c r="CQ151" s="452"/>
      <c r="CR151" s="451"/>
      <c r="CS151" s="451"/>
      <c r="CT151" s="451"/>
      <c r="CU151" s="451"/>
      <c r="CV151" s="452"/>
      <c r="CW151" s="451"/>
      <c r="CX151" s="451"/>
      <c r="CY151" s="451"/>
      <c r="CZ151" s="451"/>
      <c r="DA151" s="452"/>
      <c r="DB151" s="451"/>
      <c r="DC151" s="451"/>
      <c r="DD151" s="451"/>
      <c r="DE151" s="451"/>
      <c r="DF151" s="452"/>
      <c r="DG151" s="451"/>
      <c r="DH151" s="451"/>
      <c r="DI151" s="451"/>
      <c r="DJ151" s="451"/>
      <c r="DK151" s="452"/>
      <c r="DL151" s="451"/>
      <c r="DM151" s="451"/>
      <c r="DN151" s="451"/>
      <c r="DO151" s="451"/>
      <c r="DP151" s="452"/>
      <c r="DQ151" s="451"/>
      <c r="DR151" s="451"/>
      <c r="DS151" s="451"/>
      <c r="DT151" s="451"/>
      <c r="DU151" s="452"/>
      <c r="DV151" s="451"/>
      <c r="DW151" s="451"/>
      <c r="DX151" s="451"/>
      <c r="DY151" s="451"/>
      <c r="DZ151" s="452"/>
      <c r="EA151" s="451"/>
      <c r="EB151" s="451"/>
      <c r="EC151" s="451"/>
      <c r="ED151" s="451"/>
      <c r="EE151" s="452"/>
      <c r="EF151" s="451"/>
      <c r="EG151" s="451"/>
      <c r="EH151" s="451"/>
      <c r="EI151" s="451"/>
      <c r="EJ151" s="452"/>
      <c r="EK151" s="451"/>
      <c r="EL151" s="451"/>
      <c r="EM151" s="451"/>
      <c r="EN151" s="451"/>
      <c r="EO151" s="13"/>
      <c r="ER151" s="14"/>
      <c r="ES151" s="14"/>
    </row>
    <row r="152" spans="4:149" ht="12.75" customHeight="1" x14ac:dyDescent="0.2">
      <c r="D152" s="13" t="s">
        <v>376</v>
      </c>
      <c r="G152" s="451">
        <f>SUM(G153:G155)</f>
        <v>0</v>
      </c>
      <c r="H152" s="451"/>
      <c r="I152" s="451"/>
      <c r="J152" s="452"/>
      <c r="K152" s="451"/>
      <c r="L152" s="451">
        <f>SUM(L153:L155)</f>
        <v>6792000</v>
      </c>
      <c r="M152" s="451"/>
      <c r="N152" s="451"/>
      <c r="O152" s="452"/>
      <c r="P152" s="451"/>
      <c r="Q152" s="451">
        <f>SUM(Q153:Q155)</f>
        <v>11547000</v>
      </c>
      <c r="R152" s="451"/>
      <c r="S152" s="451"/>
      <c r="T152" s="452"/>
      <c r="U152" s="451"/>
      <c r="V152" s="451">
        <f>SUM(V153:V155)</f>
        <v>15028000</v>
      </c>
      <c r="W152" s="451"/>
      <c r="X152" s="451"/>
      <c r="Y152" s="452"/>
      <c r="Z152" s="451"/>
      <c r="AA152" s="451">
        <f>SUM(AA153:AA155)</f>
        <v>14865000</v>
      </c>
      <c r="AB152" s="451"/>
      <c r="AC152" s="451"/>
      <c r="AD152" s="452"/>
      <c r="AE152" s="451"/>
      <c r="AF152" s="451">
        <f>SUM(AF153:AF155)</f>
        <v>2200000</v>
      </c>
      <c r="AG152" s="451"/>
      <c r="AH152" s="451"/>
      <c r="AI152" s="452"/>
      <c r="AJ152" s="451"/>
      <c r="AK152" s="451">
        <f>SUM(AK153:AK155)</f>
        <v>3111000</v>
      </c>
      <c r="AL152" s="451"/>
      <c r="AM152" s="451"/>
      <c r="AN152" s="452"/>
      <c r="AO152" s="451"/>
      <c r="AP152" s="451">
        <f>SUM(AP153:AP155)</f>
        <v>11827000</v>
      </c>
      <c r="AQ152" s="451"/>
      <c r="AR152" s="451"/>
      <c r="AS152" s="452"/>
      <c r="AT152" s="451"/>
      <c r="AU152" s="451">
        <f>SUM(AU153:AU155)</f>
        <v>8851000</v>
      </c>
      <c r="AV152" s="451"/>
      <c r="AW152" s="451"/>
      <c r="AX152" s="452"/>
      <c r="AY152" s="451"/>
      <c r="AZ152" s="451">
        <f>SUM(AZ153:AZ155)</f>
        <v>6551000</v>
      </c>
      <c r="BA152" s="451"/>
      <c r="BB152" s="451"/>
      <c r="BC152" s="452"/>
      <c r="BD152" s="451"/>
      <c r="BE152" s="451">
        <f>SUM(BE153:BE155)</f>
        <v>6603000</v>
      </c>
      <c r="BF152" s="451"/>
      <c r="BG152" s="451"/>
      <c r="BH152" s="452"/>
      <c r="BI152" s="451"/>
      <c r="BJ152" s="451">
        <f>SUM(BJ153:BJ155)</f>
        <v>0</v>
      </c>
      <c r="BK152" s="451"/>
      <c r="BL152" s="451"/>
      <c r="BM152" s="452"/>
      <c r="BN152" s="451"/>
      <c r="BO152" s="451">
        <f>SUM(BO153:BO155)</f>
        <v>0</v>
      </c>
      <c r="BP152" s="451"/>
      <c r="BQ152" s="451"/>
      <c r="BR152" s="452"/>
      <c r="BS152" s="451"/>
      <c r="BT152" s="451">
        <f>SUM(BT153:BT155)</f>
        <v>87375000</v>
      </c>
      <c r="BU152" s="451"/>
      <c r="BV152" s="451"/>
      <c r="BW152" s="452"/>
      <c r="BX152" s="451"/>
      <c r="BY152" s="451">
        <f>SUM(BY153:BY155)</f>
        <v>56753812</v>
      </c>
      <c r="BZ152" s="451"/>
      <c r="CA152" s="451"/>
      <c r="CB152" s="452"/>
      <c r="CC152" s="451"/>
      <c r="CD152" s="451">
        <f>SUM(CD153:CD155)</f>
        <v>3309000</v>
      </c>
      <c r="CE152" s="451"/>
      <c r="CF152" s="451"/>
      <c r="CG152" s="452"/>
      <c r="CH152" s="451"/>
      <c r="CI152" s="451">
        <f>SUM(CI153:CI155)</f>
        <v>4309812</v>
      </c>
      <c r="CJ152" s="451"/>
      <c r="CK152" s="451"/>
      <c r="CL152" s="452"/>
      <c r="CM152" s="451"/>
      <c r="CN152" s="451">
        <f>SUM(CN153:CN155)</f>
        <v>5250000</v>
      </c>
      <c r="CO152" s="451"/>
      <c r="CP152" s="451"/>
      <c r="CQ152" s="452"/>
      <c r="CR152" s="451"/>
      <c r="CS152" s="451">
        <f>SUM(CS153:CS155)</f>
        <v>6123000</v>
      </c>
      <c r="CT152" s="451"/>
      <c r="CU152" s="451"/>
      <c r="CV152" s="452"/>
      <c r="CW152" s="451"/>
      <c r="CX152" s="451">
        <f>SUM(CX153:CX155)</f>
        <v>6039000</v>
      </c>
      <c r="CY152" s="451"/>
      <c r="CZ152" s="451"/>
      <c r="DA152" s="452"/>
      <c r="DB152" s="451"/>
      <c r="DC152" s="451">
        <f>SUM(DC153:DC155)</f>
        <v>2269000</v>
      </c>
      <c r="DD152" s="451"/>
      <c r="DE152" s="451"/>
      <c r="DF152" s="452"/>
      <c r="DG152" s="451"/>
      <c r="DH152" s="451">
        <f>SUM(DH153:DH155)</f>
        <v>2186000</v>
      </c>
      <c r="DI152" s="451"/>
      <c r="DJ152" s="451"/>
      <c r="DK152" s="452"/>
      <c r="DL152" s="451"/>
      <c r="DM152" s="451">
        <f>SUM(DM153:DM155)</f>
        <v>6046000</v>
      </c>
      <c r="DN152" s="451"/>
      <c r="DO152" s="451"/>
      <c r="DP152" s="452"/>
      <c r="DQ152" s="451"/>
      <c r="DR152" s="451">
        <f>SUM(DR153:DR155)</f>
        <v>6796000</v>
      </c>
      <c r="DS152" s="451"/>
      <c r="DT152" s="451"/>
      <c r="DU152" s="452"/>
      <c r="DV152" s="451"/>
      <c r="DW152" s="451">
        <f>SUM(DW153:DW155)</f>
        <v>1510000</v>
      </c>
      <c r="DX152" s="451"/>
      <c r="DY152" s="451"/>
      <c r="DZ152" s="452"/>
      <c r="EA152" s="451"/>
      <c r="EB152" s="451">
        <f>SUM(EB153:EB155)</f>
        <v>6046000</v>
      </c>
      <c r="EC152" s="451"/>
      <c r="ED152" s="451"/>
      <c r="EE152" s="452"/>
      <c r="EF152" s="451"/>
      <c r="EG152" s="451">
        <f>SUM(EG153:EG155)</f>
        <v>6870000</v>
      </c>
      <c r="EH152" s="451"/>
      <c r="EI152" s="451"/>
      <c r="EJ152" s="452"/>
      <c r="EK152" s="451"/>
      <c r="EL152" s="451">
        <f>SUM(EL153:EL155)</f>
        <v>43837812</v>
      </c>
      <c r="EM152" s="451"/>
      <c r="EN152" s="451"/>
      <c r="EO152" s="13"/>
      <c r="ER152" s="14"/>
      <c r="ES152" s="14"/>
    </row>
    <row r="153" spans="4:149" ht="12.75" customHeight="1" x14ac:dyDescent="0.2">
      <c r="D153" s="13" t="s">
        <v>347</v>
      </c>
      <c r="F153" s="374"/>
      <c r="G153" s="449">
        <v>0</v>
      </c>
      <c r="H153" s="450"/>
      <c r="I153" s="451"/>
      <c r="J153" s="452"/>
      <c r="K153" s="453"/>
      <c r="L153" s="449">
        <f>6792000-1194431</f>
        <v>5597569</v>
      </c>
      <c r="M153" s="450"/>
      <c r="N153" s="451"/>
      <c r="O153" s="452"/>
      <c r="P153" s="453"/>
      <c r="Q153" s="449">
        <f>11547000-1251316</f>
        <v>10295684</v>
      </c>
      <c r="R153" s="450"/>
      <c r="S153" s="451"/>
      <c r="T153" s="452"/>
      <c r="U153" s="453"/>
      <c r="V153" s="449">
        <f>15028000-993433</f>
        <v>14034567</v>
      </c>
      <c r="W153" s="450"/>
      <c r="X153" s="451"/>
      <c r="Y153" s="452"/>
      <c r="Z153" s="453"/>
      <c r="AA153" s="449">
        <f>14865000-1307191</f>
        <v>13557809</v>
      </c>
      <c r="AB153" s="450"/>
      <c r="AC153" s="451"/>
      <c r="AD153" s="452"/>
      <c r="AE153" s="453"/>
      <c r="AF153" s="449">
        <f>2200000-172161</f>
        <v>2027839</v>
      </c>
      <c r="AG153" s="450"/>
      <c r="AH153" s="451"/>
      <c r="AI153" s="452"/>
      <c r="AJ153" s="453"/>
      <c r="AK153" s="449">
        <f>3111000-234069</f>
        <v>2876931</v>
      </c>
      <c r="AL153" s="450"/>
      <c r="AM153" s="451"/>
      <c r="AN153" s="452"/>
      <c r="AO153" s="453"/>
      <c r="AP153" s="449">
        <f>11827000-1025025</f>
        <v>10801975</v>
      </c>
      <c r="AQ153" s="450"/>
      <c r="AR153" s="451"/>
      <c r="AS153" s="452"/>
      <c r="AT153" s="453"/>
      <c r="AU153" s="449">
        <f>8851000-578195</f>
        <v>8272805</v>
      </c>
      <c r="AV153" s="450"/>
      <c r="AW153" s="451"/>
      <c r="AX153" s="452"/>
      <c r="AY153" s="453"/>
      <c r="AZ153" s="449">
        <f>6551000-320116</f>
        <v>6230884</v>
      </c>
      <c r="BA153" s="450"/>
      <c r="BB153" s="451"/>
      <c r="BC153" s="452"/>
      <c r="BD153" s="453"/>
      <c r="BE153" s="449">
        <f>6603000-320584</f>
        <v>6282416</v>
      </c>
      <c r="BF153" s="450"/>
      <c r="BG153" s="451"/>
      <c r="BH153" s="452"/>
      <c r="BI153" s="453"/>
      <c r="BJ153" s="449">
        <v>0</v>
      </c>
      <c r="BK153" s="450"/>
      <c r="BL153" s="451"/>
      <c r="BM153" s="452"/>
      <c r="BN153" s="453"/>
      <c r="BO153" s="449">
        <v>0</v>
      </c>
      <c r="BP153" s="450"/>
      <c r="BQ153" s="451"/>
      <c r="BR153" s="452"/>
      <c r="BS153" s="453"/>
      <c r="BT153" s="449">
        <f>SUM(L153:BO153)</f>
        <v>79978479</v>
      </c>
      <c r="BU153" s="450"/>
      <c r="BV153" s="451"/>
      <c r="BW153" s="452"/>
      <c r="BX153" s="453"/>
      <c r="BY153" s="449">
        <v>52436479</v>
      </c>
      <c r="BZ153" s="450"/>
      <c r="CA153" s="451"/>
      <c r="CB153" s="452"/>
      <c r="CC153" s="453"/>
      <c r="CD153" s="449">
        <f>3309000-234758</f>
        <v>3074242</v>
      </c>
      <c r="CE153" s="450"/>
      <c r="CF153" s="451"/>
      <c r="CG153" s="452"/>
      <c r="CH153" s="453"/>
      <c r="CI153" s="449">
        <f>4309812-322734</f>
        <v>3987078</v>
      </c>
      <c r="CJ153" s="450"/>
      <c r="CK153" s="451"/>
      <c r="CL153" s="452"/>
      <c r="CM153" s="453"/>
      <c r="CN153" s="449">
        <f>5250000-363141</f>
        <v>4886859</v>
      </c>
      <c r="CO153" s="450"/>
      <c r="CP153" s="451"/>
      <c r="CQ153" s="452"/>
      <c r="CR153" s="453"/>
      <c r="CS153" s="449">
        <f>6123000-324811</f>
        <v>5798189</v>
      </c>
      <c r="CT153" s="450"/>
      <c r="CU153" s="451"/>
      <c r="CV153" s="452"/>
      <c r="CW153" s="453"/>
      <c r="CX153" s="449">
        <f>6039000-431027</f>
        <v>5607973</v>
      </c>
      <c r="CY153" s="450"/>
      <c r="CZ153" s="451"/>
      <c r="DA153" s="452"/>
      <c r="DB153" s="453"/>
      <c r="DC153" s="449">
        <f>2269000-150922</f>
        <v>2118078</v>
      </c>
      <c r="DD153" s="450"/>
      <c r="DE153" s="451"/>
      <c r="DF153" s="452"/>
      <c r="DG153" s="453"/>
      <c r="DH153" s="449">
        <f>2186000-137762</f>
        <v>2048238</v>
      </c>
      <c r="DI153" s="450"/>
      <c r="DJ153" s="451"/>
      <c r="DK153" s="452"/>
      <c r="DL153" s="453"/>
      <c r="DM153" s="449">
        <f>6046000-410944</f>
        <v>5635056</v>
      </c>
      <c r="DN153" s="450"/>
      <c r="DO153" s="451"/>
      <c r="DP153" s="452"/>
      <c r="DQ153" s="453"/>
      <c r="DR153" s="449">
        <f>6796000-516754</f>
        <v>6279246</v>
      </c>
      <c r="DS153" s="450"/>
      <c r="DT153" s="451"/>
      <c r="DU153" s="452"/>
      <c r="DV153" s="453"/>
      <c r="DW153" s="449">
        <f>1510000-105700</f>
        <v>1404300</v>
      </c>
      <c r="DX153" s="450"/>
      <c r="DY153" s="451"/>
      <c r="DZ153" s="452"/>
      <c r="EA153" s="453"/>
      <c r="EB153" s="449">
        <f>6046000-348463</f>
        <v>5697537</v>
      </c>
      <c r="EC153" s="450"/>
      <c r="ED153" s="451"/>
      <c r="EE153" s="452"/>
      <c r="EF153" s="453"/>
      <c r="EG153" s="449">
        <f>6870000-970317</f>
        <v>5899683</v>
      </c>
      <c r="EH153" s="450"/>
      <c r="EI153" s="451"/>
      <c r="EJ153" s="452"/>
      <c r="EK153" s="453"/>
      <c r="EL153" s="449">
        <f>SUM(CD153:DW153)</f>
        <v>40839259</v>
      </c>
      <c r="EM153" s="450"/>
      <c r="EN153" s="451"/>
      <c r="EO153" s="13"/>
      <c r="ER153" s="14"/>
      <c r="ES153" s="14"/>
    </row>
    <row r="154" spans="4:149" ht="12.75" customHeight="1" x14ac:dyDescent="0.2">
      <c r="D154" s="13" t="s">
        <v>349</v>
      </c>
      <c r="F154" s="198"/>
      <c r="G154" s="451">
        <v>0</v>
      </c>
      <c r="H154" s="455"/>
      <c r="I154" s="451"/>
      <c r="J154" s="452"/>
      <c r="K154" s="452"/>
      <c r="L154" s="451">
        <v>1194431</v>
      </c>
      <c r="M154" s="455"/>
      <c r="N154" s="451"/>
      <c r="O154" s="452"/>
      <c r="P154" s="452"/>
      <c r="Q154" s="451">
        <v>1251316</v>
      </c>
      <c r="R154" s="455"/>
      <c r="S154" s="451"/>
      <c r="T154" s="452"/>
      <c r="U154" s="452"/>
      <c r="V154" s="451">
        <v>993433</v>
      </c>
      <c r="W154" s="455"/>
      <c r="X154" s="451"/>
      <c r="Y154" s="452"/>
      <c r="Z154" s="452"/>
      <c r="AA154" s="451">
        <v>1307191</v>
      </c>
      <c r="AB154" s="455"/>
      <c r="AC154" s="451"/>
      <c r="AD154" s="452"/>
      <c r="AE154" s="452"/>
      <c r="AF154" s="451">
        <v>172161</v>
      </c>
      <c r="AG154" s="455"/>
      <c r="AH154" s="451"/>
      <c r="AI154" s="452"/>
      <c r="AJ154" s="452"/>
      <c r="AK154" s="451">
        <v>234069</v>
      </c>
      <c r="AL154" s="455"/>
      <c r="AM154" s="451"/>
      <c r="AN154" s="452"/>
      <c r="AO154" s="452"/>
      <c r="AP154" s="451">
        <v>1025025</v>
      </c>
      <c r="AQ154" s="455"/>
      <c r="AR154" s="451"/>
      <c r="AS154" s="452"/>
      <c r="AT154" s="452"/>
      <c r="AU154" s="451">
        <v>578195</v>
      </c>
      <c r="AV154" s="455"/>
      <c r="AW154" s="451"/>
      <c r="AX154" s="452"/>
      <c r="AY154" s="452"/>
      <c r="AZ154" s="451">
        <v>320116</v>
      </c>
      <c r="BA154" s="455"/>
      <c r="BB154" s="451"/>
      <c r="BC154" s="452"/>
      <c r="BD154" s="452"/>
      <c r="BE154" s="451">
        <v>320584</v>
      </c>
      <c r="BF154" s="455"/>
      <c r="BG154" s="451"/>
      <c r="BH154" s="452"/>
      <c r="BI154" s="452"/>
      <c r="BJ154" s="451">
        <v>0</v>
      </c>
      <c r="BK154" s="455"/>
      <c r="BL154" s="451"/>
      <c r="BM154" s="452"/>
      <c r="BN154" s="452"/>
      <c r="BO154" s="451">
        <v>0</v>
      </c>
      <c r="BP154" s="455"/>
      <c r="BQ154" s="451"/>
      <c r="BR154" s="452"/>
      <c r="BS154" s="452"/>
      <c r="BT154" s="451">
        <f>SUM(L154:BO154)</f>
        <v>7396521</v>
      </c>
      <c r="BU154" s="455"/>
      <c r="BV154" s="451"/>
      <c r="BW154" s="452"/>
      <c r="BX154" s="452"/>
      <c r="BY154" s="451">
        <v>4317333</v>
      </c>
      <c r="BZ154" s="455"/>
      <c r="CA154" s="451"/>
      <c r="CB154" s="452"/>
      <c r="CC154" s="452"/>
      <c r="CD154" s="451">
        <v>234758</v>
      </c>
      <c r="CE154" s="455"/>
      <c r="CF154" s="451"/>
      <c r="CG154" s="452"/>
      <c r="CH154" s="452"/>
      <c r="CI154" s="451">
        <v>322734</v>
      </c>
      <c r="CJ154" s="455"/>
      <c r="CK154" s="451"/>
      <c r="CL154" s="452"/>
      <c r="CM154" s="452"/>
      <c r="CN154" s="451">
        <v>363141</v>
      </c>
      <c r="CO154" s="455"/>
      <c r="CP154" s="451"/>
      <c r="CQ154" s="452"/>
      <c r="CR154" s="452"/>
      <c r="CS154" s="451">
        <v>324811</v>
      </c>
      <c r="CT154" s="455"/>
      <c r="CU154" s="451"/>
      <c r="CV154" s="452"/>
      <c r="CW154" s="452"/>
      <c r="CX154" s="451">
        <v>431027</v>
      </c>
      <c r="CY154" s="455"/>
      <c r="CZ154" s="451"/>
      <c r="DA154" s="452"/>
      <c r="DB154" s="452"/>
      <c r="DC154" s="451">
        <v>150922</v>
      </c>
      <c r="DD154" s="455"/>
      <c r="DE154" s="451"/>
      <c r="DF154" s="452"/>
      <c r="DG154" s="452"/>
      <c r="DH154" s="451">
        <v>137762</v>
      </c>
      <c r="DI154" s="455"/>
      <c r="DJ154" s="451"/>
      <c r="DK154" s="452"/>
      <c r="DL154" s="452"/>
      <c r="DM154" s="451">
        <v>410944</v>
      </c>
      <c r="DN154" s="455"/>
      <c r="DO154" s="451"/>
      <c r="DP154" s="452"/>
      <c r="DQ154" s="452"/>
      <c r="DR154" s="451">
        <v>516754</v>
      </c>
      <c r="DS154" s="455"/>
      <c r="DT154" s="451"/>
      <c r="DU154" s="452"/>
      <c r="DV154" s="452"/>
      <c r="DW154" s="451">
        <v>105700</v>
      </c>
      <c r="DX154" s="455"/>
      <c r="DY154" s="451"/>
      <c r="DZ154" s="452"/>
      <c r="EA154" s="452"/>
      <c r="EB154" s="451">
        <v>348463</v>
      </c>
      <c r="EC154" s="455"/>
      <c r="ED154" s="451"/>
      <c r="EE154" s="452"/>
      <c r="EF154" s="452"/>
      <c r="EG154" s="451">
        <v>970317</v>
      </c>
      <c r="EH154" s="455"/>
      <c r="EI154" s="451"/>
      <c r="EJ154" s="452"/>
      <c r="EK154" s="452"/>
      <c r="EL154" s="451">
        <f>SUM(CD154:DW154)</f>
        <v>2998553</v>
      </c>
      <c r="EM154" s="455"/>
      <c r="EN154" s="451"/>
      <c r="EO154" s="13"/>
      <c r="ER154" s="14"/>
      <c r="ES154" s="14"/>
    </row>
    <row r="155" spans="4:149" ht="12.75" customHeight="1" x14ac:dyDescent="0.2">
      <c r="D155" s="13" t="s">
        <v>350</v>
      </c>
      <c r="F155" s="385"/>
      <c r="G155" s="463">
        <v>0</v>
      </c>
      <c r="H155" s="464"/>
      <c r="I155" s="451"/>
      <c r="J155" s="452"/>
      <c r="K155" s="465"/>
      <c r="L155" s="463">
        <v>0</v>
      </c>
      <c r="M155" s="464"/>
      <c r="N155" s="451"/>
      <c r="O155" s="452"/>
      <c r="P155" s="465"/>
      <c r="Q155" s="463">
        <v>0</v>
      </c>
      <c r="R155" s="464"/>
      <c r="S155" s="451"/>
      <c r="T155" s="452"/>
      <c r="U155" s="465"/>
      <c r="V155" s="463">
        <v>0</v>
      </c>
      <c r="W155" s="464"/>
      <c r="X155" s="451"/>
      <c r="Y155" s="452"/>
      <c r="Z155" s="465"/>
      <c r="AA155" s="463">
        <v>0</v>
      </c>
      <c r="AB155" s="464"/>
      <c r="AC155" s="451"/>
      <c r="AD155" s="452"/>
      <c r="AE155" s="465"/>
      <c r="AF155" s="463">
        <v>0</v>
      </c>
      <c r="AG155" s="464"/>
      <c r="AH155" s="451"/>
      <c r="AI155" s="452"/>
      <c r="AJ155" s="465"/>
      <c r="AK155" s="463">
        <v>0</v>
      </c>
      <c r="AL155" s="464"/>
      <c r="AM155" s="451"/>
      <c r="AN155" s="452"/>
      <c r="AO155" s="465"/>
      <c r="AP155" s="463">
        <v>0</v>
      </c>
      <c r="AQ155" s="464"/>
      <c r="AR155" s="451"/>
      <c r="AS155" s="452"/>
      <c r="AT155" s="465"/>
      <c r="AU155" s="463">
        <v>0</v>
      </c>
      <c r="AV155" s="464"/>
      <c r="AW155" s="451"/>
      <c r="AX155" s="452"/>
      <c r="AY155" s="465"/>
      <c r="AZ155" s="463">
        <v>0</v>
      </c>
      <c r="BA155" s="464"/>
      <c r="BB155" s="451"/>
      <c r="BC155" s="452"/>
      <c r="BD155" s="465"/>
      <c r="BE155" s="463">
        <v>0</v>
      </c>
      <c r="BF155" s="464"/>
      <c r="BG155" s="451"/>
      <c r="BH155" s="452"/>
      <c r="BI155" s="465"/>
      <c r="BJ155" s="463">
        <v>0</v>
      </c>
      <c r="BK155" s="464"/>
      <c r="BL155" s="451"/>
      <c r="BM155" s="452"/>
      <c r="BN155" s="465"/>
      <c r="BO155" s="463">
        <v>0</v>
      </c>
      <c r="BP155" s="464"/>
      <c r="BQ155" s="451"/>
      <c r="BR155" s="452"/>
      <c r="BS155" s="465"/>
      <c r="BT155" s="463">
        <f>SUM(L155:BO155)</f>
        <v>0</v>
      </c>
      <c r="BU155" s="464"/>
      <c r="BV155" s="451"/>
      <c r="BW155" s="452"/>
      <c r="BX155" s="465"/>
      <c r="BY155" s="463">
        <v>0</v>
      </c>
      <c r="BZ155" s="464"/>
      <c r="CA155" s="451"/>
      <c r="CB155" s="452"/>
      <c r="CC155" s="465"/>
      <c r="CD155" s="463">
        <v>0</v>
      </c>
      <c r="CE155" s="464"/>
      <c r="CF155" s="451"/>
      <c r="CG155" s="452"/>
      <c r="CH155" s="465"/>
      <c r="CI155" s="463">
        <v>0</v>
      </c>
      <c r="CJ155" s="464"/>
      <c r="CK155" s="451"/>
      <c r="CL155" s="452"/>
      <c r="CM155" s="465"/>
      <c r="CN155" s="463">
        <v>0</v>
      </c>
      <c r="CO155" s="464"/>
      <c r="CP155" s="451"/>
      <c r="CQ155" s="452"/>
      <c r="CR155" s="465"/>
      <c r="CS155" s="463">
        <v>0</v>
      </c>
      <c r="CT155" s="464"/>
      <c r="CU155" s="451"/>
      <c r="CV155" s="452"/>
      <c r="CW155" s="465"/>
      <c r="CX155" s="463">
        <v>0</v>
      </c>
      <c r="CY155" s="464"/>
      <c r="CZ155" s="451"/>
      <c r="DA155" s="452"/>
      <c r="DB155" s="465"/>
      <c r="DC155" s="463">
        <v>0</v>
      </c>
      <c r="DD155" s="464"/>
      <c r="DE155" s="451"/>
      <c r="DF155" s="452"/>
      <c r="DG155" s="465"/>
      <c r="DH155" s="463">
        <v>0</v>
      </c>
      <c r="DI155" s="464"/>
      <c r="DJ155" s="451"/>
      <c r="DK155" s="452"/>
      <c r="DL155" s="465"/>
      <c r="DM155" s="463">
        <v>0</v>
      </c>
      <c r="DN155" s="464"/>
      <c r="DO155" s="451"/>
      <c r="DP155" s="452"/>
      <c r="DQ155" s="465"/>
      <c r="DR155" s="463">
        <v>0</v>
      </c>
      <c r="DS155" s="464"/>
      <c r="DT155" s="451"/>
      <c r="DU155" s="452"/>
      <c r="DV155" s="465"/>
      <c r="DW155" s="463">
        <v>0</v>
      </c>
      <c r="DX155" s="464"/>
      <c r="DY155" s="451"/>
      <c r="DZ155" s="452"/>
      <c r="EA155" s="465"/>
      <c r="EB155" s="463">
        <v>0</v>
      </c>
      <c r="EC155" s="464"/>
      <c r="ED155" s="451"/>
      <c r="EE155" s="452"/>
      <c r="EF155" s="465"/>
      <c r="EG155" s="463">
        <v>0</v>
      </c>
      <c r="EH155" s="464"/>
      <c r="EI155" s="451"/>
      <c r="EJ155" s="452"/>
      <c r="EK155" s="465"/>
      <c r="EL155" s="463">
        <f>SUM(CD155:DW155)</f>
        <v>0</v>
      </c>
      <c r="EM155" s="464"/>
      <c r="EN155" s="451"/>
      <c r="EO155" s="13"/>
      <c r="ER155" s="14"/>
      <c r="ES155" s="14"/>
    </row>
    <row r="156" spans="4:149" ht="12.75" customHeight="1" x14ac:dyDescent="0.2">
      <c r="D156" s="13"/>
      <c r="G156" s="451"/>
      <c r="H156" s="451"/>
      <c r="I156" s="451"/>
      <c r="J156" s="452"/>
      <c r="K156" s="451"/>
      <c r="L156" s="451"/>
      <c r="M156" s="451"/>
      <c r="N156" s="451"/>
      <c r="O156" s="452"/>
      <c r="P156" s="451"/>
      <c r="Q156" s="451"/>
      <c r="R156" s="451"/>
      <c r="S156" s="451"/>
      <c r="T156" s="452"/>
      <c r="U156" s="451"/>
      <c r="V156" s="451"/>
      <c r="W156" s="451"/>
      <c r="X156" s="451"/>
      <c r="Y156" s="452"/>
      <c r="Z156" s="451"/>
      <c r="AA156" s="451"/>
      <c r="AB156" s="451"/>
      <c r="AC156" s="451"/>
      <c r="AD156" s="452"/>
      <c r="AE156" s="451"/>
      <c r="AF156" s="451"/>
      <c r="AG156" s="451"/>
      <c r="AH156" s="451"/>
      <c r="AI156" s="452"/>
      <c r="AJ156" s="451"/>
      <c r="AK156" s="451"/>
      <c r="AL156" s="451"/>
      <c r="AM156" s="451"/>
      <c r="AN156" s="452"/>
      <c r="AO156" s="451"/>
      <c r="AP156" s="451"/>
      <c r="AQ156" s="451"/>
      <c r="AR156" s="451"/>
      <c r="AS156" s="452"/>
      <c r="AT156" s="451"/>
      <c r="AU156" s="451"/>
      <c r="AV156" s="451"/>
      <c r="AW156" s="451"/>
      <c r="AX156" s="452"/>
      <c r="AY156" s="451"/>
      <c r="AZ156" s="451"/>
      <c r="BA156" s="451"/>
      <c r="BB156" s="451"/>
      <c r="BC156" s="452"/>
      <c r="BD156" s="451"/>
      <c r="BE156" s="451"/>
      <c r="BF156" s="451"/>
      <c r="BG156" s="451"/>
      <c r="BH156" s="452"/>
      <c r="BI156" s="451"/>
      <c r="BJ156" s="451"/>
      <c r="BK156" s="451"/>
      <c r="BL156" s="451"/>
      <c r="BM156" s="452"/>
      <c r="BN156" s="451"/>
      <c r="BO156" s="451"/>
      <c r="BP156" s="451"/>
      <c r="BQ156" s="451"/>
      <c r="BR156" s="452"/>
      <c r="BS156" s="451"/>
      <c r="BT156" s="451"/>
      <c r="BU156" s="451"/>
      <c r="BV156" s="451"/>
      <c r="BW156" s="452"/>
      <c r="BX156" s="451"/>
      <c r="BY156" s="451"/>
      <c r="BZ156" s="451"/>
      <c r="CA156" s="451"/>
      <c r="CB156" s="452"/>
      <c r="CC156" s="451"/>
      <c r="CD156" s="451"/>
      <c r="CE156" s="451"/>
      <c r="CF156" s="451"/>
      <c r="CG156" s="452"/>
      <c r="CH156" s="451"/>
      <c r="CI156" s="451"/>
      <c r="CJ156" s="451"/>
      <c r="CK156" s="451"/>
      <c r="CL156" s="452"/>
      <c r="CM156" s="451"/>
      <c r="CN156" s="451"/>
      <c r="CO156" s="451"/>
      <c r="CP156" s="451"/>
      <c r="CQ156" s="452"/>
      <c r="CR156" s="451"/>
      <c r="CS156" s="451"/>
      <c r="CT156" s="451"/>
      <c r="CU156" s="451"/>
      <c r="CV156" s="452"/>
      <c r="CW156" s="451"/>
      <c r="CX156" s="451"/>
      <c r="CY156" s="451"/>
      <c r="CZ156" s="451"/>
      <c r="DA156" s="452"/>
      <c r="DB156" s="451"/>
      <c r="DC156" s="451"/>
      <c r="DD156" s="451"/>
      <c r="DE156" s="451"/>
      <c r="DF156" s="452"/>
      <c r="DG156" s="451"/>
      <c r="DH156" s="451"/>
      <c r="DI156" s="451"/>
      <c r="DJ156" s="451"/>
      <c r="DK156" s="452"/>
      <c r="DL156" s="451"/>
      <c r="DM156" s="451"/>
      <c r="DN156" s="451"/>
      <c r="DO156" s="451"/>
      <c r="DP156" s="452"/>
      <c r="DQ156" s="451"/>
      <c r="DR156" s="451"/>
      <c r="DS156" s="451"/>
      <c r="DT156" s="451"/>
      <c r="DU156" s="452"/>
      <c r="DV156" s="451"/>
      <c r="DW156" s="451"/>
      <c r="DX156" s="451"/>
      <c r="DY156" s="451"/>
      <c r="DZ156" s="452"/>
      <c r="EA156" s="451"/>
      <c r="EB156" s="451"/>
      <c r="EC156" s="451"/>
      <c r="ED156" s="451"/>
      <c r="EE156" s="452"/>
      <c r="EF156" s="451"/>
      <c r="EG156" s="451"/>
      <c r="EH156" s="451"/>
      <c r="EI156" s="451"/>
      <c r="EJ156" s="452"/>
      <c r="EK156" s="451"/>
      <c r="EL156" s="451"/>
      <c r="EM156" s="451"/>
      <c r="EN156" s="451"/>
      <c r="EO156" s="13"/>
      <c r="ER156" s="14"/>
      <c r="ES156" s="14"/>
    </row>
    <row r="157" spans="4:149" ht="12.75" customHeight="1" x14ac:dyDescent="0.2">
      <c r="D157" s="13" t="s">
        <v>377</v>
      </c>
      <c r="G157" s="451">
        <f>SUM(G158:G160)</f>
        <v>0</v>
      </c>
      <c r="H157" s="451"/>
      <c r="I157" s="451"/>
      <c r="J157" s="452"/>
      <c r="K157" s="451"/>
      <c r="L157" s="451">
        <f>SUM(L158:L160)</f>
        <v>6024000</v>
      </c>
      <c r="M157" s="451"/>
      <c r="N157" s="451"/>
      <c r="O157" s="452"/>
      <c r="P157" s="451"/>
      <c r="Q157" s="451">
        <f>SUM(Q158:Q160)</f>
        <v>3019000</v>
      </c>
      <c r="R157" s="451"/>
      <c r="S157" s="451"/>
      <c r="T157" s="452"/>
      <c r="U157" s="451"/>
      <c r="V157" s="451">
        <f>SUM(V158:V160)</f>
        <v>2872000</v>
      </c>
      <c r="W157" s="451"/>
      <c r="X157" s="451"/>
      <c r="Y157" s="452"/>
      <c r="Z157" s="451"/>
      <c r="AA157" s="451">
        <f>SUM(AA158:AA160)</f>
        <v>6600000</v>
      </c>
      <c r="AB157" s="451"/>
      <c r="AC157" s="451"/>
      <c r="AD157" s="452"/>
      <c r="AE157" s="451"/>
      <c r="AF157" s="451">
        <f>SUM(AF158:AF160)</f>
        <v>9277000</v>
      </c>
      <c r="AG157" s="451"/>
      <c r="AH157" s="451"/>
      <c r="AI157" s="452"/>
      <c r="AJ157" s="451"/>
      <c r="AK157" s="451">
        <f>SUM(AK158:AK160)</f>
        <v>8807000</v>
      </c>
      <c r="AL157" s="451"/>
      <c r="AM157" s="451"/>
      <c r="AN157" s="452"/>
      <c r="AO157" s="451"/>
      <c r="AP157" s="451">
        <f>SUM(AP158:AP160)</f>
        <v>4111000</v>
      </c>
      <c r="AQ157" s="451"/>
      <c r="AR157" s="451"/>
      <c r="AS157" s="452"/>
      <c r="AT157" s="451"/>
      <c r="AU157" s="451">
        <f>SUM(AU158:AU160)</f>
        <v>4400000</v>
      </c>
      <c r="AV157" s="451"/>
      <c r="AW157" s="451"/>
      <c r="AX157" s="452"/>
      <c r="AY157" s="451"/>
      <c r="AZ157" s="451">
        <f>SUM(AZ158:AZ160)</f>
        <v>2329000</v>
      </c>
      <c r="BA157" s="451"/>
      <c r="BB157" s="451"/>
      <c r="BC157" s="452"/>
      <c r="BD157" s="451"/>
      <c r="BE157" s="451">
        <f>SUM(BE158:BE160)</f>
        <v>4398000</v>
      </c>
      <c r="BF157" s="451"/>
      <c r="BG157" s="451"/>
      <c r="BH157" s="452"/>
      <c r="BI157" s="451"/>
      <c r="BJ157" s="451">
        <f>SUM(BJ158:BJ160)</f>
        <v>0</v>
      </c>
      <c r="BK157" s="451"/>
      <c r="BL157" s="451"/>
      <c r="BM157" s="452"/>
      <c r="BN157" s="451"/>
      <c r="BO157" s="451">
        <f>SUM(BO158:BO160)</f>
        <v>0</v>
      </c>
      <c r="BP157" s="451"/>
      <c r="BQ157" s="451"/>
      <c r="BR157" s="452"/>
      <c r="BS157" s="451"/>
      <c r="BT157" s="451">
        <f>SUM(BT158:BT160)</f>
        <v>51837000</v>
      </c>
      <c r="BU157" s="451"/>
      <c r="BV157" s="451"/>
      <c r="BW157" s="452"/>
      <c r="BX157" s="451"/>
      <c r="BY157" s="451">
        <f>SUM(BY158:BY160)</f>
        <v>23420081</v>
      </c>
      <c r="BZ157" s="451"/>
      <c r="CA157" s="451"/>
      <c r="CB157" s="452"/>
      <c r="CC157" s="451"/>
      <c r="CD157" s="451">
        <f>SUM(CD158:CD160)</f>
        <v>800000</v>
      </c>
      <c r="CE157" s="451"/>
      <c r="CF157" s="451"/>
      <c r="CG157" s="452"/>
      <c r="CH157" s="451"/>
      <c r="CI157" s="451">
        <f>SUM(CI158:CI160)</f>
        <v>2081</v>
      </c>
      <c r="CJ157" s="451"/>
      <c r="CK157" s="451"/>
      <c r="CL157" s="452"/>
      <c r="CM157" s="451"/>
      <c r="CN157" s="451">
        <f>SUM(CN158:CN160)</f>
        <v>1100000</v>
      </c>
      <c r="CO157" s="451"/>
      <c r="CP157" s="451"/>
      <c r="CQ157" s="452"/>
      <c r="CR157" s="451"/>
      <c r="CS157" s="451">
        <f>SUM(CS158:CS160)</f>
        <v>2750000</v>
      </c>
      <c r="CT157" s="451"/>
      <c r="CU157" s="451"/>
      <c r="CV157" s="452"/>
      <c r="CW157" s="451"/>
      <c r="CX157" s="451">
        <f>SUM(CX158:CX160)</f>
        <v>0</v>
      </c>
      <c r="CY157" s="451"/>
      <c r="CZ157" s="451"/>
      <c r="DA157" s="452"/>
      <c r="DB157" s="451"/>
      <c r="DC157" s="451">
        <f>SUM(DC158:DC160)</f>
        <v>4533000</v>
      </c>
      <c r="DD157" s="451"/>
      <c r="DE157" s="451"/>
      <c r="DF157" s="452"/>
      <c r="DG157" s="451"/>
      <c r="DH157" s="451">
        <f>SUM(DH158:DH160)</f>
        <v>3780000</v>
      </c>
      <c r="DI157" s="451"/>
      <c r="DJ157" s="451"/>
      <c r="DK157" s="452"/>
      <c r="DL157" s="451"/>
      <c r="DM157" s="451">
        <f>SUM(DM158:DM160)</f>
        <v>2268000</v>
      </c>
      <c r="DN157" s="451"/>
      <c r="DO157" s="451"/>
      <c r="DP157" s="452"/>
      <c r="DQ157" s="451"/>
      <c r="DR157" s="451">
        <f>SUM(DR158:DR160)</f>
        <v>0</v>
      </c>
      <c r="DS157" s="451"/>
      <c r="DT157" s="451"/>
      <c r="DU157" s="452"/>
      <c r="DV157" s="451"/>
      <c r="DW157" s="451">
        <f>SUM(DW158:DW160)</f>
        <v>4412000</v>
      </c>
      <c r="DX157" s="451"/>
      <c r="DY157" s="451"/>
      <c r="DZ157" s="452"/>
      <c r="EA157" s="451"/>
      <c r="EB157" s="451">
        <f>SUM(EB158:EB160)</f>
        <v>2265000</v>
      </c>
      <c r="EC157" s="451"/>
      <c r="ED157" s="451"/>
      <c r="EE157" s="452"/>
      <c r="EF157" s="451"/>
      <c r="EG157" s="451">
        <f>SUM(EG158:EG160)</f>
        <v>1510000</v>
      </c>
      <c r="EH157" s="451"/>
      <c r="EI157" s="451"/>
      <c r="EJ157" s="452"/>
      <c r="EK157" s="451"/>
      <c r="EL157" s="451">
        <f>SUM(EL158:EL160)</f>
        <v>19645081</v>
      </c>
      <c r="EM157" s="451"/>
      <c r="EN157" s="451"/>
      <c r="EO157" s="13"/>
      <c r="ER157" s="14"/>
      <c r="ES157" s="14"/>
    </row>
    <row r="158" spans="4:149" ht="12.75" customHeight="1" x14ac:dyDescent="0.2">
      <c r="D158" s="13" t="s">
        <v>347</v>
      </c>
      <c r="F158" s="374"/>
      <c r="G158" s="449">
        <v>0</v>
      </c>
      <c r="H158" s="450"/>
      <c r="I158" s="451"/>
      <c r="J158" s="452"/>
      <c r="K158" s="453"/>
      <c r="L158" s="449">
        <f>6024000-1184412</f>
        <v>4839588</v>
      </c>
      <c r="M158" s="450"/>
      <c r="N158" s="451"/>
      <c r="O158" s="452"/>
      <c r="P158" s="453"/>
      <c r="Q158" s="449">
        <f>3019000-467659</f>
        <v>2551341</v>
      </c>
      <c r="R158" s="450"/>
      <c r="S158" s="451"/>
      <c r="T158" s="452"/>
      <c r="U158" s="453"/>
      <c r="V158" s="449">
        <f>2872000-377052</f>
        <v>2494948</v>
      </c>
      <c r="W158" s="450"/>
      <c r="X158" s="451"/>
      <c r="Y158" s="452"/>
      <c r="Z158" s="453"/>
      <c r="AA158" s="449">
        <f>6600000-871152</f>
        <v>5728848</v>
      </c>
      <c r="AB158" s="450"/>
      <c r="AC158" s="451"/>
      <c r="AD158" s="452"/>
      <c r="AE158" s="453"/>
      <c r="AF158" s="449">
        <f>9277000-1225246</f>
        <v>8051754</v>
      </c>
      <c r="AG158" s="450"/>
      <c r="AH158" s="451"/>
      <c r="AI158" s="452"/>
      <c r="AJ158" s="453"/>
      <c r="AK158" s="449">
        <f>8807000-1107949</f>
        <v>7699051</v>
      </c>
      <c r="AL158" s="450"/>
      <c r="AM158" s="451"/>
      <c r="AN158" s="452"/>
      <c r="AO158" s="453"/>
      <c r="AP158" s="449">
        <f>4111000-556622</f>
        <v>3554378</v>
      </c>
      <c r="AQ158" s="450"/>
      <c r="AR158" s="451"/>
      <c r="AS158" s="452"/>
      <c r="AT158" s="453"/>
      <c r="AU158" s="449">
        <f>4400000-474513</f>
        <v>3925487</v>
      </c>
      <c r="AV158" s="450"/>
      <c r="AW158" s="451"/>
      <c r="AX158" s="452"/>
      <c r="AY158" s="453"/>
      <c r="AZ158" s="449">
        <f>2329000-256938</f>
        <v>2072062</v>
      </c>
      <c r="BA158" s="450"/>
      <c r="BB158" s="451"/>
      <c r="BC158" s="452"/>
      <c r="BD158" s="453"/>
      <c r="BE158" s="449">
        <f>4398000-445780</f>
        <v>3952220</v>
      </c>
      <c r="BF158" s="450"/>
      <c r="BG158" s="451"/>
      <c r="BH158" s="452"/>
      <c r="BI158" s="453"/>
      <c r="BJ158" s="449">
        <v>0</v>
      </c>
      <c r="BK158" s="450"/>
      <c r="BL158" s="451"/>
      <c r="BM158" s="452"/>
      <c r="BN158" s="453"/>
      <c r="BO158" s="449">
        <v>0</v>
      </c>
      <c r="BP158" s="450"/>
      <c r="BQ158" s="451"/>
      <c r="BR158" s="452"/>
      <c r="BS158" s="453"/>
      <c r="BT158" s="449">
        <f>SUM(L158:BO158)</f>
        <v>44869677</v>
      </c>
      <c r="BU158" s="450"/>
      <c r="BV158" s="451"/>
      <c r="BW158" s="452"/>
      <c r="BX158" s="453"/>
      <c r="BY158" s="449">
        <v>21427492</v>
      </c>
      <c r="BZ158" s="450"/>
      <c r="CA158" s="451"/>
      <c r="CB158" s="452"/>
      <c r="CC158" s="453"/>
      <c r="CD158" s="449">
        <f>800000-62541</f>
        <v>737459</v>
      </c>
      <c r="CE158" s="450"/>
      <c r="CF158" s="451"/>
      <c r="CG158" s="452"/>
      <c r="CH158" s="453"/>
      <c r="CI158" s="449">
        <f>2081-179</f>
        <v>1902</v>
      </c>
      <c r="CJ158" s="450"/>
      <c r="CK158" s="451"/>
      <c r="CL158" s="452"/>
      <c r="CM158" s="453"/>
      <c r="CN158" s="449">
        <f>1100000-88807</f>
        <v>1011193</v>
      </c>
      <c r="CO158" s="450"/>
      <c r="CP158" s="451"/>
      <c r="CQ158" s="452"/>
      <c r="CR158" s="453"/>
      <c r="CS158" s="449">
        <f>2750000-179977</f>
        <v>2570023</v>
      </c>
      <c r="CT158" s="450"/>
      <c r="CU158" s="451"/>
      <c r="CV158" s="452"/>
      <c r="CW158" s="453"/>
      <c r="CX158" s="449">
        <v>0</v>
      </c>
      <c r="CY158" s="450"/>
      <c r="CZ158" s="451"/>
      <c r="DA158" s="452"/>
      <c r="DB158" s="453"/>
      <c r="DC158" s="449">
        <f>4533000-338254</f>
        <v>4194746</v>
      </c>
      <c r="DD158" s="450"/>
      <c r="DE158" s="451"/>
      <c r="DF158" s="452"/>
      <c r="DG158" s="453"/>
      <c r="DH158" s="449">
        <f>3780000-278593</f>
        <v>3501407</v>
      </c>
      <c r="DI158" s="450"/>
      <c r="DJ158" s="451"/>
      <c r="DK158" s="452"/>
      <c r="DL158" s="453"/>
      <c r="DM158" s="449">
        <f>2268000-207289</f>
        <v>2060711</v>
      </c>
      <c r="DN158" s="450"/>
      <c r="DO158" s="451"/>
      <c r="DP158" s="452"/>
      <c r="DQ158" s="453"/>
      <c r="DR158" s="449">
        <v>0</v>
      </c>
      <c r="DS158" s="450"/>
      <c r="DT158" s="451"/>
      <c r="DU158" s="452"/>
      <c r="DV158" s="453"/>
      <c r="DW158" s="449">
        <f>4412000-368545</f>
        <v>4043455</v>
      </c>
      <c r="DX158" s="450"/>
      <c r="DY158" s="451"/>
      <c r="DZ158" s="452"/>
      <c r="EA158" s="453"/>
      <c r="EB158" s="449">
        <f>2265000-174247</f>
        <v>2090753</v>
      </c>
      <c r="EC158" s="450"/>
      <c r="ED158" s="451"/>
      <c r="EE158" s="452"/>
      <c r="EF158" s="453"/>
      <c r="EG158" s="449">
        <f>1510000-294157</f>
        <v>1215843</v>
      </c>
      <c r="EH158" s="450"/>
      <c r="EI158" s="451"/>
      <c r="EJ158" s="452"/>
      <c r="EK158" s="453"/>
      <c r="EL158" s="449">
        <f>SUM(CD158:DW158)</f>
        <v>18120896</v>
      </c>
      <c r="EM158" s="450"/>
      <c r="EN158" s="451"/>
      <c r="EO158" s="13"/>
      <c r="ER158" s="14"/>
      <c r="ES158" s="14"/>
    </row>
    <row r="159" spans="4:149" ht="12.75" customHeight="1" x14ac:dyDescent="0.2">
      <c r="D159" s="13" t="s">
        <v>349</v>
      </c>
      <c r="F159" s="198"/>
      <c r="G159" s="451">
        <v>0</v>
      </c>
      <c r="H159" s="455"/>
      <c r="I159" s="451"/>
      <c r="J159" s="452"/>
      <c r="K159" s="452"/>
      <c r="L159" s="451">
        <v>1184412</v>
      </c>
      <c r="M159" s="455"/>
      <c r="N159" s="451"/>
      <c r="O159" s="452"/>
      <c r="P159" s="452"/>
      <c r="Q159" s="451">
        <v>467659</v>
      </c>
      <c r="R159" s="455"/>
      <c r="S159" s="451"/>
      <c r="T159" s="452"/>
      <c r="U159" s="452"/>
      <c r="V159" s="451">
        <v>377052</v>
      </c>
      <c r="W159" s="455"/>
      <c r="X159" s="451"/>
      <c r="Y159" s="452"/>
      <c r="Z159" s="452"/>
      <c r="AA159" s="451">
        <v>871152</v>
      </c>
      <c r="AB159" s="455"/>
      <c r="AC159" s="451"/>
      <c r="AD159" s="452"/>
      <c r="AE159" s="452"/>
      <c r="AF159" s="451">
        <v>1225246</v>
      </c>
      <c r="AG159" s="455"/>
      <c r="AH159" s="451"/>
      <c r="AI159" s="452"/>
      <c r="AJ159" s="452"/>
      <c r="AK159" s="451">
        <v>1107949</v>
      </c>
      <c r="AL159" s="455"/>
      <c r="AM159" s="451"/>
      <c r="AN159" s="452"/>
      <c r="AO159" s="452"/>
      <c r="AP159" s="451">
        <v>556622</v>
      </c>
      <c r="AQ159" s="455"/>
      <c r="AR159" s="451"/>
      <c r="AS159" s="452"/>
      <c r="AT159" s="452"/>
      <c r="AU159" s="451">
        <v>474513</v>
      </c>
      <c r="AV159" s="455"/>
      <c r="AW159" s="451"/>
      <c r="AX159" s="452"/>
      <c r="AY159" s="452"/>
      <c r="AZ159" s="451">
        <v>256938</v>
      </c>
      <c r="BA159" s="455"/>
      <c r="BB159" s="451"/>
      <c r="BC159" s="452"/>
      <c r="BD159" s="452"/>
      <c r="BE159" s="451">
        <v>445780</v>
      </c>
      <c r="BF159" s="455"/>
      <c r="BG159" s="451"/>
      <c r="BH159" s="452"/>
      <c r="BI159" s="452"/>
      <c r="BJ159" s="451">
        <v>0</v>
      </c>
      <c r="BK159" s="455"/>
      <c r="BL159" s="451"/>
      <c r="BM159" s="452"/>
      <c r="BN159" s="452"/>
      <c r="BO159" s="451">
        <v>0</v>
      </c>
      <c r="BP159" s="455"/>
      <c r="BQ159" s="451"/>
      <c r="BR159" s="452"/>
      <c r="BS159" s="452"/>
      <c r="BT159" s="451">
        <f>SUM(L159:BO159)</f>
        <v>6967323</v>
      </c>
      <c r="BU159" s="455"/>
      <c r="BV159" s="451"/>
      <c r="BW159" s="452"/>
      <c r="BX159" s="452"/>
      <c r="BY159" s="451">
        <v>1992589</v>
      </c>
      <c r="BZ159" s="455"/>
      <c r="CA159" s="451"/>
      <c r="CB159" s="452"/>
      <c r="CC159" s="452"/>
      <c r="CD159" s="451">
        <v>62541</v>
      </c>
      <c r="CE159" s="455"/>
      <c r="CF159" s="451"/>
      <c r="CG159" s="452"/>
      <c r="CH159" s="452"/>
      <c r="CI159" s="451">
        <v>179</v>
      </c>
      <c r="CJ159" s="455"/>
      <c r="CK159" s="451"/>
      <c r="CL159" s="452"/>
      <c r="CM159" s="452"/>
      <c r="CN159" s="451">
        <v>88807</v>
      </c>
      <c r="CO159" s="455"/>
      <c r="CP159" s="451"/>
      <c r="CQ159" s="452"/>
      <c r="CR159" s="452"/>
      <c r="CS159" s="451">
        <v>179977</v>
      </c>
      <c r="CT159" s="455"/>
      <c r="CU159" s="451"/>
      <c r="CV159" s="452"/>
      <c r="CW159" s="452"/>
      <c r="CX159" s="451">
        <v>0</v>
      </c>
      <c r="CY159" s="455"/>
      <c r="CZ159" s="451"/>
      <c r="DA159" s="452"/>
      <c r="DB159" s="452"/>
      <c r="DC159" s="451">
        <v>338254</v>
      </c>
      <c r="DD159" s="455"/>
      <c r="DE159" s="451"/>
      <c r="DF159" s="452"/>
      <c r="DG159" s="452"/>
      <c r="DH159" s="451">
        <v>278593</v>
      </c>
      <c r="DI159" s="455"/>
      <c r="DJ159" s="451"/>
      <c r="DK159" s="452"/>
      <c r="DL159" s="452"/>
      <c r="DM159" s="451">
        <v>207289</v>
      </c>
      <c r="DN159" s="455"/>
      <c r="DO159" s="451"/>
      <c r="DP159" s="452"/>
      <c r="DQ159" s="452"/>
      <c r="DR159" s="451">
        <v>0</v>
      </c>
      <c r="DS159" s="455"/>
      <c r="DT159" s="451"/>
      <c r="DU159" s="452"/>
      <c r="DV159" s="452"/>
      <c r="DW159" s="451">
        <v>368545</v>
      </c>
      <c r="DX159" s="455"/>
      <c r="DY159" s="451"/>
      <c r="DZ159" s="452"/>
      <c r="EA159" s="452"/>
      <c r="EB159" s="451">
        <v>174247</v>
      </c>
      <c r="EC159" s="455"/>
      <c r="ED159" s="451"/>
      <c r="EE159" s="452"/>
      <c r="EF159" s="452"/>
      <c r="EG159" s="451">
        <v>294157</v>
      </c>
      <c r="EH159" s="455"/>
      <c r="EI159" s="451"/>
      <c r="EJ159" s="452"/>
      <c r="EK159" s="452"/>
      <c r="EL159" s="451">
        <f>SUM(CD159:DW159)</f>
        <v>1524185</v>
      </c>
      <c r="EM159" s="455"/>
      <c r="EN159" s="451"/>
      <c r="EO159" s="13"/>
      <c r="ER159" s="14"/>
      <c r="ES159" s="14"/>
    </row>
    <row r="160" spans="4:149" ht="12.75" customHeight="1" x14ac:dyDescent="0.2">
      <c r="D160" s="13" t="s">
        <v>350</v>
      </c>
      <c r="F160" s="385"/>
      <c r="G160" s="463">
        <v>0</v>
      </c>
      <c r="H160" s="464"/>
      <c r="I160" s="451"/>
      <c r="J160" s="452"/>
      <c r="K160" s="465"/>
      <c r="L160" s="463">
        <v>0</v>
      </c>
      <c r="M160" s="464"/>
      <c r="N160" s="451"/>
      <c r="O160" s="452"/>
      <c r="P160" s="465"/>
      <c r="Q160" s="463">
        <v>0</v>
      </c>
      <c r="R160" s="464"/>
      <c r="S160" s="451"/>
      <c r="T160" s="452"/>
      <c r="U160" s="465"/>
      <c r="V160" s="463">
        <v>0</v>
      </c>
      <c r="W160" s="464"/>
      <c r="X160" s="451"/>
      <c r="Y160" s="452"/>
      <c r="Z160" s="465"/>
      <c r="AA160" s="463">
        <v>0</v>
      </c>
      <c r="AB160" s="464"/>
      <c r="AC160" s="451"/>
      <c r="AD160" s="452"/>
      <c r="AE160" s="465"/>
      <c r="AF160" s="463">
        <v>0</v>
      </c>
      <c r="AG160" s="464"/>
      <c r="AH160" s="451"/>
      <c r="AI160" s="452"/>
      <c r="AJ160" s="465"/>
      <c r="AK160" s="463">
        <v>0</v>
      </c>
      <c r="AL160" s="464"/>
      <c r="AM160" s="451"/>
      <c r="AN160" s="452"/>
      <c r="AO160" s="465"/>
      <c r="AP160" s="463">
        <v>0</v>
      </c>
      <c r="AQ160" s="464"/>
      <c r="AR160" s="451"/>
      <c r="AS160" s="452"/>
      <c r="AT160" s="465"/>
      <c r="AU160" s="463">
        <v>0</v>
      </c>
      <c r="AV160" s="464"/>
      <c r="AW160" s="451"/>
      <c r="AX160" s="452"/>
      <c r="AY160" s="465"/>
      <c r="AZ160" s="463">
        <v>0</v>
      </c>
      <c r="BA160" s="464"/>
      <c r="BB160" s="451"/>
      <c r="BC160" s="452"/>
      <c r="BD160" s="465"/>
      <c r="BE160" s="463">
        <v>0</v>
      </c>
      <c r="BF160" s="464"/>
      <c r="BG160" s="451"/>
      <c r="BH160" s="452"/>
      <c r="BI160" s="465"/>
      <c r="BJ160" s="463">
        <v>0</v>
      </c>
      <c r="BK160" s="464"/>
      <c r="BL160" s="451"/>
      <c r="BM160" s="452"/>
      <c r="BN160" s="465"/>
      <c r="BO160" s="463">
        <v>0</v>
      </c>
      <c r="BP160" s="464"/>
      <c r="BQ160" s="451"/>
      <c r="BR160" s="452"/>
      <c r="BS160" s="465"/>
      <c r="BT160" s="463">
        <f>SUM(L160:BO160)</f>
        <v>0</v>
      </c>
      <c r="BU160" s="464"/>
      <c r="BV160" s="451"/>
      <c r="BW160" s="452"/>
      <c r="BX160" s="465"/>
      <c r="BY160" s="463">
        <v>0</v>
      </c>
      <c r="BZ160" s="464"/>
      <c r="CA160" s="451"/>
      <c r="CB160" s="452"/>
      <c r="CC160" s="465"/>
      <c r="CD160" s="463">
        <v>0</v>
      </c>
      <c r="CE160" s="464"/>
      <c r="CF160" s="451"/>
      <c r="CG160" s="452"/>
      <c r="CH160" s="465"/>
      <c r="CI160" s="463">
        <v>0</v>
      </c>
      <c r="CJ160" s="464"/>
      <c r="CK160" s="451"/>
      <c r="CL160" s="452"/>
      <c r="CM160" s="465"/>
      <c r="CN160" s="463">
        <v>0</v>
      </c>
      <c r="CO160" s="464"/>
      <c r="CP160" s="451"/>
      <c r="CQ160" s="452"/>
      <c r="CR160" s="465"/>
      <c r="CS160" s="463">
        <v>0</v>
      </c>
      <c r="CT160" s="464"/>
      <c r="CU160" s="451"/>
      <c r="CV160" s="452"/>
      <c r="CW160" s="465"/>
      <c r="CX160" s="463">
        <v>0</v>
      </c>
      <c r="CY160" s="464"/>
      <c r="CZ160" s="451"/>
      <c r="DA160" s="452"/>
      <c r="DB160" s="465"/>
      <c r="DC160" s="463">
        <v>0</v>
      </c>
      <c r="DD160" s="464"/>
      <c r="DE160" s="451"/>
      <c r="DF160" s="452"/>
      <c r="DG160" s="465"/>
      <c r="DH160" s="463">
        <v>0</v>
      </c>
      <c r="DI160" s="464"/>
      <c r="DJ160" s="451"/>
      <c r="DK160" s="452"/>
      <c r="DL160" s="465"/>
      <c r="DM160" s="463">
        <v>0</v>
      </c>
      <c r="DN160" s="464"/>
      <c r="DO160" s="451"/>
      <c r="DP160" s="452"/>
      <c r="DQ160" s="465"/>
      <c r="DR160" s="463">
        <v>0</v>
      </c>
      <c r="DS160" s="464"/>
      <c r="DT160" s="451"/>
      <c r="DU160" s="452"/>
      <c r="DV160" s="465"/>
      <c r="DW160" s="463">
        <v>0</v>
      </c>
      <c r="DX160" s="464"/>
      <c r="DY160" s="451"/>
      <c r="DZ160" s="452"/>
      <c r="EA160" s="465"/>
      <c r="EB160" s="463">
        <v>0</v>
      </c>
      <c r="EC160" s="464"/>
      <c r="ED160" s="451"/>
      <c r="EE160" s="452"/>
      <c r="EF160" s="465"/>
      <c r="EG160" s="463">
        <v>0</v>
      </c>
      <c r="EH160" s="464"/>
      <c r="EI160" s="451"/>
      <c r="EJ160" s="452"/>
      <c r="EK160" s="465"/>
      <c r="EL160" s="463">
        <f>SUM(CD160:DW160)</f>
        <v>0</v>
      </c>
      <c r="EM160" s="464"/>
      <c r="EN160" s="451"/>
      <c r="EO160" s="13"/>
      <c r="ER160" s="14"/>
      <c r="ES160" s="14"/>
    </row>
    <row r="161" spans="4:149" ht="12.75" customHeight="1" x14ac:dyDescent="0.2">
      <c r="D161" s="13"/>
      <c r="G161" s="451"/>
      <c r="H161" s="451"/>
      <c r="I161" s="451"/>
      <c r="J161" s="452"/>
      <c r="K161" s="451"/>
      <c r="L161" s="451"/>
      <c r="M161" s="451"/>
      <c r="N161" s="451"/>
      <c r="O161" s="452"/>
      <c r="P161" s="451"/>
      <c r="Q161" s="451"/>
      <c r="R161" s="451"/>
      <c r="S161" s="451"/>
      <c r="T161" s="452"/>
      <c r="U161" s="451"/>
      <c r="V161" s="451"/>
      <c r="W161" s="451"/>
      <c r="X161" s="451"/>
      <c r="Y161" s="452"/>
      <c r="Z161" s="451"/>
      <c r="AA161" s="451"/>
      <c r="AB161" s="451"/>
      <c r="AC161" s="451"/>
      <c r="AD161" s="452"/>
      <c r="AE161" s="451"/>
      <c r="AF161" s="451"/>
      <c r="AG161" s="451"/>
      <c r="AH161" s="451"/>
      <c r="AI161" s="452"/>
      <c r="AJ161" s="451"/>
      <c r="AK161" s="451"/>
      <c r="AL161" s="451"/>
      <c r="AM161" s="451"/>
      <c r="AN161" s="452"/>
      <c r="AO161" s="451"/>
      <c r="AP161" s="451"/>
      <c r="AQ161" s="451"/>
      <c r="AR161" s="451"/>
      <c r="AS161" s="452"/>
      <c r="AT161" s="451"/>
      <c r="AU161" s="451"/>
      <c r="AV161" s="451"/>
      <c r="AW161" s="451"/>
      <c r="AX161" s="452"/>
      <c r="AY161" s="451"/>
      <c r="AZ161" s="451"/>
      <c r="BA161" s="451"/>
      <c r="BB161" s="451"/>
      <c r="BC161" s="452"/>
      <c r="BD161" s="451"/>
      <c r="BE161" s="451"/>
      <c r="BF161" s="451"/>
      <c r="BG161" s="451"/>
      <c r="BH161" s="452"/>
      <c r="BI161" s="451"/>
      <c r="BJ161" s="451"/>
      <c r="BK161" s="451"/>
      <c r="BL161" s="451"/>
      <c r="BM161" s="452"/>
      <c r="BN161" s="451"/>
      <c r="BO161" s="451"/>
      <c r="BP161" s="451"/>
      <c r="BQ161" s="451"/>
      <c r="BR161" s="452"/>
      <c r="BS161" s="451"/>
      <c r="BT161" s="451"/>
      <c r="BU161" s="451"/>
      <c r="BV161" s="451"/>
      <c r="BW161" s="452"/>
      <c r="BX161" s="451"/>
      <c r="BY161" s="451"/>
      <c r="BZ161" s="451"/>
      <c r="CA161" s="451"/>
      <c r="CB161" s="452"/>
      <c r="CC161" s="451"/>
      <c r="CD161" s="451"/>
      <c r="CE161" s="451"/>
      <c r="CF161" s="451"/>
      <c r="CG161" s="452"/>
      <c r="CH161" s="451"/>
      <c r="CI161" s="451"/>
      <c r="CJ161" s="451"/>
      <c r="CK161" s="451"/>
      <c r="CL161" s="452"/>
      <c r="CM161" s="451"/>
      <c r="CN161" s="451"/>
      <c r="CO161" s="451"/>
      <c r="CP161" s="451"/>
      <c r="CQ161" s="452"/>
      <c r="CR161" s="451"/>
      <c r="CS161" s="451"/>
      <c r="CT161" s="451"/>
      <c r="CU161" s="451"/>
      <c r="CV161" s="452"/>
      <c r="CW161" s="451"/>
      <c r="CX161" s="451"/>
      <c r="CY161" s="451"/>
      <c r="CZ161" s="451"/>
      <c r="DA161" s="452"/>
      <c r="DB161" s="451"/>
      <c r="DC161" s="451"/>
      <c r="DD161" s="451"/>
      <c r="DE161" s="451"/>
      <c r="DF161" s="452"/>
      <c r="DG161" s="451"/>
      <c r="DH161" s="451"/>
      <c r="DI161" s="451"/>
      <c r="DJ161" s="451"/>
      <c r="DK161" s="452"/>
      <c r="DL161" s="451"/>
      <c r="DM161" s="451"/>
      <c r="DN161" s="451"/>
      <c r="DO161" s="451"/>
      <c r="DP161" s="452"/>
      <c r="DQ161" s="451"/>
      <c r="DR161" s="451"/>
      <c r="DS161" s="451"/>
      <c r="DT161" s="451"/>
      <c r="DU161" s="452"/>
      <c r="DV161" s="451"/>
      <c r="DW161" s="451"/>
      <c r="DX161" s="451"/>
      <c r="DY161" s="451"/>
      <c r="DZ161" s="452"/>
      <c r="EA161" s="451"/>
      <c r="EB161" s="451"/>
      <c r="EC161" s="451"/>
      <c r="ED161" s="451"/>
      <c r="EE161" s="452"/>
      <c r="EF161" s="451"/>
      <c r="EG161" s="451"/>
      <c r="EH161" s="451"/>
      <c r="EI161" s="451"/>
      <c r="EJ161" s="452"/>
      <c r="EK161" s="451"/>
      <c r="EL161" s="451"/>
      <c r="EM161" s="451"/>
      <c r="EN161" s="451"/>
      <c r="EO161" s="13"/>
      <c r="ER161" s="14"/>
      <c r="ES161" s="14"/>
    </row>
    <row r="162" spans="4:149" ht="12.75" customHeight="1" x14ac:dyDescent="0.2">
      <c r="D162" s="13" t="s">
        <v>378</v>
      </c>
      <c r="G162" s="451">
        <f>SUM(G163:G165)</f>
        <v>0</v>
      </c>
      <c r="H162" s="451"/>
      <c r="I162" s="451"/>
      <c r="J162" s="452"/>
      <c r="K162" s="451"/>
      <c r="L162" s="451">
        <f>SUM(L163:L165)</f>
        <v>3019000</v>
      </c>
      <c r="M162" s="451"/>
      <c r="N162" s="451"/>
      <c r="O162" s="452"/>
      <c r="P162" s="451"/>
      <c r="Q162" s="451">
        <f>SUM(Q163:Q165)</f>
        <v>0</v>
      </c>
      <c r="R162" s="451"/>
      <c r="S162" s="451"/>
      <c r="T162" s="452"/>
      <c r="U162" s="451"/>
      <c r="V162" s="451">
        <f>SUM(V163:V165)</f>
        <v>4198000</v>
      </c>
      <c r="W162" s="451"/>
      <c r="X162" s="451"/>
      <c r="Y162" s="452"/>
      <c r="Z162" s="451"/>
      <c r="AA162" s="451">
        <f>SUM(AA163:AA165)</f>
        <v>4397000</v>
      </c>
      <c r="AB162" s="451"/>
      <c r="AC162" s="451"/>
      <c r="AD162" s="452"/>
      <c r="AE162" s="451"/>
      <c r="AF162" s="451">
        <f>SUM(AF163:AF165)</f>
        <v>3698000</v>
      </c>
      <c r="AG162" s="451"/>
      <c r="AH162" s="451"/>
      <c r="AI162" s="452"/>
      <c r="AJ162" s="451"/>
      <c r="AK162" s="451">
        <f>SUM(AK163:AK165)</f>
        <v>4400000</v>
      </c>
      <c r="AL162" s="451"/>
      <c r="AM162" s="451"/>
      <c r="AN162" s="452"/>
      <c r="AO162" s="451"/>
      <c r="AP162" s="451">
        <f>SUM(AP163:AP165)</f>
        <v>4176000</v>
      </c>
      <c r="AQ162" s="451"/>
      <c r="AR162" s="451"/>
      <c r="AS162" s="452"/>
      <c r="AT162" s="451"/>
      <c r="AU162" s="451">
        <f>SUM(AU163:AU165)</f>
        <v>0</v>
      </c>
      <c r="AV162" s="451"/>
      <c r="AW162" s="451"/>
      <c r="AX162" s="452"/>
      <c r="AY162" s="451"/>
      <c r="AZ162" s="451">
        <f>SUM(AZ163:AZ165)</f>
        <v>4344000</v>
      </c>
      <c r="BA162" s="451"/>
      <c r="BB162" s="451"/>
      <c r="BC162" s="452"/>
      <c r="BD162" s="451"/>
      <c r="BE162" s="451">
        <f>SUM(BE163:BE165)</f>
        <v>4400000</v>
      </c>
      <c r="BF162" s="451"/>
      <c r="BG162" s="451"/>
      <c r="BH162" s="452"/>
      <c r="BI162" s="451"/>
      <c r="BJ162" s="451">
        <f>SUM(BJ163:BJ165)</f>
        <v>0</v>
      </c>
      <c r="BK162" s="451"/>
      <c r="BL162" s="451"/>
      <c r="BM162" s="452"/>
      <c r="BN162" s="451"/>
      <c r="BO162" s="451">
        <f>SUM(BO163:BO165)</f>
        <v>0</v>
      </c>
      <c r="BP162" s="451"/>
      <c r="BQ162" s="451"/>
      <c r="BR162" s="452"/>
      <c r="BS162" s="451"/>
      <c r="BT162" s="451">
        <f>SUM(BT163:BT165)</f>
        <v>32632000</v>
      </c>
      <c r="BU162" s="451"/>
      <c r="BV162" s="451"/>
      <c r="BW162" s="452"/>
      <c r="BX162" s="451"/>
      <c r="BY162" s="451">
        <f>SUM(BY163:BY165)</f>
        <v>29152468</v>
      </c>
      <c r="BZ162" s="451"/>
      <c r="CA162" s="451"/>
      <c r="CB162" s="452"/>
      <c r="CC162" s="451"/>
      <c r="CD162" s="451">
        <f>SUM(CD163:CD165)</f>
        <v>800000</v>
      </c>
      <c r="CE162" s="451"/>
      <c r="CF162" s="451"/>
      <c r="CG162" s="452"/>
      <c r="CH162" s="451"/>
      <c r="CI162" s="451">
        <f>SUM(CI163:CI165)</f>
        <v>1648468</v>
      </c>
      <c r="CJ162" s="451"/>
      <c r="CK162" s="451"/>
      <c r="CL162" s="452"/>
      <c r="CM162" s="451"/>
      <c r="CN162" s="451">
        <f>SUM(CN163:CN165)</f>
        <v>0</v>
      </c>
      <c r="CO162" s="451"/>
      <c r="CP162" s="451"/>
      <c r="CQ162" s="452"/>
      <c r="CR162" s="451"/>
      <c r="CS162" s="451">
        <f>SUM(CS163:CS165)</f>
        <v>3292000</v>
      </c>
      <c r="CT162" s="451"/>
      <c r="CU162" s="451"/>
      <c r="CV162" s="452"/>
      <c r="CW162" s="451"/>
      <c r="CX162" s="451">
        <f>SUM(CX163:CX165)</f>
        <v>2823000</v>
      </c>
      <c r="CY162" s="451"/>
      <c r="CZ162" s="451"/>
      <c r="DA162" s="452"/>
      <c r="DB162" s="451"/>
      <c r="DC162" s="451">
        <f>SUM(DC163:DC165)</f>
        <v>1510000</v>
      </c>
      <c r="DD162" s="451"/>
      <c r="DE162" s="451"/>
      <c r="DF162" s="452"/>
      <c r="DG162" s="451"/>
      <c r="DH162" s="451">
        <f>SUM(DH163:DH165)</f>
        <v>1910000</v>
      </c>
      <c r="DI162" s="451"/>
      <c r="DJ162" s="451"/>
      <c r="DK162" s="452"/>
      <c r="DL162" s="451"/>
      <c r="DM162" s="451">
        <f>SUM(DM163:DM165)</f>
        <v>3528000</v>
      </c>
      <c r="DN162" s="451"/>
      <c r="DO162" s="451"/>
      <c r="DP162" s="452"/>
      <c r="DQ162" s="451"/>
      <c r="DR162" s="451">
        <f>SUM(DR163:DR165)</f>
        <v>755000</v>
      </c>
      <c r="DS162" s="451"/>
      <c r="DT162" s="451"/>
      <c r="DU162" s="452"/>
      <c r="DV162" s="451"/>
      <c r="DW162" s="451">
        <f>SUM(DW163:DW165)</f>
        <v>3760000</v>
      </c>
      <c r="DX162" s="451"/>
      <c r="DY162" s="451"/>
      <c r="DZ162" s="452"/>
      <c r="EA162" s="451"/>
      <c r="EB162" s="451">
        <f>SUM(EB163:EB165)</f>
        <v>2264000</v>
      </c>
      <c r="EC162" s="451"/>
      <c r="ED162" s="451"/>
      <c r="EE162" s="452"/>
      <c r="EF162" s="451"/>
      <c r="EG162" s="451">
        <f>SUM(EG163:EG165)</f>
        <v>6862000</v>
      </c>
      <c r="EH162" s="451"/>
      <c r="EI162" s="451"/>
      <c r="EJ162" s="452"/>
      <c r="EK162" s="451"/>
      <c r="EL162" s="451">
        <f>SUM(EL163:EL165)</f>
        <v>20026468</v>
      </c>
      <c r="EM162" s="451"/>
      <c r="EN162" s="451"/>
      <c r="EO162" s="13"/>
      <c r="ER162" s="14"/>
      <c r="ES162" s="14"/>
    </row>
    <row r="163" spans="4:149" ht="12.75" customHeight="1" x14ac:dyDescent="0.2">
      <c r="D163" s="13" t="s">
        <v>347</v>
      </c>
      <c r="F163" s="374"/>
      <c r="G163" s="449">
        <v>0</v>
      </c>
      <c r="H163" s="450"/>
      <c r="I163" s="451"/>
      <c r="J163" s="452"/>
      <c r="K163" s="453"/>
      <c r="L163" s="449">
        <f>3019000-705765</f>
        <v>2313235</v>
      </c>
      <c r="M163" s="450"/>
      <c r="N163" s="451"/>
      <c r="O163" s="452"/>
      <c r="P163" s="453"/>
      <c r="Q163" s="449">
        <v>0</v>
      </c>
      <c r="R163" s="450"/>
      <c r="S163" s="451"/>
      <c r="T163" s="452"/>
      <c r="U163" s="453"/>
      <c r="V163" s="449">
        <f>4198000-671900</f>
        <v>3526100</v>
      </c>
      <c r="W163" s="450"/>
      <c r="X163" s="451"/>
      <c r="Y163" s="452"/>
      <c r="Z163" s="453"/>
      <c r="AA163" s="449">
        <f>4397000-939132</f>
        <v>3457868</v>
      </c>
      <c r="AB163" s="450"/>
      <c r="AC163" s="451"/>
      <c r="AD163" s="452"/>
      <c r="AE163" s="453"/>
      <c r="AF163" s="449">
        <f>3698000-763219</f>
        <v>2934781</v>
      </c>
      <c r="AG163" s="450"/>
      <c r="AH163" s="451"/>
      <c r="AI163" s="452"/>
      <c r="AJ163" s="453"/>
      <c r="AK163" s="449">
        <f>4400000-879677</f>
        <v>3520323</v>
      </c>
      <c r="AL163" s="450"/>
      <c r="AM163" s="451"/>
      <c r="AN163" s="452"/>
      <c r="AO163" s="453"/>
      <c r="AP163" s="449">
        <f>4176000-907864</f>
        <v>3268136</v>
      </c>
      <c r="AQ163" s="450"/>
      <c r="AR163" s="451"/>
      <c r="AS163" s="452"/>
      <c r="AT163" s="453"/>
      <c r="AU163" s="449">
        <v>0</v>
      </c>
      <c r="AV163" s="450"/>
      <c r="AW163" s="451"/>
      <c r="AX163" s="452"/>
      <c r="AY163" s="453"/>
      <c r="AZ163" s="449">
        <f>4344000-828139</f>
        <v>3515861</v>
      </c>
      <c r="BA163" s="450"/>
      <c r="BB163" s="451"/>
      <c r="BC163" s="452"/>
      <c r="BD163" s="453"/>
      <c r="BE163" s="449">
        <f>4400000-768756</f>
        <v>3631244</v>
      </c>
      <c r="BF163" s="450"/>
      <c r="BG163" s="451"/>
      <c r="BH163" s="452"/>
      <c r="BI163" s="453"/>
      <c r="BJ163" s="449">
        <v>0</v>
      </c>
      <c r="BK163" s="450"/>
      <c r="BL163" s="451"/>
      <c r="BM163" s="452"/>
      <c r="BN163" s="453"/>
      <c r="BO163" s="449">
        <v>0</v>
      </c>
      <c r="BP163" s="450"/>
      <c r="BQ163" s="451"/>
      <c r="BR163" s="452"/>
      <c r="BS163" s="453"/>
      <c r="BT163" s="449">
        <f>SUM(L163:BO163)</f>
        <v>26167548</v>
      </c>
      <c r="BU163" s="450"/>
      <c r="BV163" s="451"/>
      <c r="BW163" s="452"/>
      <c r="BX163" s="453"/>
      <c r="BY163" s="449">
        <v>25378456</v>
      </c>
      <c r="BZ163" s="450"/>
      <c r="CA163" s="451"/>
      <c r="CB163" s="452"/>
      <c r="CC163" s="453"/>
      <c r="CD163" s="449">
        <f>800000-75033</f>
        <v>724967</v>
      </c>
      <c r="CE163" s="450"/>
      <c r="CF163" s="451"/>
      <c r="CG163" s="452"/>
      <c r="CH163" s="453"/>
      <c r="CI163" s="449">
        <f>1648468-165869</f>
        <v>1482599</v>
      </c>
      <c r="CJ163" s="450"/>
      <c r="CK163" s="451"/>
      <c r="CL163" s="452"/>
      <c r="CM163" s="453"/>
      <c r="CN163" s="449">
        <v>0</v>
      </c>
      <c r="CO163" s="450"/>
      <c r="CP163" s="451"/>
      <c r="CQ163" s="452"/>
      <c r="CR163" s="453"/>
      <c r="CS163" s="449">
        <f>3292000-271930</f>
        <v>3020070</v>
      </c>
      <c r="CT163" s="450"/>
      <c r="CU163" s="451"/>
      <c r="CV163" s="452"/>
      <c r="CW163" s="453"/>
      <c r="CX163" s="449">
        <f>2823000-313566</f>
        <v>2509434</v>
      </c>
      <c r="CY163" s="450"/>
      <c r="CZ163" s="451"/>
      <c r="DA163" s="452"/>
      <c r="DB163" s="453"/>
      <c r="DC163" s="449">
        <f>1510000-156930</f>
        <v>1353070</v>
      </c>
      <c r="DD163" s="450"/>
      <c r="DE163" s="451"/>
      <c r="DF163" s="452"/>
      <c r="DG163" s="453"/>
      <c r="DH163" s="449">
        <f>1910000-180384</f>
        <v>1729616</v>
      </c>
      <c r="DI163" s="450"/>
      <c r="DJ163" s="451"/>
      <c r="DK163" s="452"/>
      <c r="DL163" s="453"/>
      <c r="DM163" s="449">
        <f>3528000-413024</f>
        <v>3114976</v>
      </c>
      <c r="DN163" s="450"/>
      <c r="DO163" s="451"/>
      <c r="DP163" s="452"/>
      <c r="DQ163" s="453"/>
      <c r="DR163" s="449">
        <f>755000-96806</f>
        <v>658194</v>
      </c>
      <c r="DS163" s="450"/>
      <c r="DT163" s="451"/>
      <c r="DU163" s="452"/>
      <c r="DV163" s="453"/>
      <c r="DW163" s="449">
        <f>3760000-462363</f>
        <v>3297637</v>
      </c>
      <c r="DX163" s="450"/>
      <c r="DY163" s="451"/>
      <c r="DZ163" s="452"/>
      <c r="EA163" s="453"/>
      <c r="EB163" s="449">
        <f>2264000-253083</f>
        <v>2010917</v>
      </c>
      <c r="EC163" s="450"/>
      <c r="ED163" s="451"/>
      <c r="EE163" s="452"/>
      <c r="EF163" s="453"/>
      <c r="EG163" s="449">
        <f>6862000-1385024</f>
        <v>5476976</v>
      </c>
      <c r="EH163" s="450"/>
      <c r="EI163" s="451"/>
      <c r="EJ163" s="452"/>
      <c r="EK163" s="453"/>
      <c r="EL163" s="449">
        <f>SUM(CD163:DW163)</f>
        <v>17890563</v>
      </c>
      <c r="EM163" s="450"/>
      <c r="EN163" s="451"/>
      <c r="EO163" s="13"/>
      <c r="ER163" s="14"/>
      <c r="ES163" s="14"/>
    </row>
    <row r="164" spans="4:149" ht="12.75" customHeight="1" x14ac:dyDescent="0.2">
      <c r="D164" s="13" t="s">
        <v>349</v>
      </c>
      <c r="F164" s="198"/>
      <c r="G164" s="451">
        <v>0</v>
      </c>
      <c r="H164" s="455"/>
      <c r="I164" s="451"/>
      <c r="J164" s="452"/>
      <c r="K164" s="452"/>
      <c r="L164" s="451">
        <v>705765</v>
      </c>
      <c r="M164" s="455"/>
      <c r="N164" s="451"/>
      <c r="O164" s="452"/>
      <c r="P164" s="452"/>
      <c r="Q164" s="451">
        <v>0</v>
      </c>
      <c r="R164" s="455"/>
      <c r="S164" s="451"/>
      <c r="T164" s="452"/>
      <c r="U164" s="452"/>
      <c r="V164" s="451">
        <v>671900</v>
      </c>
      <c r="W164" s="455"/>
      <c r="X164" s="451"/>
      <c r="Y164" s="452"/>
      <c r="Z164" s="452"/>
      <c r="AA164" s="451">
        <v>939132</v>
      </c>
      <c r="AB164" s="455"/>
      <c r="AC164" s="451"/>
      <c r="AD164" s="452"/>
      <c r="AE164" s="452"/>
      <c r="AF164" s="451">
        <v>763219</v>
      </c>
      <c r="AG164" s="455"/>
      <c r="AH164" s="451"/>
      <c r="AI164" s="452"/>
      <c r="AJ164" s="452"/>
      <c r="AK164" s="451">
        <v>879677</v>
      </c>
      <c r="AL164" s="455"/>
      <c r="AM164" s="451"/>
      <c r="AN164" s="452"/>
      <c r="AO164" s="452"/>
      <c r="AP164" s="451">
        <v>907864</v>
      </c>
      <c r="AQ164" s="455"/>
      <c r="AR164" s="451"/>
      <c r="AS164" s="452"/>
      <c r="AT164" s="452"/>
      <c r="AU164" s="451">
        <v>0</v>
      </c>
      <c r="AV164" s="455"/>
      <c r="AW164" s="451"/>
      <c r="AX164" s="452"/>
      <c r="AY164" s="452"/>
      <c r="AZ164" s="451">
        <v>828139</v>
      </c>
      <c r="BA164" s="455"/>
      <c r="BB164" s="451"/>
      <c r="BC164" s="452"/>
      <c r="BD164" s="452"/>
      <c r="BE164" s="451">
        <v>768756</v>
      </c>
      <c r="BF164" s="455"/>
      <c r="BG164" s="451"/>
      <c r="BH164" s="452"/>
      <c r="BI164" s="452"/>
      <c r="BJ164" s="451">
        <v>0</v>
      </c>
      <c r="BK164" s="455"/>
      <c r="BL164" s="451"/>
      <c r="BM164" s="452"/>
      <c r="BN164" s="452"/>
      <c r="BO164" s="451">
        <v>0</v>
      </c>
      <c r="BP164" s="455"/>
      <c r="BQ164" s="451"/>
      <c r="BR164" s="452"/>
      <c r="BS164" s="452"/>
      <c r="BT164" s="451">
        <f>SUM(L164:BO164)</f>
        <v>6464452</v>
      </c>
      <c r="BU164" s="455"/>
      <c r="BV164" s="451"/>
      <c r="BW164" s="452"/>
      <c r="BX164" s="452"/>
      <c r="BY164" s="451">
        <v>3774012</v>
      </c>
      <c r="BZ164" s="455"/>
      <c r="CA164" s="451"/>
      <c r="CB164" s="452"/>
      <c r="CC164" s="452"/>
      <c r="CD164" s="451">
        <v>75033</v>
      </c>
      <c r="CE164" s="455"/>
      <c r="CF164" s="451"/>
      <c r="CG164" s="452"/>
      <c r="CH164" s="452"/>
      <c r="CI164" s="451">
        <v>165869</v>
      </c>
      <c r="CJ164" s="455"/>
      <c r="CK164" s="451"/>
      <c r="CL164" s="452"/>
      <c r="CM164" s="452"/>
      <c r="CN164" s="451">
        <v>0</v>
      </c>
      <c r="CO164" s="455"/>
      <c r="CP164" s="451"/>
      <c r="CQ164" s="452"/>
      <c r="CR164" s="452"/>
      <c r="CS164" s="451">
        <v>271930</v>
      </c>
      <c r="CT164" s="455"/>
      <c r="CU164" s="451"/>
      <c r="CV164" s="452"/>
      <c r="CW164" s="452"/>
      <c r="CX164" s="451">
        <v>313566</v>
      </c>
      <c r="CY164" s="455"/>
      <c r="CZ164" s="451"/>
      <c r="DA164" s="452"/>
      <c r="DB164" s="452"/>
      <c r="DC164" s="451">
        <v>156930</v>
      </c>
      <c r="DD164" s="455"/>
      <c r="DE164" s="451"/>
      <c r="DF164" s="452"/>
      <c r="DG164" s="452"/>
      <c r="DH164" s="451">
        <v>180384</v>
      </c>
      <c r="DI164" s="455"/>
      <c r="DJ164" s="451"/>
      <c r="DK164" s="452"/>
      <c r="DL164" s="452"/>
      <c r="DM164" s="451">
        <v>413024</v>
      </c>
      <c r="DN164" s="455"/>
      <c r="DO164" s="451"/>
      <c r="DP164" s="452"/>
      <c r="DQ164" s="452"/>
      <c r="DR164" s="451">
        <v>96806</v>
      </c>
      <c r="DS164" s="455"/>
      <c r="DT164" s="451"/>
      <c r="DU164" s="452"/>
      <c r="DV164" s="452"/>
      <c r="DW164" s="451">
        <v>462363</v>
      </c>
      <c r="DX164" s="455"/>
      <c r="DY164" s="451"/>
      <c r="DZ164" s="452"/>
      <c r="EA164" s="452"/>
      <c r="EB164" s="451">
        <v>253083</v>
      </c>
      <c r="EC164" s="455"/>
      <c r="ED164" s="451"/>
      <c r="EE164" s="452"/>
      <c r="EF164" s="452"/>
      <c r="EG164" s="451">
        <v>1385024</v>
      </c>
      <c r="EH164" s="455"/>
      <c r="EI164" s="451"/>
      <c r="EJ164" s="452"/>
      <c r="EK164" s="452"/>
      <c r="EL164" s="451">
        <f>SUM(CD164:DW164)</f>
        <v>2135905</v>
      </c>
      <c r="EM164" s="455"/>
      <c r="EN164" s="451"/>
      <c r="EO164" s="13"/>
      <c r="ER164" s="14"/>
      <c r="ES164" s="14"/>
    </row>
    <row r="165" spans="4:149" ht="12.75" customHeight="1" x14ac:dyDescent="0.2">
      <c r="D165" s="13" t="s">
        <v>350</v>
      </c>
      <c r="F165" s="385"/>
      <c r="G165" s="463">
        <v>0</v>
      </c>
      <c r="H165" s="464"/>
      <c r="I165" s="451"/>
      <c r="J165" s="452"/>
      <c r="K165" s="465"/>
      <c r="L165" s="463">
        <v>0</v>
      </c>
      <c r="M165" s="464"/>
      <c r="N165" s="451"/>
      <c r="O165" s="452"/>
      <c r="P165" s="465"/>
      <c r="Q165" s="463">
        <v>0</v>
      </c>
      <c r="R165" s="464"/>
      <c r="S165" s="451"/>
      <c r="T165" s="452"/>
      <c r="U165" s="465"/>
      <c r="V165" s="463">
        <v>0</v>
      </c>
      <c r="W165" s="464"/>
      <c r="X165" s="451"/>
      <c r="Y165" s="452"/>
      <c r="Z165" s="465"/>
      <c r="AA165" s="463">
        <v>0</v>
      </c>
      <c r="AB165" s="464"/>
      <c r="AC165" s="451"/>
      <c r="AD165" s="452"/>
      <c r="AE165" s="465"/>
      <c r="AF165" s="463">
        <v>0</v>
      </c>
      <c r="AG165" s="464"/>
      <c r="AH165" s="451"/>
      <c r="AI165" s="452"/>
      <c r="AJ165" s="465"/>
      <c r="AK165" s="463">
        <v>0</v>
      </c>
      <c r="AL165" s="464"/>
      <c r="AM165" s="451"/>
      <c r="AN165" s="452"/>
      <c r="AO165" s="465"/>
      <c r="AP165" s="463">
        <v>0</v>
      </c>
      <c r="AQ165" s="464"/>
      <c r="AR165" s="451"/>
      <c r="AS165" s="452"/>
      <c r="AT165" s="465"/>
      <c r="AU165" s="463">
        <v>0</v>
      </c>
      <c r="AV165" s="464"/>
      <c r="AW165" s="451"/>
      <c r="AX165" s="452"/>
      <c r="AY165" s="465"/>
      <c r="AZ165" s="463">
        <v>0</v>
      </c>
      <c r="BA165" s="464"/>
      <c r="BB165" s="451"/>
      <c r="BC165" s="452"/>
      <c r="BD165" s="465"/>
      <c r="BE165" s="463">
        <v>0</v>
      </c>
      <c r="BF165" s="464"/>
      <c r="BG165" s="451"/>
      <c r="BH165" s="452"/>
      <c r="BI165" s="465"/>
      <c r="BJ165" s="463">
        <v>0</v>
      </c>
      <c r="BK165" s="464"/>
      <c r="BL165" s="451"/>
      <c r="BM165" s="452"/>
      <c r="BN165" s="465"/>
      <c r="BO165" s="463">
        <v>0</v>
      </c>
      <c r="BP165" s="464"/>
      <c r="BQ165" s="451"/>
      <c r="BR165" s="452"/>
      <c r="BS165" s="465"/>
      <c r="BT165" s="463">
        <f>SUM(L165:BO165)</f>
        <v>0</v>
      </c>
      <c r="BU165" s="464"/>
      <c r="BV165" s="451"/>
      <c r="BW165" s="452"/>
      <c r="BX165" s="465"/>
      <c r="BY165" s="463">
        <v>0</v>
      </c>
      <c r="BZ165" s="464"/>
      <c r="CA165" s="451"/>
      <c r="CB165" s="452"/>
      <c r="CC165" s="465"/>
      <c r="CD165" s="463">
        <v>0</v>
      </c>
      <c r="CE165" s="464"/>
      <c r="CF165" s="451"/>
      <c r="CG165" s="452"/>
      <c r="CH165" s="465"/>
      <c r="CI165" s="463">
        <v>0</v>
      </c>
      <c r="CJ165" s="464"/>
      <c r="CK165" s="451"/>
      <c r="CL165" s="452"/>
      <c r="CM165" s="465"/>
      <c r="CN165" s="463">
        <v>0</v>
      </c>
      <c r="CO165" s="464"/>
      <c r="CP165" s="451"/>
      <c r="CQ165" s="452"/>
      <c r="CR165" s="465"/>
      <c r="CS165" s="463">
        <v>0</v>
      </c>
      <c r="CT165" s="464"/>
      <c r="CU165" s="451"/>
      <c r="CV165" s="452"/>
      <c r="CW165" s="465"/>
      <c r="CX165" s="463">
        <v>0</v>
      </c>
      <c r="CY165" s="464"/>
      <c r="CZ165" s="451"/>
      <c r="DA165" s="452"/>
      <c r="DB165" s="465"/>
      <c r="DC165" s="463">
        <v>0</v>
      </c>
      <c r="DD165" s="464"/>
      <c r="DE165" s="451"/>
      <c r="DF165" s="452"/>
      <c r="DG165" s="465"/>
      <c r="DH165" s="463">
        <v>0</v>
      </c>
      <c r="DI165" s="464"/>
      <c r="DJ165" s="451"/>
      <c r="DK165" s="452"/>
      <c r="DL165" s="465"/>
      <c r="DM165" s="463">
        <v>0</v>
      </c>
      <c r="DN165" s="464"/>
      <c r="DO165" s="451"/>
      <c r="DP165" s="452"/>
      <c r="DQ165" s="465"/>
      <c r="DR165" s="463">
        <v>0</v>
      </c>
      <c r="DS165" s="464"/>
      <c r="DT165" s="451"/>
      <c r="DU165" s="452"/>
      <c r="DV165" s="465"/>
      <c r="DW165" s="463">
        <v>0</v>
      </c>
      <c r="DX165" s="464"/>
      <c r="DY165" s="451"/>
      <c r="DZ165" s="452"/>
      <c r="EA165" s="465"/>
      <c r="EB165" s="463">
        <v>0</v>
      </c>
      <c r="EC165" s="464"/>
      <c r="ED165" s="451"/>
      <c r="EE165" s="452"/>
      <c r="EF165" s="465"/>
      <c r="EG165" s="463">
        <v>0</v>
      </c>
      <c r="EH165" s="464"/>
      <c r="EI165" s="451"/>
      <c r="EJ165" s="452"/>
      <c r="EK165" s="465"/>
      <c r="EL165" s="463">
        <f>SUM(CD165:DW165)</f>
        <v>0</v>
      </c>
      <c r="EM165" s="464"/>
      <c r="EN165" s="451"/>
      <c r="EO165" s="13"/>
      <c r="ER165" s="14"/>
      <c r="ES165" s="14"/>
    </row>
    <row r="166" spans="4:149" ht="12.75" customHeight="1" x14ac:dyDescent="0.2">
      <c r="D166" s="13"/>
      <c r="G166" s="451"/>
      <c r="H166" s="451"/>
      <c r="I166" s="451"/>
      <c r="J166" s="452"/>
      <c r="K166" s="451"/>
      <c r="L166" s="451"/>
      <c r="M166" s="451"/>
      <c r="N166" s="451"/>
      <c r="O166" s="452"/>
      <c r="P166" s="451"/>
      <c r="Q166" s="451"/>
      <c r="R166" s="451"/>
      <c r="S166" s="451"/>
      <c r="T166" s="452"/>
      <c r="U166" s="451"/>
      <c r="V166" s="451"/>
      <c r="W166" s="451"/>
      <c r="X166" s="451"/>
      <c r="Y166" s="452"/>
      <c r="Z166" s="451"/>
      <c r="AA166" s="451"/>
      <c r="AB166" s="451"/>
      <c r="AC166" s="451"/>
      <c r="AD166" s="452"/>
      <c r="AE166" s="451"/>
      <c r="AF166" s="451"/>
      <c r="AG166" s="451"/>
      <c r="AH166" s="451"/>
      <c r="AI166" s="452"/>
      <c r="AJ166" s="451"/>
      <c r="AK166" s="451"/>
      <c r="AL166" s="451"/>
      <c r="AM166" s="451"/>
      <c r="AN166" s="452"/>
      <c r="AO166" s="451"/>
      <c r="AP166" s="451"/>
      <c r="AQ166" s="451"/>
      <c r="AR166" s="451"/>
      <c r="AS166" s="452"/>
      <c r="AT166" s="451"/>
      <c r="AU166" s="451"/>
      <c r="AV166" s="451"/>
      <c r="AW166" s="451"/>
      <c r="AX166" s="452"/>
      <c r="AY166" s="451"/>
      <c r="AZ166" s="451"/>
      <c r="BA166" s="451"/>
      <c r="BB166" s="451"/>
      <c r="BC166" s="452"/>
      <c r="BD166" s="451"/>
      <c r="BE166" s="451"/>
      <c r="BF166" s="451"/>
      <c r="BG166" s="451"/>
      <c r="BH166" s="452"/>
      <c r="BI166" s="451"/>
      <c r="BJ166" s="451"/>
      <c r="BK166" s="451"/>
      <c r="BL166" s="451"/>
      <c r="BM166" s="452"/>
      <c r="BN166" s="451"/>
      <c r="BO166" s="451"/>
      <c r="BP166" s="451"/>
      <c r="BQ166" s="451"/>
      <c r="BR166" s="452"/>
      <c r="BS166" s="451"/>
      <c r="BT166" s="451"/>
      <c r="BU166" s="451"/>
      <c r="BV166" s="451"/>
      <c r="BW166" s="452"/>
      <c r="BX166" s="451"/>
      <c r="BY166" s="451"/>
      <c r="BZ166" s="451"/>
      <c r="CA166" s="451"/>
      <c r="CB166" s="452"/>
      <c r="CC166" s="451"/>
      <c r="CD166" s="451"/>
      <c r="CE166" s="451"/>
      <c r="CF166" s="451"/>
      <c r="CG166" s="452"/>
      <c r="CH166" s="451"/>
      <c r="CI166" s="451"/>
      <c r="CJ166" s="451"/>
      <c r="CK166" s="451"/>
      <c r="CL166" s="452"/>
      <c r="CM166" s="451"/>
      <c r="CN166" s="451"/>
      <c r="CO166" s="451"/>
      <c r="CP166" s="451"/>
      <c r="CQ166" s="452"/>
      <c r="CR166" s="451"/>
      <c r="CS166" s="451"/>
      <c r="CT166" s="451"/>
      <c r="CU166" s="451"/>
      <c r="CV166" s="452"/>
      <c r="CW166" s="451"/>
      <c r="CX166" s="451"/>
      <c r="CY166" s="451"/>
      <c r="CZ166" s="451"/>
      <c r="DA166" s="452"/>
      <c r="DB166" s="451"/>
      <c r="DC166" s="451"/>
      <c r="DD166" s="451"/>
      <c r="DE166" s="451"/>
      <c r="DF166" s="452"/>
      <c r="DG166" s="451"/>
      <c r="DH166" s="451"/>
      <c r="DI166" s="451"/>
      <c r="DJ166" s="451"/>
      <c r="DK166" s="452"/>
      <c r="DL166" s="451"/>
      <c r="DM166" s="451"/>
      <c r="DN166" s="451"/>
      <c r="DO166" s="451"/>
      <c r="DP166" s="452"/>
      <c r="DQ166" s="451"/>
      <c r="DR166" s="451"/>
      <c r="DS166" s="451"/>
      <c r="DT166" s="451"/>
      <c r="DU166" s="452"/>
      <c r="DV166" s="451"/>
      <c r="DW166" s="451"/>
      <c r="DX166" s="451"/>
      <c r="DY166" s="451"/>
      <c r="DZ166" s="452"/>
      <c r="EA166" s="451"/>
      <c r="EB166" s="451"/>
      <c r="EC166" s="451"/>
      <c r="ED166" s="451"/>
      <c r="EE166" s="452"/>
      <c r="EF166" s="451"/>
      <c r="EG166" s="451"/>
      <c r="EH166" s="451"/>
      <c r="EI166" s="451"/>
      <c r="EJ166" s="452"/>
      <c r="EK166" s="451"/>
      <c r="EL166" s="451"/>
      <c r="EM166" s="451"/>
      <c r="EN166" s="451"/>
      <c r="EO166" s="13"/>
      <c r="ER166" s="14"/>
      <c r="ES166" s="14"/>
    </row>
    <row r="167" spans="4:149" ht="12.75" customHeight="1" x14ac:dyDescent="0.2">
      <c r="D167" s="13" t="s">
        <v>379</v>
      </c>
      <c r="G167" s="451">
        <f>SUM(G168:G170)</f>
        <v>0</v>
      </c>
      <c r="H167" s="451"/>
      <c r="I167" s="451"/>
      <c r="J167" s="452"/>
      <c r="K167" s="451"/>
      <c r="L167" s="451">
        <f>SUM(L168:L170)</f>
        <v>0</v>
      </c>
      <c r="M167" s="451"/>
      <c r="N167" s="451"/>
      <c r="O167" s="452"/>
      <c r="P167" s="451"/>
      <c r="Q167" s="451">
        <f>SUM(Q168:Q170)</f>
        <v>0</v>
      </c>
      <c r="R167" s="451"/>
      <c r="S167" s="451"/>
      <c r="T167" s="452"/>
      <c r="U167" s="451"/>
      <c r="V167" s="451">
        <f>SUM(V168:V170)</f>
        <v>0</v>
      </c>
      <c r="W167" s="451"/>
      <c r="X167" s="451"/>
      <c r="Y167" s="452"/>
      <c r="Z167" s="451"/>
      <c r="AA167" s="451">
        <f>SUM(AA168:AA170)</f>
        <v>0</v>
      </c>
      <c r="AB167" s="451"/>
      <c r="AC167" s="451"/>
      <c r="AD167" s="452"/>
      <c r="AE167" s="451"/>
      <c r="AF167" s="451">
        <f>SUM(AF168:AF170)</f>
        <v>2200000</v>
      </c>
      <c r="AG167" s="451"/>
      <c r="AH167" s="451"/>
      <c r="AI167" s="452"/>
      <c r="AJ167" s="451"/>
      <c r="AK167" s="451">
        <f>SUM(AK168:AK170)</f>
        <v>4397000</v>
      </c>
      <c r="AL167" s="451"/>
      <c r="AM167" s="451"/>
      <c r="AN167" s="452"/>
      <c r="AO167" s="451"/>
      <c r="AP167" s="451">
        <f>SUM(AP168:AP170)</f>
        <v>2250000</v>
      </c>
      <c r="AQ167" s="451"/>
      <c r="AR167" s="451"/>
      <c r="AS167" s="452"/>
      <c r="AT167" s="451"/>
      <c r="AU167" s="451">
        <f>SUM(AU168:AU170)</f>
        <v>4177000</v>
      </c>
      <c r="AV167" s="451"/>
      <c r="AW167" s="451"/>
      <c r="AX167" s="452"/>
      <c r="AY167" s="451"/>
      <c r="AZ167" s="451">
        <f>SUM(AZ168:AZ170)</f>
        <v>0</v>
      </c>
      <c r="BA167" s="451"/>
      <c r="BB167" s="451"/>
      <c r="BC167" s="452"/>
      <c r="BD167" s="451"/>
      <c r="BE167" s="451">
        <f>SUM(BE168:BE170)</f>
        <v>0</v>
      </c>
      <c r="BF167" s="451"/>
      <c r="BG167" s="451"/>
      <c r="BH167" s="452"/>
      <c r="BI167" s="451"/>
      <c r="BJ167" s="451">
        <f>SUM(BJ168:BJ170)</f>
        <v>0</v>
      </c>
      <c r="BK167" s="451"/>
      <c r="BL167" s="451"/>
      <c r="BM167" s="452"/>
      <c r="BN167" s="451"/>
      <c r="BO167" s="451">
        <f>SUM(BO168:BO170)</f>
        <v>0</v>
      </c>
      <c r="BP167" s="451"/>
      <c r="BQ167" s="451"/>
      <c r="BR167" s="452"/>
      <c r="BS167" s="451"/>
      <c r="BT167" s="451">
        <f>SUM(BT168:BT170)</f>
        <v>13024000</v>
      </c>
      <c r="BU167" s="451"/>
      <c r="BV167" s="451"/>
      <c r="BW167" s="452"/>
      <c r="BX167" s="451"/>
      <c r="BY167" s="451">
        <f>SUM(BY168:BY170)</f>
        <v>16284676</v>
      </c>
      <c r="BZ167" s="451"/>
      <c r="CA167" s="451"/>
      <c r="CB167" s="452"/>
      <c r="CC167" s="451"/>
      <c r="CD167" s="451">
        <f>SUM(CD168:CD170)</f>
        <v>1647000</v>
      </c>
      <c r="CE167" s="451"/>
      <c r="CF167" s="451"/>
      <c r="CG167" s="452"/>
      <c r="CH167" s="451"/>
      <c r="CI167" s="451">
        <f>SUM(CI168:CI170)</f>
        <v>1138676</v>
      </c>
      <c r="CJ167" s="451"/>
      <c r="CK167" s="451"/>
      <c r="CL167" s="452"/>
      <c r="CM167" s="451"/>
      <c r="CN167" s="451">
        <f>SUM(CN168:CN170)</f>
        <v>0</v>
      </c>
      <c r="CO167" s="451"/>
      <c r="CP167" s="451"/>
      <c r="CQ167" s="452"/>
      <c r="CR167" s="451"/>
      <c r="CS167" s="451">
        <f>SUM(CS168:CS170)</f>
        <v>0</v>
      </c>
      <c r="CT167" s="451"/>
      <c r="CU167" s="451"/>
      <c r="CV167" s="452"/>
      <c r="CW167" s="451"/>
      <c r="CX167" s="451">
        <f>SUM(CX168:CX170)</f>
        <v>2262000</v>
      </c>
      <c r="CY167" s="451"/>
      <c r="CZ167" s="451"/>
      <c r="DA167" s="452"/>
      <c r="DB167" s="451"/>
      <c r="DC167" s="451">
        <f>SUM(DC168:DC170)</f>
        <v>0</v>
      </c>
      <c r="DD167" s="451"/>
      <c r="DE167" s="451"/>
      <c r="DF167" s="452"/>
      <c r="DG167" s="451"/>
      <c r="DH167" s="451">
        <f>SUM(DH168:DH170)</f>
        <v>0</v>
      </c>
      <c r="DI167" s="451"/>
      <c r="DJ167" s="451"/>
      <c r="DK167" s="452"/>
      <c r="DL167" s="451"/>
      <c r="DM167" s="451">
        <f>SUM(DM168:DM170)</f>
        <v>3773000</v>
      </c>
      <c r="DN167" s="451"/>
      <c r="DO167" s="451"/>
      <c r="DP167" s="452"/>
      <c r="DQ167" s="451"/>
      <c r="DR167" s="451">
        <f>SUM(DR168:DR170)</f>
        <v>752000</v>
      </c>
      <c r="DS167" s="451"/>
      <c r="DT167" s="451"/>
      <c r="DU167" s="452"/>
      <c r="DV167" s="451"/>
      <c r="DW167" s="451">
        <f>SUM(DW168:DW170)</f>
        <v>3698000</v>
      </c>
      <c r="DX167" s="451"/>
      <c r="DY167" s="451"/>
      <c r="DZ167" s="452"/>
      <c r="EA167" s="451"/>
      <c r="EB167" s="451">
        <f>SUM(EB168:EB170)</f>
        <v>3014000</v>
      </c>
      <c r="EC167" s="451"/>
      <c r="ED167" s="451"/>
      <c r="EE167" s="452"/>
      <c r="EF167" s="451"/>
      <c r="EG167" s="451">
        <f>SUM(EG168:EG170)</f>
        <v>0</v>
      </c>
      <c r="EH167" s="451"/>
      <c r="EI167" s="451"/>
      <c r="EJ167" s="452"/>
      <c r="EK167" s="451"/>
      <c r="EL167" s="451">
        <f>SUM(EL168:EL170)</f>
        <v>13270676</v>
      </c>
      <c r="EM167" s="451"/>
      <c r="EN167" s="451"/>
      <c r="EO167" s="13"/>
      <c r="ER167" s="14"/>
      <c r="ES167" s="14"/>
    </row>
    <row r="168" spans="4:149" ht="12.75" customHeight="1" x14ac:dyDescent="0.2">
      <c r="D168" s="13" t="s">
        <v>347</v>
      </c>
      <c r="F168" s="374"/>
      <c r="G168" s="449">
        <v>0</v>
      </c>
      <c r="H168" s="450"/>
      <c r="I168" s="451"/>
      <c r="J168" s="452"/>
      <c r="K168" s="453"/>
      <c r="L168" s="449">
        <v>0</v>
      </c>
      <c r="M168" s="450"/>
      <c r="N168" s="451"/>
      <c r="O168" s="452"/>
      <c r="P168" s="453"/>
      <c r="Q168" s="449">
        <v>0</v>
      </c>
      <c r="R168" s="450"/>
      <c r="S168" s="451"/>
      <c r="T168" s="452"/>
      <c r="U168" s="453"/>
      <c r="V168" s="449">
        <v>0</v>
      </c>
      <c r="W168" s="450"/>
      <c r="X168" s="451"/>
      <c r="Y168" s="452"/>
      <c r="Z168" s="453"/>
      <c r="AA168" s="449">
        <v>0</v>
      </c>
      <c r="AB168" s="450"/>
      <c r="AC168" s="451"/>
      <c r="AD168" s="452"/>
      <c r="AE168" s="453"/>
      <c r="AF168" s="449">
        <f>2200000-491030</f>
        <v>1708970</v>
      </c>
      <c r="AG168" s="450"/>
      <c r="AH168" s="451"/>
      <c r="AI168" s="452"/>
      <c r="AJ168" s="453"/>
      <c r="AK168" s="449">
        <f>4397000-926461</f>
        <v>3470539</v>
      </c>
      <c r="AL168" s="450"/>
      <c r="AM168" s="451"/>
      <c r="AN168" s="452"/>
      <c r="AO168" s="453"/>
      <c r="AP168" s="449">
        <f>2250000-528176</f>
        <v>1721824</v>
      </c>
      <c r="AQ168" s="450"/>
      <c r="AR168" s="451"/>
      <c r="AS168" s="452"/>
      <c r="AT168" s="453"/>
      <c r="AU168" s="449">
        <f>4177000-864039</f>
        <v>3312961</v>
      </c>
      <c r="AV168" s="450"/>
      <c r="AW168" s="451"/>
      <c r="AX168" s="452"/>
      <c r="AY168" s="453"/>
      <c r="AZ168" s="449">
        <v>0</v>
      </c>
      <c r="BA168" s="450"/>
      <c r="BB168" s="451"/>
      <c r="BC168" s="452"/>
      <c r="BD168" s="453"/>
      <c r="BE168" s="449">
        <v>0</v>
      </c>
      <c r="BF168" s="450"/>
      <c r="BG168" s="451"/>
      <c r="BH168" s="452"/>
      <c r="BI168" s="453"/>
      <c r="BJ168" s="449">
        <v>0</v>
      </c>
      <c r="BK168" s="450"/>
      <c r="BL168" s="451"/>
      <c r="BM168" s="452"/>
      <c r="BN168" s="453"/>
      <c r="BO168" s="449">
        <v>0</v>
      </c>
      <c r="BP168" s="450"/>
      <c r="BQ168" s="451"/>
      <c r="BR168" s="452"/>
      <c r="BS168" s="453"/>
      <c r="BT168" s="449">
        <f>SUM(L168:BO168)</f>
        <v>10214294</v>
      </c>
      <c r="BU168" s="450"/>
      <c r="BV168" s="451"/>
      <c r="BW168" s="452"/>
      <c r="BX168" s="453"/>
      <c r="BY168" s="449">
        <v>14295666</v>
      </c>
      <c r="BZ168" s="450"/>
      <c r="CA168" s="451"/>
      <c r="CB168" s="452"/>
      <c r="CC168" s="453"/>
      <c r="CD168" s="449">
        <f>1647000-140372</f>
        <v>1506628</v>
      </c>
      <c r="CE168" s="450"/>
      <c r="CF168" s="451"/>
      <c r="CG168" s="452"/>
      <c r="CH168" s="453"/>
      <c r="CI168" s="449">
        <f>1138676-110643</f>
        <v>1028033</v>
      </c>
      <c r="CJ168" s="450"/>
      <c r="CK168" s="451"/>
      <c r="CL168" s="452"/>
      <c r="CM168" s="453"/>
      <c r="CN168" s="449">
        <v>0</v>
      </c>
      <c r="CO168" s="450"/>
      <c r="CP168" s="451"/>
      <c r="CQ168" s="452"/>
      <c r="CR168" s="453"/>
      <c r="CS168" s="449">
        <v>0</v>
      </c>
      <c r="CT168" s="450"/>
      <c r="CU168" s="451"/>
      <c r="CV168" s="452"/>
      <c r="CW168" s="453"/>
      <c r="CX168" s="449">
        <f>2262000-273679</f>
        <v>1988321</v>
      </c>
      <c r="CY168" s="450"/>
      <c r="CZ168" s="451"/>
      <c r="DA168" s="452"/>
      <c r="DB168" s="453"/>
      <c r="DC168" s="449">
        <v>0</v>
      </c>
      <c r="DD168" s="450"/>
      <c r="DE168" s="451"/>
      <c r="DF168" s="452"/>
      <c r="DG168" s="453"/>
      <c r="DH168" s="449">
        <v>0</v>
      </c>
      <c r="DI168" s="450"/>
      <c r="DJ168" s="451"/>
      <c r="DK168" s="452"/>
      <c r="DL168" s="453"/>
      <c r="DM168" s="449">
        <f>3773000-492118</f>
        <v>3280882</v>
      </c>
      <c r="DN168" s="450"/>
      <c r="DO168" s="451"/>
      <c r="DP168" s="452"/>
      <c r="DQ168" s="453"/>
      <c r="DR168" s="449">
        <f>752000-103238</f>
        <v>648762</v>
      </c>
      <c r="DS168" s="450"/>
      <c r="DT168" s="451"/>
      <c r="DU168" s="452"/>
      <c r="DV168" s="453"/>
      <c r="DW168" s="449">
        <f>3698000-482202</f>
        <v>3215798</v>
      </c>
      <c r="DX168" s="450"/>
      <c r="DY168" s="451"/>
      <c r="DZ168" s="452"/>
      <c r="EA168" s="453"/>
      <c r="EB168" s="449">
        <f>3014000-386758</f>
        <v>2627242</v>
      </c>
      <c r="EC168" s="450"/>
      <c r="ED168" s="451"/>
      <c r="EE168" s="452"/>
      <c r="EF168" s="453"/>
      <c r="EG168" s="449">
        <v>0</v>
      </c>
      <c r="EH168" s="450"/>
      <c r="EI168" s="451"/>
      <c r="EJ168" s="452"/>
      <c r="EK168" s="453"/>
      <c r="EL168" s="449">
        <f>SUM(CD168:DW168)</f>
        <v>11668424</v>
      </c>
      <c r="EM168" s="450"/>
      <c r="EN168" s="451"/>
      <c r="EO168" s="13"/>
      <c r="ER168" s="14"/>
      <c r="ES168" s="14"/>
    </row>
    <row r="169" spans="4:149" ht="12.75" customHeight="1" x14ac:dyDescent="0.2">
      <c r="D169" s="13" t="s">
        <v>349</v>
      </c>
      <c r="F169" s="198"/>
      <c r="G169" s="451">
        <v>0</v>
      </c>
      <c r="H169" s="455"/>
      <c r="I169" s="451"/>
      <c r="J169" s="452"/>
      <c r="K169" s="452"/>
      <c r="L169" s="451">
        <v>0</v>
      </c>
      <c r="M169" s="455"/>
      <c r="N169" s="451"/>
      <c r="O169" s="452"/>
      <c r="P169" s="452"/>
      <c r="Q169" s="451">
        <v>0</v>
      </c>
      <c r="R169" s="455"/>
      <c r="S169" s="451"/>
      <c r="T169" s="452"/>
      <c r="U169" s="452"/>
      <c r="V169" s="451">
        <v>0</v>
      </c>
      <c r="W169" s="455"/>
      <c r="X169" s="451"/>
      <c r="Y169" s="452"/>
      <c r="Z169" s="452"/>
      <c r="AA169" s="451">
        <v>0</v>
      </c>
      <c r="AB169" s="455"/>
      <c r="AC169" s="451"/>
      <c r="AD169" s="452"/>
      <c r="AE169" s="452"/>
      <c r="AF169" s="451">
        <v>491030</v>
      </c>
      <c r="AG169" s="455"/>
      <c r="AH169" s="451"/>
      <c r="AI169" s="452"/>
      <c r="AJ169" s="452"/>
      <c r="AK169" s="451">
        <v>926461</v>
      </c>
      <c r="AL169" s="455"/>
      <c r="AM169" s="451"/>
      <c r="AN169" s="452"/>
      <c r="AO169" s="452"/>
      <c r="AP169" s="451">
        <v>528176</v>
      </c>
      <c r="AQ169" s="455"/>
      <c r="AR169" s="451"/>
      <c r="AS169" s="452"/>
      <c r="AT169" s="452"/>
      <c r="AU169" s="451">
        <v>864039</v>
      </c>
      <c r="AV169" s="455"/>
      <c r="AW169" s="451"/>
      <c r="AX169" s="452"/>
      <c r="AY169" s="452"/>
      <c r="AZ169" s="451">
        <v>0</v>
      </c>
      <c r="BA169" s="455"/>
      <c r="BB169" s="451"/>
      <c r="BC169" s="452"/>
      <c r="BD169" s="452"/>
      <c r="BE169" s="451">
        <v>0</v>
      </c>
      <c r="BF169" s="455"/>
      <c r="BG169" s="451"/>
      <c r="BH169" s="452"/>
      <c r="BI169" s="452"/>
      <c r="BJ169" s="451">
        <v>0</v>
      </c>
      <c r="BK169" s="455"/>
      <c r="BL169" s="451"/>
      <c r="BM169" s="452"/>
      <c r="BN169" s="452"/>
      <c r="BO169" s="451">
        <v>0</v>
      </c>
      <c r="BP169" s="455"/>
      <c r="BQ169" s="451"/>
      <c r="BR169" s="452"/>
      <c r="BS169" s="452"/>
      <c r="BT169" s="451">
        <f>SUM(L169:BO169)</f>
        <v>2809706</v>
      </c>
      <c r="BU169" s="455"/>
      <c r="BV169" s="451"/>
      <c r="BW169" s="452"/>
      <c r="BX169" s="452"/>
      <c r="BY169" s="451">
        <v>1989010</v>
      </c>
      <c r="BZ169" s="455"/>
      <c r="CA169" s="451"/>
      <c r="CB169" s="452"/>
      <c r="CC169" s="452"/>
      <c r="CD169" s="451">
        <v>140372</v>
      </c>
      <c r="CE169" s="455"/>
      <c r="CF169" s="451"/>
      <c r="CG169" s="452"/>
      <c r="CH169" s="452"/>
      <c r="CI169" s="451">
        <v>110643</v>
      </c>
      <c r="CJ169" s="455"/>
      <c r="CK169" s="451"/>
      <c r="CL169" s="452"/>
      <c r="CM169" s="452"/>
      <c r="CN169" s="451">
        <v>0</v>
      </c>
      <c r="CO169" s="455"/>
      <c r="CP169" s="451"/>
      <c r="CQ169" s="452"/>
      <c r="CR169" s="452"/>
      <c r="CS169" s="451">
        <v>0</v>
      </c>
      <c r="CT169" s="455"/>
      <c r="CU169" s="451"/>
      <c r="CV169" s="452"/>
      <c r="CW169" s="452"/>
      <c r="CX169" s="451">
        <v>273679</v>
      </c>
      <c r="CY169" s="455"/>
      <c r="CZ169" s="451"/>
      <c r="DA169" s="452"/>
      <c r="DB169" s="452"/>
      <c r="DC169" s="451">
        <v>0</v>
      </c>
      <c r="DD169" s="455"/>
      <c r="DE169" s="451"/>
      <c r="DF169" s="452"/>
      <c r="DG169" s="452"/>
      <c r="DH169" s="451">
        <v>0</v>
      </c>
      <c r="DI169" s="455"/>
      <c r="DJ169" s="451"/>
      <c r="DK169" s="452"/>
      <c r="DL169" s="452"/>
      <c r="DM169" s="451">
        <v>492118</v>
      </c>
      <c r="DN169" s="455"/>
      <c r="DO169" s="451"/>
      <c r="DP169" s="452"/>
      <c r="DQ169" s="452"/>
      <c r="DR169" s="451">
        <v>103238</v>
      </c>
      <c r="DS169" s="455"/>
      <c r="DT169" s="451"/>
      <c r="DU169" s="452"/>
      <c r="DV169" s="452"/>
      <c r="DW169" s="451">
        <v>482202</v>
      </c>
      <c r="DX169" s="455"/>
      <c r="DY169" s="451"/>
      <c r="DZ169" s="452"/>
      <c r="EA169" s="452"/>
      <c r="EB169" s="451">
        <v>386758</v>
      </c>
      <c r="EC169" s="455"/>
      <c r="ED169" s="451"/>
      <c r="EE169" s="452"/>
      <c r="EF169" s="452"/>
      <c r="EG169" s="451">
        <v>0</v>
      </c>
      <c r="EH169" s="455"/>
      <c r="EI169" s="451"/>
      <c r="EJ169" s="452"/>
      <c r="EK169" s="452"/>
      <c r="EL169" s="451">
        <f>SUM(CD169:DW169)</f>
        <v>1602252</v>
      </c>
      <c r="EM169" s="455"/>
      <c r="EN169" s="451"/>
      <c r="EO169" s="13"/>
      <c r="ER169" s="14"/>
      <c r="ES169" s="14"/>
    </row>
    <row r="170" spans="4:149" ht="12.75" customHeight="1" x14ac:dyDescent="0.2">
      <c r="D170" s="13" t="s">
        <v>350</v>
      </c>
      <c r="F170" s="385"/>
      <c r="G170" s="463">
        <v>0</v>
      </c>
      <c r="H170" s="464"/>
      <c r="I170" s="451"/>
      <c r="J170" s="452"/>
      <c r="K170" s="465"/>
      <c r="L170" s="463">
        <v>0</v>
      </c>
      <c r="M170" s="464"/>
      <c r="N170" s="451"/>
      <c r="O170" s="452"/>
      <c r="P170" s="465"/>
      <c r="Q170" s="463">
        <v>0</v>
      </c>
      <c r="R170" s="464"/>
      <c r="S170" s="451"/>
      <c r="T170" s="452"/>
      <c r="U170" s="465"/>
      <c r="V170" s="463">
        <v>0</v>
      </c>
      <c r="W170" s="464"/>
      <c r="X170" s="451"/>
      <c r="Y170" s="452"/>
      <c r="Z170" s="465"/>
      <c r="AA170" s="463">
        <v>0</v>
      </c>
      <c r="AB170" s="464"/>
      <c r="AC170" s="451"/>
      <c r="AD170" s="452"/>
      <c r="AE170" s="465"/>
      <c r="AF170" s="463">
        <v>0</v>
      </c>
      <c r="AG170" s="464"/>
      <c r="AH170" s="451"/>
      <c r="AI170" s="452"/>
      <c r="AJ170" s="465"/>
      <c r="AK170" s="463">
        <v>0</v>
      </c>
      <c r="AL170" s="464"/>
      <c r="AM170" s="451"/>
      <c r="AN170" s="452"/>
      <c r="AO170" s="465"/>
      <c r="AP170" s="463">
        <v>0</v>
      </c>
      <c r="AQ170" s="464"/>
      <c r="AR170" s="451"/>
      <c r="AS170" s="452"/>
      <c r="AT170" s="465"/>
      <c r="AU170" s="463">
        <v>0</v>
      </c>
      <c r="AV170" s="464"/>
      <c r="AW170" s="451"/>
      <c r="AX170" s="452"/>
      <c r="AY170" s="465"/>
      <c r="AZ170" s="463">
        <v>0</v>
      </c>
      <c r="BA170" s="464"/>
      <c r="BB170" s="451"/>
      <c r="BC170" s="452"/>
      <c r="BD170" s="465"/>
      <c r="BE170" s="463">
        <v>0</v>
      </c>
      <c r="BF170" s="464"/>
      <c r="BG170" s="451"/>
      <c r="BH170" s="452"/>
      <c r="BI170" s="465"/>
      <c r="BJ170" s="463">
        <v>0</v>
      </c>
      <c r="BK170" s="464"/>
      <c r="BL170" s="451"/>
      <c r="BM170" s="452"/>
      <c r="BN170" s="465"/>
      <c r="BO170" s="463">
        <v>0</v>
      </c>
      <c r="BP170" s="464"/>
      <c r="BQ170" s="451"/>
      <c r="BR170" s="452"/>
      <c r="BS170" s="465"/>
      <c r="BT170" s="463">
        <f>SUM(L170:BO170)</f>
        <v>0</v>
      </c>
      <c r="BU170" s="464"/>
      <c r="BV170" s="451"/>
      <c r="BW170" s="452"/>
      <c r="BX170" s="465"/>
      <c r="BY170" s="463">
        <v>0</v>
      </c>
      <c r="BZ170" s="464"/>
      <c r="CA170" s="451"/>
      <c r="CB170" s="452"/>
      <c r="CC170" s="465"/>
      <c r="CD170" s="463">
        <v>0</v>
      </c>
      <c r="CE170" s="464"/>
      <c r="CF170" s="451"/>
      <c r="CG170" s="452"/>
      <c r="CH170" s="465"/>
      <c r="CI170" s="463">
        <v>0</v>
      </c>
      <c r="CJ170" s="464"/>
      <c r="CK170" s="451"/>
      <c r="CL170" s="452"/>
      <c r="CM170" s="465"/>
      <c r="CN170" s="463">
        <v>0</v>
      </c>
      <c r="CO170" s="464"/>
      <c r="CP170" s="451"/>
      <c r="CQ170" s="452"/>
      <c r="CR170" s="465"/>
      <c r="CS170" s="463">
        <v>0</v>
      </c>
      <c r="CT170" s="464"/>
      <c r="CU170" s="451"/>
      <c r="CV170" s="452"/>
      <c r="CW170" s="465"/>
      <c r="CX170" s="463">
        <v>0</v>
      </c>
      <c r="CY170" s="464"/>
      <c r="CZ170" s="451"/>
      <c r="DA170" s="452"/>
      <c r="DB170" s="465"/>
      <c r="DC170" s="463">
        <v>0</v>
      </c>
      <c r="DD170" s="464"/>
      <c r="DE170" s="451"/>
      <c r="DF170" s="452"/>
      <c r="DG170" s="465"/>
      <c r="DH170" s="463">
        <v>0</v>
      </c>
      <c r="DI170" s="464"/>
      <c r="DJ170" s="451"/>
      <c r="DK170" s="452"/>
      <c r="DL170" s="465"/>
      <c r="DM170" s="463">
        <v>0</v>
      </c>
      <c r="DN170" s="464"/>
      <c r="DO170" s="451"/>
      <c r="DP170" s="452"/>
      <c r="DQ170" s="465"/>
      <c r="DR170" s="463">
        <v>0</v>
      </c>
      <c r="DS170" s="464"/>
      <c r="DT170" s="451"/>
      <c r="DU170" s="452"/>
      <c r="DV170" s="465"/>
      <c r="DW170" s="463">
        <v>0</v>
      </c>
      <c r="DX170" s="464"/>
      <c r="DY170" s="451"/>
      <c r="DZ170" s="452"/>
      <c r="EA170" s="465"/>
      <c r="EB170" s="463">
        <v>0</v>
      </c>
      <c r="EC170" s="464"/>
      <c r="ED170" s="451"/>
      <c r="EE170" s="452"/>
      <c r="EF170" s="465"/>
      <c r="EG170" s="463">
        <v>0</v>
      </c>
      <c r="EH170" s="464"/>
      <c r="EI170" s="451"/>
      <c r="EJ170" s="452"/>
      <c r="EK170" s="465"/>
      <c r="EL170" s="463">
        <f>SUM(CD170:DW170)</f>
        <v>0</v>
      </c>
      <c r="EM170" s="464"/>
      <c r="EN170" s="451"/>
      <c r="EO170" s="13"/>
      <c r="ER170" s="14"/>
      <c r="ES170" s="14"/>
    </row>
    <row r="171" spans="4:149" ht="12.75" customHeight="1" x14ac:dyDescent="0.2">
      <c r="D171" s="13"/>
      <c r="G171" s="451"/>
      <c r="H171" s="451"/>
      <c r="I171" s="451"/>
      <c r="J171" s="452"/>
      <c r="K171" s="451"/>
      <c r="L171" s="451"/>
      <c r="M171" s="451"/>
      <c r="N171" s="451"/>
      <c r="O171" s="452"/>
      <c r="P171" s="451"/>
      <c r="Q171" s="451"/>
      <c r="R171" s="451"/>
      <c r="S171" s="451"/>
      <c r="T171" s="452"/>
      <c r="U171" s="451"/>
      <c r="V171" s="451"/>
      <c r="W171" s="451"/>
      <c r="X171" s="451"/>
      <c r="Y171" s="452"/>
      <c r="Z171" s="451"/>
      <c r="AA171" s="451"/>
      <c r="AB171" s="451"/>
      <c r="AC171" s="451"/>
      <c r="AD171" s="452"/>
      <c r="AE171" s="451"/>
      <c r="AF171" s="451"/>
      <c r="AG171" s="451"/>
      <c r="AH171" s="451"/>
      <c r="AI171" s="452"/>
      <c r="AJ171" s="451"/>
      <c r="AK171" s="451"/>
      <c r="AL171" s="451"/>
      <c r="AM171" s="451"/>
      <c r="AN171" s="452"/>
      <c r="AO171" s="451"/>
      <c r="AP171" s="451"/>
      <c r="AQ171" s="451"/>
      <c r="AR171" s="451"/>
      <c r="AS171" s="452"/>
      <c r="AT171" s="451"/>
      <c r="AU171" s="451"/>
      <c r="AV171" s="451"/>
      <c r="AW171" s="451"/>
      <c r="AX171" s="452"/>
      <c r="AY171" s="451"/>
      <c r="AZ171" s="451"/>
      <c r="BA171" s="451"/>
      <c r="BB171" s="451"/>
      <c r="BC171" s="452"/>
      <c r="BD171" s="451"/>
      <c r="BE171" s="451"/>
      <c r="BF171" s="451"/>
      <c r="BG171" s="451"/>
      <c r="BH171" s="452"/>
      <c r="BI171" s="451"/>
      <c r="BJ171" s="451"/>
      <c r="BK171" s="451"/>
      <c r="BL171" s="451"/>
      <c r="BM171" s="452"/>
      <c r="BN171" s="451"/>
      <c r="BO171" s="451"/>
      <c r="BP171" s="451"/>
      <c r="BQ171" s="451"/>
      <c r="BR171" s="452"/>
      <c r="BS171" s="451"/>
      <c r="BT171" s="451"/>
      <c r="BU171" s="451"/>
      <c r="BV171" s="451"/>
      <c r="BW171" s="452"/>
      <c r="BX171" s="451"/>
      <c r="BY171" s="451"/>
      <c r="BZ171" s="451"/>
      <c r="CA171" s="451"/>
      <c r="CB171" s="452"/>
      <c r="CC171" s="451"/>
      <c r="CD171" s="451"/>
      <c r="CE171" s="451"/>
      <c r="CF171" s="451"/>
      <c r="CG171" s="452"/>
      <c r="CH171" s="451"/>
      <c r="CI171" s="451"/>
      <c r="CJ171" s="451"/>
      <c r="CK171" s="451"/>
      <c r="CL171" s="452"/>
      <c r="CM171" s="451"/>
      <c r="CN171" s="451"/>
      <c r="CO171" s="451"/>
      <c r="CP171" s="451"/>
      <c r="CQ171" s="452"/>
      <c r="CR171" s="451"/>
      <c r="CS171" s="451"/>
      <c r="CT171" s="451"/>
      <c r="CU171" s="451"/>
      <c r="CV171" s="452"/>
      <c r="CW171" s="451"/>
      <c r="CX171" s="451"/>
      <c r="CY171" s="451"/>
      <c r="CZ171" s="451"/>
      <c r="DA171" s="452"/>
      <c r="DB171" s="451"/>
      <c r="DC171" s="451"/>
      <c r="DD171" s="451"/>
      <c r="DE171" s="451"/>
      <c r="DF171" s="452"/>
      <c r="DG171" s="451"/>
      <c r="DH171" s="451"/>
      <c r="DI171" s="451"/>
      <c r="DJ171" s="451"/>
      <c r="DK171" s="452"/>
      <c r="DL171" s="451"/>
      <c r="DM171" s="451"/>
      <c r="DN171" s="451"/>
      <c r="DO171" s="451"/>
      <c r="DP171" s="452"/>
      <c r="DQ171" s="451"/>
      <c r="DR171" s="451"/>
      <c r="DS171" s="451"/>
      <c r="DT171" s="451"/>
      <c r="DU171" s="452"/>
      <c r="DV171" s="451"/>
      <c r="DW171" s="451"/>
      <c r="DX171" s="451"/>
      <c r="DY171" s="451"/>
      <c r="DZ171" s="452"/>
      <c r="EA171" s="451"/>
      <c r="EB171" s="451"/>
      <c r="EC171" s="451"/>
      <c r="ED171" s="451"/>
      <c r="EE171" s="452"/>
      <c r="EF171" s="451"/>
      <c r="EG171" s="451"/>
      <c r="EH171" s="451"/>
      <c r="EI171" s="451"/>
      <c r="EJ171" s="452"/>
      <c r="EK171" s="451"/>
      <c r="EL171" s="451"/>
      <c r="EM171" s="451"/>
      <c r="EN171" s="451"/>
      <c r="EO171" s="13"/>
      <c r="ER171" s="14"/>
      <c r="ES171" s="14"/>
    </row>
    <row r="172" spans="4:149" ht="12.75" customHeight="1" x14ac:dyDescent="0.2">
      <c r="D172" s="13" t="s">
        <v>380</v>
      </c>
      <c r="G172" s="451">
        <f>SUM(G173:G175)</f>
        <v>0</v>
      </c>
      <c r="H172" s="451"/>
      <c r="I172" s="451"/>
      <c r="J172" s="452"/>
      <c r="K172" s="451"/>
      <c r="L172" s="451">
        <f>SUM(L173:L175)</f>
        <v>0</v>
      </c>
      <c r="M172" s="451"/>
      <c r="N172" s="451"/>
      <c r="O172" s="452"/>
      <c r="P172" s="451"/>
      <c r="Q172" s="451">
        <f>SUM(Q173:Q175)</f>
        <v>0</v>
      </c>
      <c r="R172" s="451"/>
      <c r="S172" s="451"/>
      <c r="T172" s="452"/>
      <c r="U172" s="451"/>
      <c r="V172" s="451">
        <f>SUM(V173:V175)</f>
        <v>5309000</v>
      </c>
      <c r="W172" s="451"/>
      <c r="X172" s="451"/>
      <c r="Y172" s="452"/>
      <c r="Z172" s="451"/>
      <c r="AA172" s="451">
        <f>SUM(AA173:AA175)</f>
        <v>7690000</v>
      </c>
      <c r="AB172" s="451"/>
      <c r="AC172" s="451"/>
      <c r="AD172" s="452"/>
      <c r="AE172" s="451"/>
      <c r="AF172" s="451">
        <f>SUM(AF173:AF175)</f>
        <v>7528000</v>
      </c>
      <c r="AG172" s="451"/>
      <c r="AH172" s="451"/>
      <c r="AI172" s="452"/>
      <c r="AJ172" s="451"/>
      <c r="AK172" s="451">
        <f>SUM(AK173:AK175)</f>
        <v>8637000</v>
      </c>
      <c r="AL172" s="451"/>
      <c r="AM172" s="451"/>
      <c r="AN172" s="452"/>
      <c r="AO172" s="451"/>
      <c r="AP172" s="451">
        <f>SUM(AP173:AP175)</f>
        <v>5599000</v>
      </c>
      <c r="AQ172" s="451"/>
      <c r="AR172" s="451"/>
      <c r="AS172" s="452"/>
      <c r="AT172" s="451"/>
      <c r="AU172" s="451">
        <f>SUM(AU173:AU175)</f>
        <v>2292000</v>
      </c>
      <c r="AV172" s="451"/>
      <c r="AW172" s="451"/>
      <c r="AX172" s="452"/>
      <c r="AY172" s="451"/>
      <c r="AZ172" s="451">
        <f>SUM(AZ173:AZ175)</f>
        <v>8795000</v>
      </c>
      <c r="BA172" s="451"/>
      <c r="BB172" s="451"/>
      <c r="BC172" s="452"/>
      <c r="BD172" s="451"/>
      <c r="BE172" s="451">
        <f>SUM(BE173:BE175)</f>
        <v>6596000</v>
      </c>
      <c r="BF172" s="451"/>
      <c r="BG172" s="451"/>
      <c r="BH172" s="452"/>
      <c r="BI172" s="451"/>
      <c r="BJ172" s="451">
        <f>SUM(BJ173:BJ175)</f>
        <v>0</v>
      </c>
      <c r="BK172" s="451"/>
      <c r="BL172" s="451"/>
      <c r="BM172" s="452"/>
      <c r="BN172" s="451"/>
      <c r="BO172" s="451">
        <f>SUM(BO173:BO175)</f>
        <v>0</v>
      </c>
      <c r="BP172" s="451"/>
      <c r="BQ172" s="451"/>
      <c r="BR172" s="452"/>
      <c r="BS172" s="451"/>
      <c r="BT172" s="451">
        <f>SUM(BT173:BT175)</f>
        <v>52446000</v>
      </c>
      <c r="BU172" s="451"/>
      <c r="BV172" s="451"/>
      <c r="BW172" s="452"/>
      <c r="BX172" s="451"/>
      <c r="BY172" s="451">
        <f>SUM(BY173:BY175)</f>
        <v>27655634</v>
      </c>
      <c r="BZ172" s="451"/>
      <c r="CA172" s="451"/>
      <c r="CB172" s="452"/>
      <c r="CC172" s="451"/>
      <c r="CD172" s="451">
        <f>SUM(CD173:CD175)</f>
        <v>906000</v>
      </c>
      <c r="CE172" s="451"/>
      <c r="CF172" s="451"/>
      <c r="CG172" s="452"/>
      <c r="CH172" s="451"/>
      <c r="CI172" s="451">
        <f>SUM(CI173:CI175)</f>
        <v>1651634</v>
      </c>
      <c r="CJ172" s="451"/>
      <c r="CK172" s="451"/>
      <c r="CL172" s="452"/>
      <c r="CM172" s="451"/>
      <c r="CN172" s="451">
        <f>SUM(CN173:CN175)</f>
        <v>1649000</v>
      </c>
      <c r="CO172" s="451"/>
      <c r="CP172" s="451"/>
      <c r="CQ172" s="452"/>
      <c r="CR172" s="451"/>
      <c r="CS172" s="451">
        <f>SUM(CS173:CS175)</f>
        <v>0</v>
      </c>
      <c r="CT172" s="451"/>
      <c r="CU172" s="451"/>
      <c r="CV172" s="452"/>
      <c r="CW172" s="451"/>
      <c r="CX172" s="451">
        <f>SUM(CX173:CX175)</f>
        <v>1510000</v>
      </c>
      <c r="CY172" s="451"/>
      <c r="CZ172" s="451"/>
      <c r="DA172" s="452"/>
      <c r="DB172" s="451"/>
      <c r="DC172" s="451">
        <f>SUM(DC173:DC175)</f>
        <v>5279000</v>
      </c>
      <c r="DD172" s="451"/>
      <c r="DE172" s="451"/>
      <c r="DF172" s="452"/>
      <c r="DG172" s="451"/>
      <c r="DH172" s="451">
        <f>SUM(DH173:DH175)</f>
        <v>6784000</v>
      </c>
      <c r="DI172" s="451"/>
      <c r="DJ172" s="451"/>
      <c r="DK172" s="452"/>
      <c r="DL172" s="451"/>
      <c r="DM172" s="451">
        <f>SUM(DM173:DM175)</f>
        <v>3899000</v>
      </c>
      <c r="DN172" s="451"/>
      <c r="DO172" s="451"/>
      <c r="DP172" s="452"/>
      <c r="DQ172" s="451"/>
      <c r="DR172" s="451">
        <f>SUM(DR173:DR175)</f>
        <v>0</v>
      </c>
      <c r="DS172" s="451"/>
      <c r="DT172" s="451"/>
      <c r="DU172" s="452"/>
      <c r="DV172" s="451"/>
      <c r="DW172" s="451">
        <f>SUM(DW173:DW175)</f>
        <v>0</v>
      </c>
      <c r="DX172" s="451"/>
      <c r="DY172" s="451"/>
      <c r="DZ172" s="452"/>
      <c r="EA172" s="451"/>
      <c r="EB172" s="451">
        <f>SUM(EB173:EB175)</f>
        <v>2205000</v>
      </c>
      <c r="EC172" s="451"/>
      <c r="ED172" s="451"/>
      <c r="EE172" s="452"/>
      <c r="EF172" s="451"/>
      <c r="EG172" s="451">
        <f>SUM(EG173:EG175)</f>
        <v>3772000</v>
      </c>
      <c r="EH172" s="451"/>
      <c r="EI172" s="451"/>
      <c r="EJ172" s="452"/>
      <c r="EK172" s="451"/>
      <c r="EL172" s="451">
        <f>SUM(EL173:EL175)</f>
        <v>21678634</v>
      </c>
      <c r="EM172" s="451"/>
      <c r="EN172" s="451"/>
      <c r="EO172" s="13"/>
      <c r="ER172" s="14"/>
      <c r="ES172" s="14"/>
    </row>
    <row r="173" spans="4:149" ht="12.75" customHeight="1" x14ac:dyDescent="0.2">
      <c r="D173" s="13" t="s">
        <v>347</v>
      </c>
      <c r="F173" s="374"/>
      <c r="G173" s="449">
        <v>0</v>
      </c>
      <c r="H173" s="450"/>
      <c r="I173" s="451"/>
      <c r="J173" s="452"/>
      <c r="K173" s="453"/>
      <c r="L173" s="449">
        <v>0</v>
      </c>
      <c r="M173" s="450"/>
      <c r="N173" s="451"/>
      <c r="O173" s="452"/>
      <c r="P173" s="453"/>
      <c r="Q173" s="449">
        <v>0</v>
      </c>
      <c r="R173" s="450"/>
      <c r="S173" s="451"/>
      <c r="T173" s="452"/>
      <c r="U173" s="453"/>
      <c r="V173" s="449">
        <f>5309000-1128214</f>
        <v>4180786</v>
      </c>
      <c r="W173" s="450"/>
      <c r="X173" s="451"/>
      <c r="Y173" s="452"/>
      <c r="Z173" s="453"/>
      <c r="AA173" s="449">
        <f>7690000-1853447</f>
        <v>5836553</v>
      </c>
      <c r="AB173" s="450"/>
      <c r="AC173" s="451"/>
      <c r="AD173" s="452"/>
      <c r="AE173" s="453"/>
      <c r="AF173" s="449">
        <f>7528000-1710198</f>
        <v>5817802</v>
      </c>
      <c r="AG173" s="450"/>
      <c r="AH173" s="451"/>
      <c r="AI173" s="452"/>
      <c r="AJ173" s="453"/>
      <c r="AK173" s="449">
        <f>8637000-1926090</f>
        <v>6710910</v>
      </c>
      <c r="AL173" s="450"/>
      <c r="AM173" s="451"/>
      <c r="AN173" s="452"/>
      <c r="AO173" s="453"/>
      <c r="AP173" s="449">
        <f>5599000-1328149</f>
        <v>4270851</v>
      </c>
      <c r="AQ173" s="450"/>
      <c r="AR173" s="451"/>
      <c r="AS173" s="452"/>
      <c r="AT173" s="453"/>
      <c r="AU173" s="449">
        <f>2292000-435713</f>
        <v>1856287</v>
      </c>
      <c r="AV173" s="450"/>
      <c r="AW173" s="451"/>
      <c r="AX173" s="452"/>
      <c r="AY173" s="453"/>
      <c r="AZ173" s="449">
        <f>8795000-1657087</f>
        <v>7137913</v>
      </c>
      <c r="BA173" s="450"/>
      <c r="BB173" s="451"/>
      <c r="BC173" s="452"/>
      <c r="BD173" s="453"/>
      <c r="BE173" s="449">
        <f>6596000-1221988</f>
        <v>5374012</v>
      </c>
      <c r="BF173" s="450"/>
      <c r="BG173" s="451"/>
      <c r="BH173" s="452"/>
      <c r="BI173" s="453"/>
      <c r="BJ173" s="449">
        <v>0</v>
      </c>
      <c r="BK173" s="450"/>
      <c r="BL173" s="451"/>
      <c r="BM173" s="452"/>
      <c r="BN173" s="453"/>
      <c r="BO173" s="449">
        <v>0</v>
      </c>
      <c r="BP173" s="450"/>
      <c r="BQ173" s="451"/>
      <c r="BR173" s="452"/>
      <c r="BS173" s="453"/>
      <c r="BT173" s="449">
        <f>SUM(L173:BO173)</f>
        <v>41185114</v>
      </c>
      <c r="BU173" s="450"/>
      <c r="BV173" s="451"/>
      <c r="BW173" s="452"/>
      <c r="BX173" s="453"/>
      <c r="BY173" s="449">
        <v>24355280</v>
      </c>
      <c r="BZ173" s="450"/>
      <c r="CA173" s="451"/>
      <c r="CB173" s="452"/>
      <c r="CC173" s="453"/>
      <c r="CD173" s="449">
        <f>906000-71396</f>
        <v>834604</v>
      </c>
      <c r="CE173" s="450"/>
      <c r="CF173" s="451"/>
      <c r="CG173" s="452"/>
      <c r="CH173" s="453"/>
      <c r="CI173" s="449">
        <f>1651634-162031</f>
        <v>1489603</v>
      </c>
      <c r="CJ173" s="450"/>
      <c r="CK173" s="451"/>
      <c r="CL173" s="452"/>
      <c r="CM173" s="453"/>
      <c r="CN173" s="449">
        <f>1649000-176102</f>
        <v>1472898</v>
      </c>
      <c r="CO173" s="450"/>
      <c r="CP173" s="451"/>
      <c r="CQ173" s="452"/>
      <c r="CR173" s="453"/>
      <c r="CS173" s="449">
        <v>0</v>
      </c>
      <c r="CT173" s="450"/>
      <c r="CU173" s="451"/>
      <c r="CV173" s="452"/>
      <c r="CW173" s="453"/>
      <c r="CX173" s="449">
        <f>1510000-163579</f>
        <v>1346421</v>
      </c>
      <c r="CY173" s="450"/>
      <c r="CZ173" s="451"/>
      <c r="DA173" s="452"/>
      <c r="DB173" s="453"/>
      <c r="DC173" s="449">
        <f>5279000-555456</f>
        <v>4723544</v>
      </c>
      <c r="DD173" s="450"/>
      <c r="DE173" s="451"/>
      <c r="DF173" s="452"/>
      <c r="DG173" s="453"/>
      <c r="DH173" s="449">
        <f>6784000-732119</f>
        <v>6051881</v>
      </c>
      <c r="DI173" s="450"/>
      <c r="DJ173" s="451"/>
      <c r="DK173" s="452"/>
      <c r="DL173" s="453"/>
      <c r="DM173" s="449">
        <f>3899000-474905</f>
        <v>3424095</v>
      </c>
      <c r="DN173" s="450"/>
      <c r="DO173" s="451"/>
      <c r="DP173" s="452"/>
      <c r="DQ173" s="453"/>
      <c r="DR173" s="449">
        <v>0</v>
      </c>
      <c r="DS173" s="450"/>
      <c r="DT173" s="451"/>
      <c r="DU173" s="452"/>
      <c r="DV173" s="453"/>
      <c r="DW173" s="449">
        <v>0</v>
      </c>
      <c r="DX173" s="450"/>
      <c r="DY173" s="451"/>
      <c r="DZ173" s="452"/>
      <c r="EA173" s="453"/>
      <c r="EB173" s="449">
        <f>2205000-284776</f>
        <v>1920224</v>
      </c>
      <c r="EC173" s="450"/>
      <c r="ED173" s="451"/>
      <c r="EE173" s="452"/>
      <c r="EF173" s="453"/>
      <c r="EG173" s="449">
        <f>3772000-679990</f>
        <v>3092010</v>
      </c>
      <c r="EH173" s="450"/>
      <c r="EI173" s="451"/>
      <c r="EJ173" s="452"/>
      <c r="EK173" s="453"/>
      <c r="EL173" s="449">
        <f>SUM(CD173:DW173)</f>
        <v>19343046</v>
      </c>
      <c r="EM173" s="450"/>
      <c r="EN173" s="451"/>
      <c r="EO173" s="13"/>
      <c r="ER173" s="14"/>
      <c r="ES173" s="14"/>
    </row>
    <row r="174" spans="4:149" ht="12.75" customHeight="1" x14ac:dyDescent="0.2">
      <c r="D174" s="13" t="s">
        <v>349</v>
      </c>
      <c r="F174" s="198"/>
      <c r="G174" s="451">
        <v>0</v>
      </c>
      <c r="H174" s="455"/>
      <c r="I174" s="451"/>
      <c r="J174" s="452"/>
      <c r="K174" s="452"/>
      <c r="L174" s="451">
        <v>0</v>
      </c>
      <c r="M174" s="455"/>
      <c r="N174" s="451"/>
      <c r="O174" s="452"/>
      <c r="P174" s="452"/>
      <c r="Q174" s="451">
        <v>0</v>
      </c>
      <c r="R174" s="455"/>
      <c r="S174" s="451"/>
      <c r="T174" s="452"/>
      <c r="U174" s="452"/>
      <c r="V174" s="451">
        <v>1128214</v>
      </c>
      <c r="W174" s="455"/>
      <c r="X174" s="451"/>
      <c r="Y174" s="452"/>
      <c r="Z174" s="452"/>
      <c r="AA174" s="451">
        <v>1853447</v>
      </c>
      <c r="AB174" s="455"/>
      <c r="AC174" s="451"/>
      <c r="AD174" s="452"/>
      <c r="AE174" s="452"/>
      <c r="AF174" s="451">
        <v>1710198</v>
      </c>
      <c r="AG174" s="455"/>
      <c r="AH174" s="451"/>
      <c r="AI174" s="452"/>
      <c r="AJ174" s="452"/>
      <c r="AK174" s="451">
        <v>1926090</v>
      </c>
      <c r="AL174" s="455"/>
      <c r="AM174" s="451"/>
      <c r="AN174" s="452"/>
      <c r="AO174" s="452"/>
      <c r="AP174" s="451">
        <v>1328149</v>
      </c>
      <c r="AQ174" s="455"/>
      <c r="AR174" s="451"/>
      <c r="AS174" s="452"/>
      <c r="AT174" s="452"/>
      <c r="AU174" s="451">
        <v>435713</v>
      </c>
      <c r="AV174" s="455"/>
      <c r="AW174" s="451"/>
      <c r="AX174" s="452"/>
      <c r="AY174" s="452"/>
      <c r="AZ174" s="451">
        <v>1657087</v>
      </c>
      <c r="BA174" s="455"/>
      <c r="BB174" s="451"/>
      <c r="BC174" s="452"/>
      <c r="BD174" s="452"/>
      <c r="BE174" s="451">
        <v>1221988</v>
      </c>
      <c r="BF174" s="455"/>
      <c r="BG174" s="451"/>
      <c r="BH174" s="452"/>
      <c r="BI174" s="452"/>
      <c r="BJ174" s="451">
        <v>0</v>
      </c>
      <c r="BK174" s="455"/>
      <c r="BL174" s="451"/>
      <c r="BM174" s="452"/>
      <c r="BN174" s="452"/>
      <c r="BO174" s="451">
        <v>0</v>
      </c>
      <c r="BP174" s="455"/>
      <c r="BQ174" s="451"/>
      <c r="BR174" s="452"/>
      <c r="BS174" s="452"/>
      <c r="BT174" s="451">
        <f>SUM(L174:BO174)</f>
        <v>11260886</v>
      </c>
      <c r="BU174" s="455"/>
      <c r="BV174" s="451"/>
      <c r="BW174" s="452"/>
      <c r="BX174" s="452"/>
      <c r="BY174" s="451">
        <v>3300354</v>
      </c>
      <c r="BZ174" s="455"/>
      <c r="CA174" s="451"/>
      <c r="CB174" s="452"/>
      <c r="CC174" s="452"/>
      <c r="CD174" s="451">
        <v>71396</v>
      </c>
      <c r="CE174" s="455"/>
      <c r="CF174" s="451"/>
      <c r="CG174" s="452"/>
      <c r="CH174" s="452"/>
      <c r="CI174" s="451">
        <v>162031</v>
      </c>
      <c r="CJ174" s="455"/>
      <c r="CK174" s="451"/>
      <c r="CL174" s="452"/>
      <c r="CM174" s="452"/>
      <c r="CN174" s="451">
        <v>176102</v>
      </c>
      <c r="CO174" s="455"/>
      <c r="CP174" s="451"/>
      <c r="CQ174" s="452"/>
      <c r="CR174" s="452"/>
      <c r="CS174" s="451">
        <v>0</v>
      </c>
      <c r="CT174" s="455"/>
      <c r="CU174" s="451"/>
      <c r="CV174" s="452"/>
      <c r="CW174" s="452"/>
      <c r="CX174" s="451">
        <v>163579</v>
      </c>
      <c r="CY174" s="455"/>
      <c r="CZ174" s="451"/>
      <c r="DA174" s="452"/>
      <c r="DB174" s="452"/>
      <c r="DC174" s="451">
        <v>555456</v>
      </c>
      <c r="DD174" s="455"/>
      <c r="DE174" s="451"/>
      <c r="DF174" s="452"/>
      <c r="DG174" s="452"/>
      <c r="DH174" s="451">
        <v>732119</v>
      </c>
      <c r="DI174" s="455"/>
      <c r="DJ174" s="451"/>
      <c r="DK174" s="452"/>
      <c r="DL174" s="452"/>
      <c r="DM174" s="451">
        <v>474905</v>
      </c>
      <c r="DN174" s="455"/>
      <c r="DO174" s="451"/>
      <c r="DP174" s="452"/>
      <c r="DQ174" s="452"/>
      <c r="DR174" s="451">
        <v>0</v>
      </c>
      <c r="DS174" s="455"/>
      <c r="DT174" s="451"/>
      <c r="DU174" s="452"/>
      <c r="DV174" s="452"/>
      <c r="DW174" s="451">
        <v>0</v>
      </c>
      <c r="DX174" s="455"/>
      <c r="DY174" s="451"/>
      <c r="DZ174" s="452"/>
      <c r="EA174" s="452"/>
      <c r="EB174" s="451">
        <v>284776</v>
      </c>
      <c r="EC174" s="455"/>
      <c r="ED174" s="451"/>
      <c r="EE174" s="452"/>
      <c r="EF174" s="452"/>
      <c r="EG174" s="451">
        <v>679990</v>
      </c>
      <c r="EH174" s="455"/>
      <c r="EI174" s="451"/>
      <c r="EJ174" s="452"/>
      <c r="EK174" s="452"/>
      <c r="EL174" s="451">
        <f>SUM(CD174:DW174)</f>
        <v>2335588</v>
      </c>
      <c r="EM174" s="455"/>
      <c r="EN174" s="451"/>
      <c r="EO174" s="13"/>
      <c r="ER174" s="14"/>
      <c r="ES174" s="14"/>
    </row>
    <row r="175" spans="4:149" ht="12.75" customHeight="1" x14ac:dyDescent="0.2">
      <c r="D175" s="13" t="s">
        <v>350</v>
      </c>
      <c r="F175" s="385"/>
      <c r="G175" s="463">
        <v>0</v>
      </c>
      <c r="H175" s="464"/>
      <c r="I175" s="451"/>
      <c r="J175" s="452"/>
      <c r="K175" s="465"/>
      <c r="L175" s="463">
        <v>0</v>
      </c>
      <c r="M175" s="464"/>
      <c r="N175" s="451"/>
      <c r="O175" s="452"/>
      <c r="P175" s="465"/>
      <c r="Q175" s="463">
        <v>0</v>
      </c>
      <c r="R175" s="464"/>
      <c r="S175" s="451"/>
      <c r="T175" s="452"/>
      <c r="U175" s="465"/>
      <c r="V175" s="463">
        <v>0</v>
      </c>
      <c r="W175" s="464"/>
      <c r="X175" s="451"/>
      <c r="Y175" s="452"/>
      <c r="Z175" s="465"/>
      <c r="AA175" s="463">
        <v>0</v>
      </c>
      <c r="AB175" s="464"/>
      <c r="AC175" s="451"/>
      <c r="AD175" s="452"/>
      <c r="AE175" s="465"/>
      <c r="AF175" s="463">
        <v>0</v>
      </c>
      <c r="AG175" s="464"/>
      <c r="AH175" s="451"/>
      <c r="AI175" s="452"/>
      <c r="AJ175" s="465"/>
      <c r="AK175" s="463">
        <v>0</v>
      </c>
      <c r="AL175" s="464"/>
      <c r="AM175" s="451"/>
      <c r="AN175" s="452"/>
      <c r="AO175" s="465"/>
      <c r="AP175" s="463">
        <v>0</v>
      </c>
      <c r="AQ175" s="464"/>
      <c r="AR175" s="451"/>
      <c r="AS175" s="452"/>
      <c r="AT175" s="465"/>
      <c r="AU175" s="463">
        <v>0</v>
      </c>
      <c r="AV175" s="464"/>
      <c r="AW175" s="451"/>
      <c r="AX175" s="452"/>
      <c r="AY175" s="465"/>
      <c r="AZ175" s="463">
        <v>0</v>
      </c>
      <c r="BA175" s="464"/>
      <c r="BB175" s="451"/>
      <c r="BC175" s="452"/>
      <c r="BD175" s="465"/>
      <c r="BE175" s="463">
        <v>0</v>
      </c>
      <c r="BF175" s="464"/>
      <c r="BG175" s="451"/>
      <c r="BH175" s="452"/>
      <c r="BI175" s="465"/>
      <c r="BJ175" s="463">
        <v>0</v>
      </c>
      <c r="BK175" s="464"/>
      <c r="BL175" s="451"/>
      <c r="BM175" s="452"/>
      <c r="BN175" s="465"/>
      <c r="BO175" s="463">
        <v>0</v>
      </c>
      <c r="BP175" s="464"/>
      <c r="BQ175" s="451"/>
      <c r="BR175" s="452"/>
      <c r="BS175" s="465"/>
      <c r="BT175" s="463">
        <f>SUM(L175:BO175)</f>
        <v>0</v>
      </c>
      <c r="BU175" s="464"/>
      <c r="BV175" s="451"/>
      <c r="BW175" s="452"/>
      <c r="BX175" s="465"/>
      <c r="BY175" s="463">
        <v>0</v>
      </c>
      <c r="BZ175" s="464"/>
      <c r="CA175" s="451"/>
      <c r="CB175" s="452"/>
      <c r="CC175" s="465"/>
      <c r="CD175" s="463">
        <v>0</v>
      </c>
      <c r="CE175" s="464"/>
      <c r="CF175" s="451"/>
      <c r="CG175" s="452"/>
      <c r="CH175" s="465"/>
      <c r="CI175" s="463">
        <v>0</v>
      </c>
      <c r="CJ175" s="464"/>
      <c r="CK175" s="451"/>
      <c r="CL175" s="452"/>
      <c r="CM175" s="465"/>
      <c r="CN175" s="463">
        <v>0</v>
      </c>
      <c r="CO175" s="464"/>
      <c r="CP175" s="451"/>
      <c r="CQ175" s="452"/>
      <c r="CR175" s="465"/>
      <c r="CS175" s="463">
        <v>0</v>
      </c>
      <c r="CT175" s="464"/>
      <c r="CU175" s="451"/>
      <c r="CV175" s="452"/>
      <c r="CW175" s="465"/>
      <c r="CX175" s="463">
        <v>0</v>
      </c>
      <c r="CY175" s="464"/>
      <c r="CZ175" s="451"/>
      <c r="DA175" s="452"/>
      <c r="DB175" s="465"/>
      <c r="DC175" s="463">
        <v>0</v>
      </c>
      <c r="DD175" s="464"/>
      <c r="DE175" s="451"/>
      <c r="DF175" s="452"/>
      <c r="DG175" s="465"/>
      <c r="DH175" s="463">
        <v>0</v>
      </c>
      <c r="DI175" s="464"/>
      <c r="DJ175" s="451"/>
      <c r="DK175" s="452"/>
      <c r="DL175" s="465"/>
      <c r="DM175" s="463">
        <v>0</v>
      </c>
      <c r="DN175" s="464"/>
      <c r="DO175" s="451"/>
      <c r="DP175" s="452"/>
      <c r="DQ175" s="465"/>
      <c r="DR175" s="463">
        <v>0</v>
      </c>
      <c r="DS175" s="464"/>
      <c r="DT175" s="451"/>
      <c r="DU175" s="452"/>
      <c r="DV175" s="465"/>
      <c r="DW175" s="463">
        <v>0</v>
      </c>
      <c r="DX175" s="464"/>
      <c r="DY175" s="451"/>
      <c r="DZ175" s="452"/>
      <c r="EA175" s="465"/>
      <c r="EB175" s="463">
        <v>0</v>
      </c>
      <c r="EC175" s="464"/>
      <c r="ED175" s="451"/>
      <c r="EE175" s="452"/>
      <c r="EF175" s="465"/>
      <c r="EG175" s="463">
        <v>0</v>
      </c>
      <c r="EH175" s="464"/>
      <c r="EI175" s="451"/>
      <c r="EJ175" s="452"/>
      <c r="EK175" s="465"/>
      <c r="EL175" s="463">
        <f>SUM(CD175:DW175)</f>
        <v>0</v>
      </c>
      <c r="EM175" s="464"/>
      <c r="EN175" s="451"/>
      <c r="EO175" s="13"/>
      <c r="ER175" s="14"/>
      <c r="ES175" s="14"/>
    </row>
    <row r="176" spans="4:149" ht="14.25" customHeight="1" x14ac:dyDescent="0.2">
      <c r="D176" s="469"/>
      <c r="E176" s="470"/>
      <c r="F176" s="3"/>
      <c r="G176" s="471"/>
      <c r="H176" s="471"/>
      <c r="I176" s="471"/>
      <c r="J176" s="472"/>
      <c r="K176" s="471"/>
      <c r="L176" s="471"/>
      <c r="M176" s="471"/>
      <c r="N176" s="471"/>
      <c r="O176" s="472"/>
      <c r="P176" s="471"/>
      <c r="Q176" s="471"/>
      <c r="R176" s="471"/>
      <c r="S176" s="471"/>
      <c r="T176" s="472"/>
      <c r="U176" s="471"/>
      <c r="V176" s="471"/>
      <c r="W176" s="471"/>
      <c r="X176" s="471"/>
      <c r="Y176" s="472"/>
      <c r="Z176" s="471"/>
      <c r="AA176" s="471"/>
      <c r="AB176" s="471"/>
      <c r="AC176" s="471"/>
      <c r="AD176" s="472"/>
      <c r="AE176" s="471"/>
      <c r="AF176" s="471"/>
      <c r="AG176" s="471"/>
      <c r="AH176" s="471"/>
      <c r="AI176" s="472"/>
      <c r="AJ176" s="471"/>
      <c r="AK176" s="471"/>
      <c r="AL176" s="471"/>
      <c r="AM176" s="471"/>
      <c r="AN176" s="472"/>
      <c r="AO176" s="471"/>
      <c r="AP176" s="471"/>
      <c r="AQ176" s="471"/>
      <c r="AR176" s="471"/>
      <c r="AS176" s="472"/>
      <c r="AT176" s="471"/>
      <c r="AU176" s="471"/>
      <c r="AV176" s="471"/>
      <c r="AW176" s="471"/>
      <c r="AX176" s="472"/>
      <c r="AY176" s="471"/>
      <c r="AZ176" s="471"/>
      <c r="BA176" s="471"/>
      <c r="BB176" s="471"/>
      <c r="BC176" s="472"/>
      <c r="BD176" s="471"/>
      <c r="BE176" s="471"/>
      <c r="BF176" s="471"/>
      <c r="BG176" s="471"/>
      <c r="BH176" s="472"/>
      <c r="BI176" s="471"/>
      <c r="BJ176" s="471"/>
      <c r="BK176" s="471"/>
      <c r="BL176" s="471"/>
      <c r="BM176" s="472"/>
      <c r="BN176" s="471"/>
      <c r="BO176" s="471"/>
      <c r="BP176" s="471"/>
      <c r="BQ176" s="471"/>
      <c r="BR176" s="472"/>
      <c r="BS176" s="471"/>
      <c r="BT176" s="471"/>
      <c r="BU176" s="471"/>
      <c r="BV176" s="471"/>
      <c r="BW176" s="472"/>
      <c r="BX176" s="471"/>
      <c r="BY176" s="471"/>
      <c r="BZ176" s="471"/>
      <c r="CA176" s="471"/>
      <c r="CB176" s="472"/>
      <c r="CC176" s="471"/>
      <c r="CD176" s="471"/>
      <c r="CE176" s="471"/>
      <c r="CF176" s="471"/>
      <c r="CG176" s="472"/>
      <c r="CH176" s="471"/>
      <c r="CI176" s="471"/>
      <c r="CJ176" s="471"/>
      <c r="CK176" s="471"/>
      <c r="CL176" s="472"/>
      <c r="CM176" s="471"/>
      <c r="CN176" s="471"/>
      <c r="CO176" s="471"/>
      <c r="CP176" s="471"/>
      <c r="CQ176" s="472"/>
      <c r="CR176" s="471"/>
      <c r="CS176" s="471"/>
      <c r="CT176" s="471"/>
      <c r="CU176" s="471"/>
      <c r="CV176" s="472"/>
      <c r="CW176" s="471"/>
      <c r="CX176" s="471"/>
      <c r="CY176" s="471"/>
      <c r="CZ176" s="471"/>
      <c r="DA176" s="472"/>
      <c r="DB176" s="471"/>
      <c r="DC176" s="471"/>
      <c r="DD176" s="471"/>
      <c r="DE176" s="471"/>
      <c r="DF176" s="472"/>
      <c r="DG176" s="471"/>
      <c r="DH176" s="471"/>
      <c r="DI176" s="471"/>
      <c r="DJ176" s="471"/>
      <c r="DK176" s="472"/>
      <c r="DL176" s="471"/>
      <c r="DM176" s="471"/>
      <c r="DN176" s="471"/>
      <c r="DO176" s="471"/>
      <c r="DP176" s="472"/>
      <c r="DQ176" s="471"/>
      <c r="DR176" s="471"/>
      <c r="DS176" s="471"/>
      <c r="DT176" s="471"/>
      <c r="DU176" s="472"/>
      <c r="DV176" s="471"/>
      <c r="DW176" s="471"/>
      <c r="DX176" s="471"/>
      <c r="DY176" s="471"/>
      <c r="DZ176" s="472"/>
      <c r="EA176" s="471"/>
      <c r="EB176" s="471"/>
      <c r="EC176" s="471"/>
      <c r="ED176" s="471"/>
      <c r="EE176" s="472"/>
      <c r="EF176" s="471"/>
      <c r="EG176" s="471"/>
      <c r="EH176" s="471"/>
      <c r="EI176" s="471"/>
      <c r="EJ176" s="472"/>
      <c r="EK176" s="471"/>
      <c r="EL176" s="471"/>
      <c r="EM176" s="471"/>
      <c r="EN176" s="473"/>
      <c r="EO176" s="13"/>
      <c r="ER176" s="14"/>
      <c r="ES176" s="14"/>
    </row>
    <row r="177" spans="3:149" ht="7.5" customHeight="1" x14ac:dyDescent="0.2">
      <c r="E177" s="1"/>
      <c r="G177" s="451"/>
      <c r="H177" s="451"/>
      <c r="I177" s="451"/>
      <c r="J177" s="451"/>
      <c r="K177" s="451"/>
      <c r="L177" s="451"/>
      <c r="M177" s="451"/>
      <c r="N177" s="451"/>
      <c r="O177" s="451"/>
      <c r="P177" s="451"/>
      <c r="Q177" s="451"/>
      <c r="R177" s="451"/>
      <c r="S177" s="451"/>
      <c r="T177" s="451"/>
      <c r="U177" s="451"/>
      <c r="V177" s="451"/>
      <c r="W177" s="451"/>
      <c r="X177" s="451"/>
      <c r="Y177" s="451"/>
      <c r="Z177" s="451"/>
      <c r="AA177" s="451"/>
      <c r="AB177" s="451"/>
      <c r="AC177" s="451"/>
      <c r="AD177" s="451"/>
      <c r="AE177" s="451"/>
      <c r="AF177" s="451"/>
      <c r="AG177" s="451"/>
      <c r="AH177" s="451"/>
      <c r="AI177" s="451"/>
      <c r="AJ177" s="451"/>
      <c r="AK177" s="451"/>
      <c r="AL177" s="451"/>
      <c r="AM177" s="451"/>
      <c r="AN177" s="451"/>
      <c r="AO177" s="451"/>
      <c r="AP177" s="451"/>
      <c r="AQ177" s="451"/>
      <c r="AR177" s="451"/>
      <c r="AS177" s="451"/>
      <c r="AT177" s="451"/>
      <c r="AU177" s="451"/>
      <c r="AV177" s="451"/>
      <c r="AW177" s="451"/>
      <c r="AX177" s="451"/>
      <c r="AY177" s="451"/>
      <c r="AZ177" s="451"/>
      <c r="BA177" s="451"/>
      <c r="BB177" s="451"/>
      <c r="BC177" s="451"/>
      <c r="BD177" s="451"/>
      <c r="BE177" s="451"/>
      <c r="BF177" s="451"/>
      <c r="BG177" s="451"/>
      <c r="BH177" s="451"/>
      <c r="BI177" s="451"/>
      <c r="BJ177" s="451"/>
      <c r="BK177" s="451"/>
      <c r="BL177" s="451"/>
      <c r="BM177" s="451"/>
      <c r="BN177" s="451"/>
      <c r="BO177" s="451"/>
      <c r="BP177" s="451"/>
      <c r="BQ177" s="451"/>
      <c r="BR177" s="451"/>
      <c r="BS177" s="451"/>
      <c r="BT177" s="451"/>
      <c r="BU177" s="451"/>
      <c r="BV177" s="451"/>
      <c r="BZ177" s="451"/>
      <c r="CA177" s="451"/>
      <c r="CB177" s="451"/>
      <c r="CC177" s="451"/>
      <c r="CD177" s="451"/>
      <c r="CE177" s="451"/>
      <c r="CF177" s="451"/>
      <c r="CG177" s="451"/>
      <c r="CH177" s="451"/>
      <c r="CI177" s="451"/>
      <c r="CJ177" s="451"/>
      <c r="CK177" s="451"/>
      <c r="CL177" s="451"/>
      <c r="CM177" s="451"/>
      <c r="CN177" s="451"/>
      <c r="CO177" s="451"/>
      <c r="CP177" s="451"/>
      <c r="CQ177" s="451"/>
      <c r="CR177" s="451"/>
      <c r="CS177" s="451"/>
      <c r="CT177" s="451"/>
      <c r="CU177" s="451"/>
      <c r="CV177" s="451"/>
      <c r="CW177" s="451"/>
      <c r="CX177" s="451"/>
      <c r="CY177" s="451"/>
      <c r="CZ177" s="451"/>
      <c r="DA177" s="451"/>
      <c r="DB177" s="451"/>
      <c r="DC177" s="451"/>
      <c r="DD177" s="451"/>
      <c r="DE177" s="451"/>
      <c r="DF177" s="451"/>
      <c r="DG177" s="451"/>
      <c r="DH177" s="451"/>
      <c r="DI177" s="451"/>
      <c r="DJ177" s="451"/>
      <c r="DK177" s="451"/>
      <c r="DL177" s="451"/>
      <c r="DM177" s="451"/>
      <c r="DN177" s="451"/>
      <c r="DO177" s="451"/>
      <c r="DP177" s="451"/>
      <c r="DQ177" s="451"/>
      <c r="DR177" s="451"/>
      <c r="DS177" s="451"/>
      <c r="DT177" s="451"/>
      <c r="DU177" s="451"/>
      <c r="DV177" s="451"/>
      <c r="DW177" s="451"/>
      <c r="DX177" s="451"/>
      <c r="DY177" s="451"/>
      <c r="DZ177" s="451"/>
      <c r="EA177" s="451"/>
      <c r="EB177" s="451"/>
      <c r="EC177" s="451"/>
      <c r="ED177" s="451"/>
      <c r="EE177" s="451"/>
      <c r="EF177" s="451"/>
      <c r="EG177" s="451"/>
      <c r="EH177" s="451"/>
      <c r="EI177" s="451"/>
      <c r="EJ177" s="451"/>
      <c r="EK177" s="451"/>
      <c r="EL177" s="451"/>
      <c r="EM177" s="451"/>
      <c r="EN177" s="451"/>
      <c r="ER177" s="14"/>
      <c r="ES177" s="14"/>
    </row>
    <row r="178" spans="3:149" ht="12" customHeight="1" x14ac:dyDescent="0.2">
      <c r="C178" s="451"/>
      <c r="D178" s="474"/>
      <c r="E178" s="1"/>
      <c r="G178" s="451"/>
      <c r="H178" s="451"/>
      <c r="I178" s="451"/>
      <c r="J178" s="451"/>
      <c r="K178" s="451"/>
      <c r="L178" s="451"/>
      <c r="M178" s="451"/>
      <c r="N178" s="451"/>
      <c r="O178" s="451"/>
      <c r="P178" s="451"/>
      <c r="Q178" s="451"/>
      <c r="R178" s="451"/>
      <c r="S178" s="451"/>
      <c r="T178" s="451"/>
      <c r="U178" s="451"/>
      <c r="V178" s="451"/>
      <c r="W178" s="451"/>
      <c r="X178" s="451"/>
      <c r="Y178" s="451"/>
      <c r="Z178" s="451"/>
      <c r="AA178" s="451"/>
      <c r="AB178" s="451"/>
      <c r="AC178" s="451"/>
      <c r="AD178" s="451"/>
      <c r="AE178" s="451"/>
      <c r="AF178" s="451"/>
      <c r="AG178" s="451"/>
      <c r="AH178" s="451"/>
      <c r="AI178" s="451"/>
      <c r="AJ178" s="451"/>
      <c r="AK178" s="451"/>
      <c r="AL178" s="451"/>
      <c r="AM178" s="451"/>
      <c r="AN178" s="451"/>
      <c r="AO178" s="451"/>
      <c r="AP178" s="451"/>
      <c r="AQ178" s="451"/>
      <c r="AR178" s="451"/>
      <c r="AS178" s="451"/>
      <c r="AT178" s="451"/>
      <c r="AU178" s="451"/>
      <c r="AV178" s="451"/>
      <c r="AW178" s="451"/>
      <c r="AX178" s="451"/>
      <c r="AY178" s="451"/>
      <c r="AZ178" s="451"/>
      <c r="BA178" s="451"/>
      <c r="BB178" s="451"/>
      <c r="BC178" s="451"/>
      <c r="BD178" s="451"/>
      <c r="BE178" s="451"/>
      <c r="BF178" s="451"/>
      <c r="BG178" s="451"/>
      <c r="BH178" s="451"/>
      <c r="BI178" s="451"/>
      <c r="BJ178" s="451"/>
      <c r="BK178" s="451"/>
      <c r="BL178" s="451"/>
      <c r="BM178" s="451"/>
      <c r="BN178" s="451"/>
      <c r="BO178" s="451"/>
      <c r="BP178" s="451"/>
      <c r="BQ178" s="451"/>
      <c r="BR178" s="451"/>
      <c r="BS178" s="451"/>
      <c r="BT178" s="451"/>
      <c r="BU178" s="451"/>
      <c r="BV178" s="451"/>
      <c r="BW178" s="474"/>
      <c r="BZ178" s="451"/>
      <c r="CA178" s="451"/>
      <c r="CB178" s="451"/>
      <c r="CC178" s="451"/>
      <c r="CD178" s="451"/>
      <c r="CE178" s="451"/>
      <c r="CF178" s="451"/>
      <c r="CG178" s="451"/>
      <c r="CH178" s="451"/>
      <c r="CI178" s="451"/>
      <c r="CJ178" s="451"/>
      <c r="CK178" s="451"/>
      <c r="CL178" s="451"/>
      <c r="CM178" s="451"/>
      <c r="CN178" s="451"/>
      <c r="CO178" s="451"/>
      <c r="CP178" s="451"/>
      <c r="CQ178" s="451"/>
      <c r="CR178" s="451"/>
      <c r="CS178" s="451"/>
      <c r="CT178" s="451"/>
      <c r="CU178" s="451"/>
      <c r="CV178" s="451"/>
      <c r="CW178" s="451"/>
      <c r="CX178" s="451"/>
      <c r="CY178" s="451"/>
      <c r="CZ178" s="451"/>
      <c r="DA178" s="451"/>
      <c r="DB178" s="451"/>
      <c r="DC178" s="451"/>
      <c r="DD178" s="451"/>
      <c r="DE178" s="451"/>
      <c r="DF178" s="451"/>
      <c r="DG178" s="451"/>
      <c r="DH178" s="451"/>
      <c r="DI178" s="451"/>
      <c r="DJ178" s="451"/>
      <c r="DK178" s="451"/>
      <c r="DL178" s="451"/>
      <c r="DM178" s="451"/>
      <c r="DN178" s="451"/>
      <c r="DO178" s="451"/>
      <c r="DP178" s="451"/>
      <c r="DQ178" s="451"/>
      <c r="DR178" s="451"/>
      <c r="DS178" s="451"/>
      <c r="DT178" s="451"/>
      <c r="DU178" s="451"/>
      <c r="DV178" s="451"/>
      <c r="DW178" s="451"/>
      <c r="DX178" s="451"/>
      <c r="DY178" s="451"/>
      <c r="DZ178" s="451"/>
      <c r="EA178" s="451"/>
      <c r="EB178" s="451"/>
      <c r="EC178" s="451"/>
      <c r="ED178" s="451"/>
      <c r="EE178" s="451"/>
      <c r="EF178" s="451"/>
      <c r="EG178" s="451"/>
      <c r="EH178" s="451"/>
      <c r="EI178" s="451"/>
      <c r="EJ178" s="451"/>
      <c r="EK178" s="451"/>
      <c r="EL178" s="451"/>
      <c r="EM178" s="451"/>
      <c r="EN178" s="451"/>
      <c r="ER178" s="14"/>
      <c r="ES178" s="14"/>
    </row>
    <row r="179" spans="3:149" ht="15.75" x14ac:dyDescent="0.25">
      <c r="D179" s="422" t="s">
        <v>381</v>
      </c>
      <c r="E179" s="422"/>
      <c r="F179" s="422"/>
      <c r="G179" s="471"/>
      <c r="H179" s="471"/>
      <c r="I179" s="471"/>
      <c r="J179" s="471"/>
      <c r="K179" s="471"/>
      <c r="L179" s="471"/>
      <c r="M179" s="471"/>
      <c r="N179" s="471"/>
      <c r="O179" s="471"/>
      <c r="P179" s="471"/>
      <c r="Q179" s="471"/>
      <c r="R179" s="471"/>
      <c r="S179" s="471"/>
      <c r="T179" s="471"/>
      <c r="U179" s="471"/>
      <c r="V179" s="471"/>
      <c r="W179" s="471"/>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R179" s="14"/>
      <c r="ES179" s="14"/>
    </row>
    <row r="180" spans="3:149" ht="15" customHeight="1" x14ac:dyDescent="0.2">
      <c r="D180" s="475"/>
      <c r="E180" s="385"/>
      <c r="F180" s="201"/>
      <c r="G180" s="361" t="str">
        <f>G2</f>
        <v>2020/21</v>
      </c>
      <c r="H180" s="427"/>
      <c r="I180" s="427"/>
      <c r="J180" s="427"/>
      <c r="K180" s="427"/>
      <c r="L180" s="427"/>
      <c r="M180" s="427"/>
      <c r="N180" s="427"/>
      <c r="O180" s="427"/>
      <c r="P180" s="427"/>
      <c r="Q180" s="427"/>
      <c r="R180" s="427"/>
      <c r="S180" s="427"/>
      <c r="T180" s="427"/>
      <c r="U180" s="427"/>
      <c r="V180" s="427"/>
      <c r="W180" s="427"/>
      <c r="X180" s="427"/>
      <c r="Y180" s="427"/>
      <c r="Z180" s="427"/>
      <c r="AA180" s="427"/>
      <c r="AB180" s="427"/>
      <c r="AC180" s="427"/>
      <c r="AD180" s="427"/>
      <c r="AE180" s="427"/>
      <c r="AF180" s="427"/>
      <c r="AG180" s="427"/>
      <c r="AH180" s="427"/>
      <c r="AI180" s="427"/>
      <c r="AJ180" s="427"/>
      <c r="AK180" s="427"/>
      <c r="AL180" s="427"/>
      <c r="AM180" s="427"/>
      <c r="AN180" s="427"/>
      <c r="AO180" s="427"/>
      <c r="AP180" s="427"/>
      <c r="AQ180" s="427"/>
      <c r="AR180" s="427"/>
      <c r="AS180" s="427"/>
      <c r="AT180" s="427"/>
      <c r="AU180" s="427"/>
      <c r="AV180" s="427"/>
      <c r="AW180" s="427"/>
      <c r="AX180" s="427"/>
      <c r="AY180" s="427"/>
      <c r="AZ180" s="427"/>
      <c r="BA180" s="427"/>
      <c r="BB180" s="427"/>
      <c r="BC180" s="427"/>
      <c r="BD180" s="427"/>
      <c r="BE180" s="427"/>
      <c r="BF180" s="427"/>
      <c r="BG180" s="427"/>
      <c r="BH180" s="427"/>
      <c r="BI180" s="427"/>
      <c r="BJ180" s="427"/>
      <c r="BK180" s="427"/>
      <c r="BL180" s="427"/>
      <c r="BM180" s="427"/>
      <c r="BN180" s="427"/>
      <c r="BO180" s="427"/>
      <c r="BP180" s="427"/>
      <c r="BQ180" s="427"/>
      <c r="BR180" s="427"/>
      <c r="BS180" s="427"/>
      <c r="BT180" s="427"/>
      <c r="BU180" s="476"/>
      <c r="BV180" s="476"/>
      <c r="BW180" s="477"/>
      <c r="BX180" s="476"/>
      <c r="BY180" s="427" t="str">
        <f>BY2</f>
        <v>2019/20</v>
      </c>
      <c r="BZ180" s="427"/>
      <c r="CA180" s="427"/>
      <c r="CB180" s="427"/>
      <c r="CC180" s="427"/>
      <c r="CD180" s="427"/>
      <c r="CE180" s="427"/>
      <c r="CF180" s="427"/>
      <c r="CG180" s="427"/>
      <c r="CH180" s="427"/>
      <c r="CI180" s="427"/>
      <c r="CJ180" s="427"/>
      <c r="CK180" s="427"/>
      <c r="CL180" s="427"/>
      <c r="CM180" s="427"/>
      <c r="CN180" s="427"/>
      <c r="CO180" s="427"/>
      <c r="CP180" s="427"/>
      <c r="CQ180" s="427"/>
      <c r="CR180" s="427"/>
      <c r="CS180" s="427"/>
      <c r="CT180" s="427"/>
      <c r="CU180" s="427"/>
      <c r="CV180" s="427"/>
      <c r="CW180" s="427"/>
      <c r="CX180" s="427"/>
      <c r="CY180" s="427"/>
      <c r="CZ180" s="427"/>
      <c r="DA180" s="427"/>
      <c r="DB180" s="427"/>
      <c r="DC180" s="427"/>
      <c r="DD180" s="427"/>
      <c r="DE180" s="427"/>
      <c r="DF180" s="427"/>
      <c r="DG180" s="427"/>
      <c r="DH180" s="427"/>
      <c r="DI180" s="427"/>
      <c r="DJ180" s="427"/>
      <c r="DK180" s="427"/>
      <c r="DL180" s="427"/>
      <c r="DM180" s="427"/>
      <c r="DN180" s="427"/>
      <c r="DO180" s="427"/>
      <c r="DP180" s="427"/>
      <c r="DQ180" s="427"/>
      <c r="DR180" s="427"/>
      <c r="DS180" s="427"/>
      <c r="DT180" s="427"/>
      <c r="DU180" s="427"/>
      <c r="DV180" s="427"/>
      <c r="DW180" s="427"/>
      <c r="DX180" s="427"/>
      <c r="DY180" s="427"/>
      <c r="DZ180" s="427"/>
      <c r="EA180" s="427"/>
      <c r="EB180" s="427"/>
      <c r="EC180" s="427"/>
      <c r="ED180" s="427"/>
      <c r="EE180" s="427"/>
      <c r="EF180" s="427"/>
      <c r="EG180" s="427"/>
      <c r="EH180" s="427"/>
      <c r="EI180" s="427"/>
      <c r="EJ180" s="427"/>
      <c r="EK180" s="427"/>
      <c r="EL180" s="427"/>
      <c r="EM180" s="476"/>
      <c r="EN180" s="478"/>
      <c r="EO180" s="13"/>
      <c r="ER180" s="14"/>
      <c r="ES180" s="14"/>
    </row>
    <row r="181" spans="3:149" ht="18" customHeight="1" x14ac:dyDescent="0.2">
      <c r="D181" s="48"/>
      <c r="G181" s="41" t="str">
        <f>G3</f>
        <v>Revised</v>
      </c>
      <c r="H181" s="23"/>
      <c r="I181" s="23"/>
      <c r="J181" s="42"/>
      <c r="K181" s="23"/>
      <c r="L181" s="23" t="s">
        <v>4</v>
      </c>
      <c r="M181" s="23"/>
      <c r="N181" s="23"/>
      <c r="O181" s="42"/>
      <c r="P181" s="23"/>
      <c r="Q181" s="23" t="s">
        <v>5</v>
      </c>
      <c r="R181" s="23"/>
      <c r="S181" s="23"/>
      <c r="T181" s="42"/>
      <c r="U181" s="23"/>
      <c r="V181" s="23" t="s">
        <v>6</v>
      </c>
      <c r="W181" s="23"/>
      <c r="X181" s="23"/>
      <c r="Y181" s="42"/>
      <c r="Z181" s="23"/>
      <c r="AA181" s="23" t="s">
        <v>7</v>
      </c>
      <c r="AB181" s="23"/>
      <c r="AC181" s="23"/>
      <c r="AD181" s="42"/>
      <c r="AE181" s="23"/>
      <c r="AF181" s="23" t="s">
        <v>8</v>
      </c>
      <c r="AG181" s="23"/>
      <c r="AH181" s="23"/>
      <c r="AI181" s="42"/>
      <c r="AJ181" s="23"/>
      <c r="AK181" s="23" t="s">
        <v>9</v>
      </c>
      <c r="AL181" s="23"/>
      <c r="AM181" s="23"/>
      <c r="AN181" s="42"/>
      <c r="AO181" s="23"/>
      <c r="AP181" s="23" t="s">
        <v>10</v>
      </c>
      <c r="AQ181" s="23"/>
      <c r="AR181" s="23"/>
      <c r="AS181" s="42"/>
      <c r="AT181" s="23"/>
      <c r="AU181" s="23" t="s">
        <v>11</v>
      </c>
      <c r="AV181" s="23"/>
      <c r="AW181" s="23"/>
      <c r="AX181" s="42"/>
      <c r="AY181" s="23"/>
      <c r="AZ181" s="23" t="s">
        <v>12</v>
      </c>
      <c r="BA181" s="23"/>
      <c r="BB181" s="23"/>
      <c r="BC181" s="42"/>
      <c r="BD181" s="23"/>
      <c r="BE181" s="23" t="s">
        <v>13</v>
      </c>
      <c r="BF181" s="23"/>
      <c r="BG181" s="23"/>
      <c r="BH181" s="42"/>
      <c r="BI181" s="41"/>
      <c r="BJ181" s="41" t="s">
        <v>14</v>
      </c>
      <c r="BK181" s="41"/>
      <c r="BL181" s="17"/>
      <c r="BM181" s="42"/>
      <c r="BN181" s="41"/>
      <c r="BO181" s="41" t="s">
        <v>15</v>
      </c>
      <c r="BP181" s="41"/>
      <c r="BQ181" s="17"/>
      <c r="BR181" s="42"/>
      <c r="BS181" s="41"/>
      <c r="BT181" s="23" t="s">
        <v>16</v>
      </c>
      <c r="BU181" s="23"/>
      <c r="BV181" s="23"/>
      <c r="BW181" s="65"/>
      <c r="BX181" s="23"/>
      <c r="BY181" s="41" t="str">
        <f>BY3</f>
        <v>Preliminary</v>
      </c>
      <c r="BZ181" s="23"/>
      <c r="CA181" s="23"/>
      <c r="CB181" s="42"/>
      <c r="CC181" s="23"/>
      <c r="CD181" s="23" t="s">
        <v>4</v>
      </c>
      <c r="CE181" s="23"/>
      <c r="CF181" s="23"/>
      <c r="CG181" s="42"/>
      <c r="CH181" s="23"/>
      <c r="CI181" s="23" t="s">
        <v>5</v>
      </c>
      <c r="CJ181" s="23"/>
      <c r="CK181" s="23"/>
      <c r="CL181" s="42"/>
      <c r="CM181" s="23"/>
      <c r="CN181" s="23" t="s">
        <v>6</v>
      </c>
      <c r="CO181" s="23"/>
      <c r="CP181" s="23"/>
      <c r="CQ181" s="42"/>
      <c r="CR181" s="23"/>
      <c r="CS181" s="23" t="s">
        <v>7</v>
      </c>
      <c r="CT181" s="23"/>
      <c r="CU181" s="23"/>
      <c r="CV181" s="42"/>
      <c r="CW181" s="23"/>
      <c r="CX181" s="23" t="s">
        <v>8</v>
      </c>
      <c r="CY181" s="23"/>
      <c r="CZ181" s="23"/>
      <c r="DA181" s="42"/>
      <c r="DB181" s="23"/>
      <c r="DC181" s="23" t="s">
        <v>9</v>
      </c>
      <c r="DD181" s="23"/>
      <c r="DE181" s="23"/>
      <c r="DF181" s="42"/>
      <c r="DG181" s="23"/>
      <c r="DH181" s="23" t="s">
        <v>10</v>
      </c>
      <c r="DI181" s="23"/>
      <c r="DJ181" s="23"/>
      <c r="DK181" s="42"/>
      <c r="DL181" s="23"/>
      <c r="DM181" s="23" t="s">
        <v>11</v>
      </c>
      <c r="DN181" s="23"/>
      <c r="DO181" s="23"/>
      <c r="DP181" s="42"/>
      <c r="DQ181" s="23"/>
      <c r="DR181" s="23" t="s">
        <v>12</v>
      </c>
      <c r="DS181" s="23"/>
      <c r="DT181" s="23"/>
      <c r="DU181" s="42"/>
      <c r="DV181" s="23"/>
      <c r="DW181" s="23" t="s">
        <v>13</v>
      </c>
      <c r="DX181" s="23"/>
      <c r="DY181" s="23"/>
      <c r="DZ181" s="42"/>
      <c r="EA181" s="23"/>
      <c r="EB181" s="23" t="s">
        <v>14</v>
      </c>
      <c r="EC181" s="23"/>
      <c r="ED181" s="23"/>
      <c r="EE181" s="42"/>
      <c r="EF181" s="41"/>
      <c r="EG181" s="41" t="s">
        <v>15</v>
      </c>
      <c r="EH181" s="41"/>
      <c r="EI181" s="41"/>
      <c r="EJ181" s="42"/>
      <c r="EK181" s="41"/>
      <c r="EL181" s="23" t="s">
        <v>16</v>
      </c>
      <c r="EM181" s="23"/>
      <c r="EN181" s="23"/>
      <c r="EO181" s="13"/>
      <c r="ER181" s="14"/>
      <c r="ES181" s="14"/>
    </row>
    <row r="182" spans="3:149" x14ac:dyDescent="0.2">
      <c r="D182" s="364" t="s">
        <v>19</v>
      </c>
      <c r="E182" s="430"/>
      <c r="F182" s="431"/>
      <c r="G182" s="105" t="s">
        <v>20</v>
      </c>
      <c r="H182" s="105"/>
      <c r="I182" s="26"/>
      <c r="J182" s="366"/>
      <c r="K182" s="105"/>
      <c r="L182" s="105"/>
      <c r="M182" s="105"/>
      <c r="N182" s="105"/>
      <c r="O182" s="366"/>
      <c r="P182" s="105"/>
      <c r="Q182" s="105"/>
      <c r="R182" s="105"/>
      <c r="S182" s="105"/>
      <c r="T182" s="366"/>
      <c r="U182" s="105"/>
      <c r="V182" s="105"/>
      <c r="W182" s="105"/>
      <c r="X182" s="105"/>
      <c r="Y182" s="366"/>
      <c r="Z182" s="105"/>
      <c r="AA182" s="105"/>
      <c r="AB182" s="105"/>
      <c r="AC182" s="105"/>
      <c r="AD182" s="366"/>
      <c r="AE182" s="105"/>
      <c r="AF182" s="105"/>
      <c r="AG182" s="105"/>
      <c r="AH182" s="105"/>
      <c r="AI182" s="366"/>
      <c r="AJ182" s="105"/>
      <c r="AK182" s="105"/>
      <c r="AL182" s="105"/>
      <c r="AM182" s="105"/>
      <c r="AN182" s="366"/>
      <c r="AO182" s="105"/>
      <c r="AP182" s="105"/>
      <c r="AQ182" s="105"/>
      <c r="AR182" s="105"/>
      <c r="AS182" s="366"/>
      <c r="AT182" s="105"/>
      <c r="AU182" s="105"/>
      <c r="AV182" s="105"/>
      <c r="AW182" s="105"/>
      <c r="AX182" s="366"/>
      <c r="AY182" s="105"/>
      <c r="AZ182" s="105"/>
      <c r="BA182" s="105"/>
      <c r="BB182" s="105"/>
      <c r="BC182" s="366"/>
      <c r="BD182" s="105"/>
      <c r="BE182" s="105"/>
      <c r="BF182" s="105"/>
      <c r="BG182" s="105"/>
      <c r="BH182" s="366"/>
      <c r="BI182" s="105"/>
      <c r="BJ182" s="105"/>
      <c r="BK182" s="105"/>
      <c r="BL182" s="26"/>
      <c r="BM182" s="366"/>
      <c r="BN182" s="105"/>
      <c r="BO182" s="105"/>
      <c r="BP182" s="105"/>
      <c r="BQ182" s="26"/>
      <c r="BR182" s="366"/>
      <c r="BS182" s="105"/>
      <c r="BT182" s="105"/>
      <c r="BU182" s="105"/>
      <c r="BV182" s="26"/>
      <c r="BW182" s="366"/>
      <c r="BX182" s="105"/>
      <c r="BY182" s="105" t="s">
        <v>21</v>
      </c>
      <c r="BZ182" s="105"/>
      <c r="CA182" s="105"/>
      <c r="CB182" s="366"/>
      <c r="CC182" s="105"/>
      <c r="CD182" s="105"/>
      <c r="CE182" s="105"/>
      <c r="CF182" s="105"/>
      <c r="CG182" s="366"/>
      <c r="CH182" s="105"/>
      <c r="CI182" s="105"/>
      <c r="CJ182" s="105"/>
      <c r="CK182" s="105"/>
      <c r="CL182" s="366"/>
      <c r="CM182" s="105"/>
      <c r="CN182" s="105"/>
      <c r="CO182" s="105"/>
      <c r="CP182" s="105"/>
      <c r="CQ182" s="366"/>
      <c r="CR182" s="105"/>
      <c r="CS182" s="105"/>
      <c r="CT182" s="105"/>
      <c r="CU182" s="105"/>
      <c r="CV182" s="366"/>
      <c r="CW182" s="105"/>
      <c r="CX182" s="105"/>
      <c r="CY182" s="105"/>
      <c r="CZ182" s="105"/>
      <c r="DA182" s="366"/>
      <c r="DB182" s="105"/>
      <c r="DC182" s="105"/>
      <c r="DD182" s="105"/>
      <c r="DE182" s="26"/>
      <c r="DF182" s="366"/>
      <c r="DG182" s="105"/>
      <c r="DH182" s="105"/>
      <c r="DI182" s="105"/>
      <c r="DJ182" s="105"/>
      <c r="DK182" s="366"/>
      <c r="DL182" s="105"/>
      <c r="DM182" s="105"/>
      <c r="DN182" s="105"/>
      <c r="DO182" s="105"/>
      <c r="DP182" s="366"/>
      <c r="DQ182" s="105"/>
      <c r="DR182" s="105"/>
      <c r="DS182" s="105"/>
      <c r="DT182" s="105"/>
      <c r="DU182" s="366"/>
      <c r="DV182" s="105"/>
      <c r="DW182" s="105"/>
      <c r="DX182" s="105"/>
      <c r="DY182" s="105"/>
      <c r="DZ182" s="366"/>
      <c r="EA182" s="105"/>
      <c r="EB182" s="105"/>
      <c r="EC182" s="105"/>
      <c r="ED182" s="105"/>
      <c r="EE182" s="366"/>
      <c r="EF182" s="105"/>
      <c r="EG182" s="105"/>
      <c r="EH182" s="105"/>
      <c r="EI182" s="105"/>
      <c r="EJ182" s="366"/>
      <c r="EK182" s="105"/>
      <c r="EL182" s="105"/>
      <c r="EM182" s="105"/>
      <c r="EN182" s="368"/>
      <c r="EO182" s="13"/>
      <c r="ER182" s="14"/>
      <c r="ES182" s="14"/>
    </row>
    <row r="183" spans="3:149" x14ac:dyDescent="0.2">
      <c r="D183" s="13"/>
      <c r="E183" s="479"/>
      <c r="F183" s="188"/>
      <c r="G183" s="451"/>
      <c r="H183" s="451"/>
      <c r="I183" s="451"/>
      <c r="J183" s="452"/>
      <c r="K183" s="188"/>
      <c r="L183" s="451"/>
      <c r="M183" s="451"/>
      <c r="N183" s="451"/>
      <c r="O183" s="452"/>
      <c r="P183" s="188"/>
      <c r="Q183" s="451"/>
      <c r="R183" s="451"/>
      <c r="S183" s="451"/>
      <c r="T183" s="452"/>
      <c r="U183" s="188"/>
      <c r="V183" s="451"/>
      <c r="W183" s="451"/>
      <c r="X183" s="451"/>
      <c r="Y183" s="452"/>
      <c r="Z183" s="188"/>
      <c r="AA183" s="451"/>
      <c r="AB183" s="451"/>
      <c r="AC183" s="451"/>
      <c r="AD183" s="452"/>
      <c r="AE183" s="188"/>
      <c r="AF183" s="451"/>
      <c r="AG183" s="451"/>
      <c r="AH183" s="451"/>
      <c r="AI183" s="452"/>
      <c r="AJ183" s="188"/>
      <c r="AK183" s="451"/>
      <c r="AL183" s="451"/>
      <c r="AM183" s="451"/>
      <c r="AN183" s="452"/>
      <c r="AO183" s="188"/>
      <c r="AP183" s="451"/>
      <c r="AQ183" s="451"/>
      <c r="AR183" s="451"/>
      <c r="AS183" s="452"/>
      <c r="AT183" s="188"/>
      <c r="AU183" s="451"/>
      <c r="AV183" s="451"/>
      <c r="AW183" s="451"/>
      <c r="AX183" s="452"/>
      <c r="AY183" s="188"/>
      <c r="AZ183" s="451"/>
      <c r="BA183" s="451"/>
      <c r="BB183" s="451"/>
      <c r="BC183" s="452"/>
      <c r="BD183" s="188"/>
      <c r="BE183" s="451"/>
      <c r="BF183" s="451"/>
      <c r="BG183" s="451"/>
      <c r="BH183" s="452"/>
      <c r="BI183" s="188"/>
      <c r="BJ183" s="451"/>
      <c r="BK183" s="451"/>
      <c r="BL183" s="451"/>
      <c r="BM183" s="452"/>
      <c r="BN183" s="188"/>
      <c r="BO183" s="451"/>
      <c r="BP183" s="451"/>
      <c r="BQ183" s="451"/>
      <c r="BR183" s="452"/>
      <c r="BS183" s="188"/>
      <c r="BT183" s="451"/>
      <c r="BU183" s="451"/>
      <c r="BV183" s="451"/>
      <c r="BW183" s="452"/>
      <c r="BX183" s="188"/>
      <c r="BY183" s="451"/>
      <c r="BZ183" s="451"/>
      <c r="CA183" s="451"/>
      <c r="CB183" s="452"/>
      <c r="CC183" s="188"/>
      <c r="CD183" s="451"/>
      <c r="CE183" s="451"/>
      <c r="CF183" s="451"/>
      <c r="CG183" s="452"/>
      <c r="CH183" s="188"/>
      <c r="CI183" s="451"/>
      <c r="CJ183" s="451"/>
      <c r="CK183" s="451"/>
      <c r="CL183" s="452"/>
      <c r="CM183" s="188"/>
      <c r="CN183" s="451"/>
      <c r="CO183" s="451"/>
      <c r="CP183" s="451"/>
      <c r="CQ183" s="452"/>
      <c r="CR183" s="188"/>
      <c r="CS183" s="451"/>
      <c r="CT183" s="451"/>
      <c r="CU183" s="451"/>
      <c r="CV183" s="452"/>
      <c r="CW183" s="188"/>
      <c r="CX183" s="451"/>
      <c r="CY183" s="451"/>
      <c r="CZ183" s="451"/>
      <c r="DA183" s="452"/>
      <c r="DB183" s="188"/>
      <c r="DC183" s="451"/>
      <c r="DD183" s="451"/>
      <c r="DE183" s="455"/>
      <c r="DF183" s="452"/>
      <c r="DG183" s="188"/>
      <c r="DH183" s="451"/>
      <c r="DI183" s="451"/>
      <c r="DJ183" s="451"/>
      <c r="DK183" s="452"/>
      <c r="DL183" s="188"/>
      <c r="DM183" s="451"/>
      <c r="DN183" s="451"/>
      <c r="DO183" s="451"/>
      <c r="DP183" s="452"/>
      <c r="DQ183" s="188"/>
      <c r="DR183" s="451"/>
      <c r="DS183" s="451"/>
      <c r="DT183" s="451"/>
      <c r="DU183" s="452"/>
      <c r="DV183" s="188"/>
      <c r="DW183" s="451"/>
      <c r="DX183" s="451"/>
      <c r="DY183" s="451"/>
      <c r="DZ183" s="452"/>
      <c r="EA183" s="188"/>
      <c r="EB183" s="451"/>
      <c r="EC183" s="451"/>
      <c r="ED183" s="451"/>
      <c r="EE183" s="452"/>
      <c r="EF183" s="188"/>
      <c r="EG183" s="451"/>
      <c r="EH183" s="451"/>
      <c r="EI183" s="451"/>
      <c r="EJ183" s="452"/>
      <c r="EK183" s="188"/>
      <c r="EL183" s="451"/>
      <c r="EM183" s="451"/>
      <c r="EN183" s="451"/>
      <c r="EO183" s="13"/>
      <c r="ER183" s="14"/>
      <c r="ES183" s="14"/>
    </row>
    <row r="184" spans="3:149" x14ac:dyDescent="0.2">
      <c r="D184" s="13" t="s">
        <v>382</v>
      </c>
      <c r="F184" s="201"/>
      <c r="G184" s="463">
        <v>0</v>
      </c>
      <c r="H184" s="463"/>
      <c r="I184" s="451"/>
      <c r="J184" s="452"/>
      <c r="K184" s="201"/>
      <c r="L184" s="463">
        <f>SUM(L185:L196)</f>
        <v>0</v>
      </c>
      <c r="M184" s="463"/>
      <c r="N184" s="451"/>
      <c r="O184" s="452"/>
      <c r="P184" s="201"/>
      <c r="Q184" s="463">
        <f>SUM(Q185:Q196)</f>
        <v>0</v>
      </c>
      <c r="R184" s="463"/>
      <c r="S184" s="451"/>
      <c r="T184" s="452"/>
      <c r="U184" s="201"/>
      <c r="V184" s="463">
        <f>SUM(V185:V196)</f>
        <v>0</v>
      </c>
      <c r="W184" s="463"/>
      <c r="X184" s="451"/>
      <c r="Y184" s="452"/>
      <c r="Z184" s="201"/>
      <c r="AA184" s="463">
        <f>SUM(AA185:AA196)</f>
        <v>0</v>
      </c>
      <c r="AB184" s="463"/>
      <c r="AC184" s="451"/>
      <c r="AD184" s="452"/>
      <c r="AE184" s="201"/>
      <c r="AF184" s="463">
        <f>SUM(AF185:AF196)</f>
        <v>0</v>
      </c>
      <c r="AG184" s="463"/>
      <c r="AH184" s="451"/>
      <c r="AI184" s="452"/>
      <c r="AJ184" s="201"/>
      <c r="AK184" s="463">
        <f>SUM(AK185:AK196)</f>
        <v>0</v>
      </c>
      <c r="AL184" s="463"/>
      <c r="AM184" s="451"/>
      <c r="AN184" s="452"/>
      <c r="AO184" s="201"/>
      <c r="AP184" s="463">
        <f>SUM(AP185:AP196)</f>
        <v>0</v>
      </c>
      <c r="AQ184" s="463"/>
      <c r="AR184" s="451"/>
      <c r="AS184" s="452"/>
      <c r="AT184" s="201"/>
      <c r="AU184" s="463">
        <f>SUM(AU185:AU196)</f>
        <v>0</v>
      </c>
      <c r="AV184" s="463"/>
      <c r="AW184" s="451"/>
      <c r="AX184" s="452"/>
      <c r="AY184" s="201"/>
      <c r="AZ184" s="463">
        <f>SUM(AZ185:AZ196)</f>
        <v>0</v>
      </c>
      <c r="BA184" s="463"/>
      <c r="BB184" s="451"/>
      <c r="BC184" s="452"/>
      <c r="BD184" s="201"/>
      <c r="BE184" s="463">
        <f>SUM(BE185:BE196)</f>
        <v>0</v>
      </c>
      <c r="BF184" s="463"/>
      <c r="BG184" s="451"/>
      <c r="BH184" s="452"/>
      <c r="BI184" s="201"/>
      <c r="BJ184" s="463">
        <f>SUM(BJ185:BJ196)</f>
        <v>0</v>
      </c>
      <c r="BK184" s="463"/>
      <c r="BL184" s="451"/>
      <c r="BM184" s="452"/>
      <c r="BN184" s="201"/>
      <c r="BO184" s="463">
        <f>SUM(BO185:BO196)</f>
        <v>0</v>
      </c>
      <c r="BP184" s="463"/>
      <c r="BQ184" s="451"/>
      <c r="BR184" s="452"/>
      <c r="BS184" s="201"/>
      <c r="BT184" s="463">
        <f>SUM(BT185:BT196)</f>
        <v>0</v>
      </c>
      <c r="BU184" s="463"/>
      <c r="BV184" s="451"/>
      <c r="BW184" s="452"/>
      <c r="BX184" s="201"/>
      <c r="BY184" s="463">
        <f>SUM(BY185:BY196)</f>
        <v>10627</v>
      </c>
      <c r="BZ184" s="463"/>
      <c r="CA184" s="451"/>
      <c r="CB184" s="452"/>
      <c r="CC184" s="201"/>
      <c r="CD184" s="463">
        <f>SUM(CD185:CD196)</f>
        <v>0</v>
      </c>
      <c r="CE184" s="463"/>
      <c r="CF184" s="451"/>
      <c r="CG184" s="452"/>
      <c r="CH184" s="201"/>
      <c r="CI184" s="463">
        <f>SUM(CI185:CI196)</f>
        <v>0</v>
      </c>
      <c r="CJ184" s="463"/>
      <c r="CK184" s="451"/>
      <c r="CL184" s="452"/>
      <c r="CM184" s="201"/>
      <c r="CN184" s="463">
        <f>SUM(CN185:CN196)</f>
        <v>0</v>
      </c>
      <c r="CO184" s="463"/>
      <c r="CP184" s="451"/>
      <c r="CQ184" s="452"/>
      <c r="CR184" s="201"/>
      <c r="CS184" s="463">
        <f>SUM(CS185:CS196)</f>
        <v>0</v>
      </c>
      <c r="CT184" s="463"/>
      <c r="CU184" s="451"/>
      <c r="CV184" s="452"/>
      <c r="CW184" s="201"/>
      <c r="CX184" s="463">
        <f>SUM(CX185:CX196)</f>
        <v>0</v>
      </c>
      <c r="CY184" s="463"/>
      <c r="CZ184" s="451"/>
      <c r="DA184" s="452"/>
      <c r="DB184" s="201"/>
      <c r="DC184" s="463">
        <f>SUM(DC185:DC196)</f>
        <v>10627</v>
      </c>
      <c r="DD184" s="463"/>
      <c r="DE184" s="451"/>
      <c r="DF184" s="452"/>
      <c r="DG184" s="201"/>
      <c r="DH184" s="463">
        <f>SUM(DH185:DH196)</f>
        <v>0</v>
      </c>
      <c r="DI184" s="463"/>
      <c r="DJ184" s="451"/>
      <c r="DK184" s="452"/>
      <c r="DL184" s="201"/>
      <c r="DM184" s="463">
        <f>SUM(DM185:DM196)</f>
        <v>0</v>
      </c>
      <c r="DN184" s="463"/>
      <c r="DO184" s="451"/>
      <c r="DP184" s="452"/>
      <c r="DQ184" s="201"/>
      <c r="DR184" s="463">
        <f>SUM(DR185:DR196)</f>
        <v>0</v>
      </c>
      <c r="DS184" s="463"/>
      <c r="DT184" s="451"/>
      <c r="DU184" s="452"/>
      <c r="DV184" s="201"/>
      <c r="DW184" s="463">
        <f>SUM(DW185:DW196)</f>
        <v>0</v>
      </c>
      <c r="DX184" s="463"/>
      <c r="DY184" s="451"/>
      <c r="DZ184" s="452"/>
      <c r="EA184" s="201"/>
      <c r="EB184" s="463">
        <f>SUM(EB185:EB196)</f>
        <v>0</v>
      </c>
      <c r="EC184" s="463"/>
      <c r="ED184" s="451"/>
      <c r="EE184" s="452"/>
      <c r="EF184" s="201"/>
      <c r="EG184" s="463">
        <f>SUM(EG185:EG196)</f>
        <v>0</v>
      </c>
      <c r="EH184" s="463"/>
      <c r="EI184" s="451"/>
      <c r="EJ184" s="452"/>
      <c r="EK184" s="201"/>
      <c r="EL184" s="463">
        <f>SUM(EL185:EL196)</f>
        <v>10627</v>
      </c>
      <c r="EM184" s="463"/>
      <c r="EN184" s="451"/>
      <c r="EO184" s="13"/>
      <c r="ER184" s="14"/>
      <c r="ES184" s="14"/>
    </row>
    <row r="185" spans="3:149" ht="12.75" hidden="1" customHeight="1" x14ac:dyDescent="0.2">
      <c r="D185" s="13" t="s">
        <v>383</v>
      </c>
      <c r="F185" s="374"/>
      <c r="G185" s="449">
        <v>0</v>
      </c>
      <c r="H185" s="450"/>
      <c r="I185" s="451"/>
      <c r="J185" s="452"/>
      <c r="K185" s="374"/>
      <c r="L185" s="449">
        <v>0</v>
      </c>
      <c r="M185" s="450"/>
      <c r="N185" s="451"/>
      <c r="O185" s="452"/>
      <c r="P185" s="374"/>
      <c r="Q185" s="449">
        <v>0</v>
      </c>
      <c r="R185" s="450"/>
      <c r="S185" s="451"/>
      <c r="T185" s="452"/>
      <c r="U185" s="201"/>
      <c r="V185" s="449">
        <v>0</v>
      </c>
      <c r="W185" s="463"/>
      <c r="X185" s="451"/>
      <c r="Y185" s="452"/>
      <c r="Z185" s="374"/>
      <c r="AA185" s="449">
        <v>0</v>
      </c>
      <c r="AB185" s="450"/>
      <c r="AC185" s="451"/>
      <c r="AD185" s="452"/>
      <c r="AE185" s="374"/>
      <c r="AF185" s="449">
        <v>0</v>
      </c>
      <c r="AG185" s="450"/>
      <c r="AH185" s="451"/>
      <c r="AI185" s="452"/>
      <c r="AJ185" s="374"/>
      <c r="AK185" s="449">
        <v>0</v>
      </c>
      <c r="AL185" s="450"/>
      <c r="AM185" s="451"/>
      <c r="AN185" s="452"/>
      <c r="AO185" s="374"/>
      <c r="AP185" s="449">
        <v>0</v>
      </c>
      <c r="AQ185" s="450"/>
      <c r="AR185" s="451"/>
      <c r="AS185" s="452"/>
      <c r="AT185" s="374"/>
      <c r="AU185" s="449">
        <v>0</v>
      </c>
      <c r="AV185" s="450"/>
      <c r="AW185" s="451"/>
      <c r="AX185" s="452"/>
      <c r="AY185" s="374"/>
      <c r="AZ185" s="449">
        <v>0</v>
      </c>
      <c r="BA185" s="450"/>
      <c r="BB185" s="451"/>
      <c r="BC185" s="452"/>
      <c r="BD185" s="374"/>
      <c r="BE185" s="449">
        <v>0</v>
      </c>
      <c r="BF185" s="450"/>
      <c r="BG185" s="451"/>
      <c r="BH185" s="452"/>
      <c r="BI185" s="374"/>
      <c r="BJ185" s="449">
        <v>0</v>
      </c>
      <c r="BK185" s="450"/>
      <c r="BL185" s="451"/>
      <c r="BM185" s="452"/>
      <c r="BN185" s="374"/>
      <c r="BO185" s="449">
        <v>0</v>
      </c>
      <c r="BP185" s="450"/>
      <c r="BQ185" s="451"/>
      <c r="BR185" s="452"/>
      <c r="BS185" s="374"/>
      <c r="BT185" s="449">
        <f t="shared" ref="BT185:BT196" si="0">SUM(L185:BO185)</f>
        <v>0</v>
      </c>
      <c r="BU185" s="450"/>
      <c r="BV185" s="451"/>
      <c r="BW185" s="452"/>
      <c r="BX185" s="453"/>
      <c r="BY185" s="449">
        <f>SUM(Q185:BT185)</f>
        <v>0</v>
      </c>
      <c r="BZ185" s="450"/>
      <c r="CA185" s="451"/>
      <c r="CB185" s="452"/>
      <c r="CC185" s="374"/>
      <c r="CD185" s="449">
        <v>0</v>
      </c>
      <c r="CE185" s="450"/>
      <c r="CF185" s="451"/>
      <c r="CG185" s="452"/>
      <c r="CH185" s="374"/>
      <c r="CI185" s="449">
        <v>0</v>
      </c>
      <c r="CJ185" s="450"/>
      <c r="CK185" s="451"/>
      <c r="CL185" s="452"/>
      <c r="CM185" s="201"/>
      <c r="CN185" s="449">
        <v>0</v>
      </c>
      <c r="CO185" s="463"/>
      <c r="CP185" s="451"/>
      <c r="CQ185" s="452"/>
      <c r="CR185" s="374"/>
      <c r="CS185" s="449">
        <v>0</v>
      </c>
      <c r="CT185" s="450"/>
      <c r="CU185" s="451"/>
      <c r="CV185" s="452"/>
      <c r="CW185" s="374"/>
      <c r="CX185" s="449">
        <v>0</v>
      </c>
      <c r="CY185" s="450"/>
      <c r="CZ185" s="451"/>
      <c r="DA185" s="452"/>
      <c r="DB185" s="374"/>
      <c r="DC185" s="449">
        <v>0</v>
      </c>
      <c r="DD185" s="450"/>
      <c r="DE185" s="451"/>
      <c r="DF185" s="452"/>
      <c r="DG185" s="374"/>
      <c r="DH185" s="449">
        <v>0</v>
      </c>
      <c r="DI185" s="450"/>
      <c r="DJ185" s="451"/>
      <c r="DK185" s="452"/>
      <c r="DL185" s="374"/>
      <c r="DM185" s="449">
        <v>0</v>
      </c>
      <c r="DN185" s="450"/>
      <c r="DO185" s="451"/>
      <c r="DP185" s="452"/>
      <c r="DQ185" s="374"/>
      <c r="DR185" s="449">
        <v>0</v>
      </c>
      <c r="DS185" s="450"/>
      <c r="DT185" s="451"/>
      <c r="DU185" s="452"/>
      <c r="DV185" s="374"/>
      <c r="DW185" s="449">
        <v>0</v>
      </c>
      <c r="DX185" s="450"/>
      <c r="DY185" s="451"/>
      <c r="DZ185" s="452"/>
      <c r="EA185" s="374"/>
      <c r="EB185" s="449">
        <v>0</v>
      </c>
      <c r="EC185" s="450"/>
      <c r="ED185" s="451"/>
      <c r="EE185" s="452"/>
      <c r="EF185" s="374"/>
      <c r="EG185" s="449">
        <v>0</v>
      </c>
      <c r="EH185" s="450"/>
      <c r="EI185" s="451"/>
      <c r="EJ185" s="452"/>
      <c r="EK185" s="374"/>
      <c r="EL185" s="449">
        <f t="shared" ref="EL185:EL196" si="1">SUM(CD185:EG185)</f>
        <v>0</v>
      </c>
      <c r="EM185" s="450"/>
      <c r="EN185" s="451"/>
      <c r="EO185" s="13"/>
      <c r="ER185" s="14"/>
      <c r="ES185" s="14"/>
    </row>
    <row r="186" spans="3:149" ht="12.75" hidden="1" customHeight="1" x14ac:dyDescent="0.2">
      <c r="D186" s="13" t="s">
        <v>384</v>
      </c>
      <c r="F186" s="198"/>
      <c r="G186" s="451">
        <v>0</v>
      </c>
      <c r="H186" s="455"/>
      <c r="I186" s="451"/>
      <c r="J186" s="452"/>
      <c r="K186" s="198"/>
      <c r="L186" s="451">
        <v>0</v>
      </c>
      <c r="M186" s="455"/>
      <c r="N186" s="451"/>
      <c r="O186" s="452"/>
      <c r="P186" s="198"/>
      <c r="Q186" s="451">
        <v>0</v>
      </c>
      <c r="R186" s="455"/>
      <c r="S186" s="451"/>
      <c r="T186" s="452"/>
      <c r="U186" s="198"/>
      <c r="V186" s="451">
        <v>0</v>
      </c>
      <c r="W186" s="455"/>
      <c r="X186" s="451"/>
      <c r="Y186" s="452"/>
      <c r="Z186" s="198"/>
      <c r="AA186" s="451">
        <v>0</v>
      </c>
      <c r="AB186" s="455"/>
      <c r="AC186" s="451"/>
      <c r="AD186" s="452"/>
      <c r="AE186" s="198"/>
      <c r="AF186" s="451">
        <v>0</v>
      </c>
      <c r="AG186" s="455"/>
      <c r="AH186" s="451"/>
      <c r="AI186" s="452"/>
      <c r="AJ186" s="198"/>
      <c r="AK186" s="451">
        <v>0</v>
      </c>
      <c r="AL186" s="455"/>
      <c r="AM186" s="451"/>
      <c r="AN186" s="452"/>
      <c r="AO186" s="198"/>
      <c r="AP186" s="451">
        <v>0</v>
      </c>
      <c r="AQ186" s="455"/>
      <c r="AR186" s="451"/>
      <c r="AS186" s="452"/>
      <c r="AT186" s="198"/>
      <c r="AU186" s="451">
        <v>0</v>
      </c>
      <c r="AV186" s="455"/>
      <c r="AW186" s="451"/>
      <c r="AX186" s="452"/>
      <c r="AY186" s="198"/>
      <c r="AZ186" s="451">
        <v>0</v>
      </c>
      <c r="BA186" s="455"/>
      <c r="BB186" s="451"/>
      <c r="BC186" s="452"/>
      <c r="BD186" s="198"/>
      <c r="BE186" s="451">
        <v>0</v>
      </c>
      <c r="BF186" s="455"/>
      <c r="BG186" s="451"/>
      <c r="BH186" s="452"/>
      <c r="BI186" s="198"/>
      <c r="BJ186" s="451">
        <v>0</v>
      </c>
      <c r="BK186" s="455"/>
      <c r="BL186" s="451"/>
      <c r="BM186" s="452"/>
      <c r="BN186" s="198"/>
      <c r="BO186" s="451">
        <v>0</v>
      </c>
      <c r="BP186" s="455"/>
      <c r="BQ186" s="451"/>
      <c r="BR186" s="452"/>
      <c r="BS186" s="198"/>
      <c r="BT186" s="451">
        <f t="shared" si="0"/>
        <v>0</v>
      </c>
      <c r="BU186" s="455"/>
      <c r="BV186" s="451"/>
      <c r="BW186" s="452"/>
      <c r="BX186" s="452"/>
      <c r="BY186" s="451">
        <f>SUM(Q186:BT186)</f>
        <v>0</v>
      </c>
      <c r="BZ186" s="455"/>
      <c r="CA186" s="451"/>
      <c r="CB186" s="452"/>
      <c r="CC186" s="198"/>
      <c r="CD186" s="451">
        <v>0</v>
      </c>
      <c r="CE186" s="455"/>
      <c r="CF186" s="451"/>
      <c r="CG186" s="452"/>
      <c r="CH186" s="198"/>
      <c r="CI186" s="451">
        <v>0</v>
      </c>
      <c r="CJ186" s="455"/>
      <c r="CK186" s="451"/>
      <c r="CL186" s="452"/>
      <c r="CM186" s="198"/>
      <c r="CN186" s="451">
        <v>0</v>
      </c>
      <c r="CO186" s="455"/>
      <c r="CP186" s="451"/>
      <c r="CQ186" s="452"/>
      <c r="CR186" s="198"/>
      <c r="CS186" s="451">
        <v>0</v>
      </c>
      <c r="CT186" s="455"/>
      <c r="CU186" s="451"/>
      <c r="CV186" s="452"/>
      <c r="CW186" s="198"/>
      <c r="CX186" s="451">
        <v>0</v>
      </c>
      <c r="CY186" s="455"/>
      <c r="CZ186" s="451"/>
      <c r="DA186" s="452"/>
      <c r="DB186" s="198"/>
      <c r="DC186" s="451">
        <v>0</v>
      </c>
      <c r="DD186" s="455"/>
      <c r="DE186" s="451"/>
      <c r="DF186" s="452"/>
      <c r="DG186" s="198"/>
      <c r="DH186" s="451">
        <v>0</v>
      </c>
      <c r="DI186" s="455"/>
      <c r="DJ186" s="451"/>
      <c r="DK186" s="452"/>
      <c r="DL186" s="198"/>
      <c r="DM186" s="451">
        <v>0</v>
      </c>
      <c r="DN186" s="455"/>
      <c r="DO186" s="451"/>
      <c r="DP186" s="452"/>
      <c r="DQ186" s="198"/>
      <c r="DR186" s="451">
        <v>0</v>
      </c>
      <c r="DS186" s="455"/>
      <c r="DT186" s="451"/>
      <c r="DU186" s="452"/>
      <c r="DV186" s="198"/>
      <c r="DW186" s="451">
        <v>0</v>
      </c>
      <c r="DX186" s="455"/>
      <c r="DY186" s="451"/>
      <c r="DZ186" s="452"/>
      <c r="EA186" s="198"/>
      <c r="EB186" s="451">
        <v>0</v>
      </c>
      <c r="EC186" s="455"/>
      <c r="ED186" s="451"/>
      <c r="EE186" s="452"/>
      <c r="EF186" s="198"/>
      <c r="EG186" s="451">
        <v>0</v>
      </c>
      <c r="EH186" s="455"/>
      <c r="EI186" s="451"/>
      <c r="EJ186" s="452"/>
      <c r="EK186" s="198"/>
      <c r="EL186" s="451">
        <f t="shared" si="1"/>
        <v>0</v>
      </c>
      <c r="EM186" s="455"/>
      <c r="EN186" s="451"/>
      <c r="EO186" s="13"/>
      <c r="ER186" s="14"/>
      <c r="ES186" s="14"/>
    </row>
    <row r="187" spans="3:149" ht="12.75" hidden="1" customHeight="1" x14ac:dyDescent="0.2">
      <c r="D187" s="13" t="s">
        <v>385</v>
      </c>
      <c r="F187" s="198"/>
      <c r="G187" s="451">
        <v>0</v>
      </c>
      <c r="H187" s="455"/>
      <c r="I187" s="451"/>
      <c r="J187" s="452"/>
      <c r="K187" s="198"/>
      <c r="L187" s="451">
        <v>0</v>
      </c>
      <c r="M187" s="455"/>
      <c r="N187" s="451"/>
      <c r="O187" s="452"/>
      <c r="P187" s="198"/>
      <c r="Q187" s="451">
        <v>0</v>
      </c>
      <c r="R187" s="455"/>
      <c r="S187" s="451"/>
      <c r="T187" s="452"/>
      <c r="U187" s="198"/>
      <c r="V187" s="451">
        <v>0</v>
      </c>
      <c r="W187" s="455"/>
      <c r="X187" s="451"/>
      <c r="Y187" s="452"/>
      <c r="Z187" s="198"/>
      <c r="AA187" s="451">
        <v>0</v>
      </c>
      <c r="AB187" s="455"/>
      <c r="AC187" s="451"/>
      <c r="AD187" s="452"/>
      <c r="AE187" s="198"/>
      <c r="AF187" s="451">
        <v>0</v>
      </c>
      <c r="AG187" s="455"/>
      <c r="AH187" s="451"/>
      <c r="AI187" s="452"/>
      <c r="AJ187" s="198"/>
      <c r="AK187" s="451">
        <v>0</v>
      </c>
      <c r="AL187" s="455"/>
      <c r="AM187" s="451"/>
      <c r="AN187" s="452"/>
      <c r="AO187" s="198"/>
      <c r="AP187" s="451">
        <v>0</v>
      </c>
      <c r="AQ187" s="455"/>
      <c r="AR187" s="451"/>
      <c r="AS187" s="452"/>
      <c r="AT187" s="198"/>
      <c r="AU187" s="451">
        <v>0</v>
      </c>
      <c r="AV187" s="455"/>
      <c r="AW187" s="451"/>
      <c r="AX187" s="452"/>
      <c r="AY187" s="198"/>
      <c r="AZ187" s="451">
        <v>0</v>
      </c>
      <c r="BA187" s="455"/>
      <c r="BB187" s="451"/>
      <c r="BC187" s="452"/>
      <c r="BD187" s="198"/>
      <c r="BE187" s="451">
        <v>0</v>
      </c>
      <c r="BF187" s="455"/>
      <c r="BG187" s="451"/>
      <c r="BH187" s="452"/>
      <c r="BI187" s="198"/>
      <c r="BJ187" s="451">
        <v>0</v>
      </c>
      <c r="BK187" s="455"/>
      <c r="BL187" s="451"/>
      <c r="BM187" s="452"/>
      <c r="BN187" s="198"/>
      <c r="BO187" s="451">
        <v>0</v>
      </c>
      <c r="BP187" s="455"/>
      <c r="BQ187" s="451"/>
      <c r="BR187" s="452"/>
      <c r="BS187" s="198"/>
      <c r="BT187" s="451">
        <f>SUM(L187:BO187)</f>
        <v>0</v>
      </c>
      <c r="BU187" s="455"/>
      <c r="BV187" s="451"/>
      <c r="BW187" s="452"/>
      <c r="BX187" s="452"/>
      <c r="BY187" s="451">
        <v>0</v>
      </c>
      <c r="BZ187" s="455"/>
      <c r="CA187" s="451"/>
      <c r="CB187" s="452"/>
      <c r="CC187" s="198"/>
      <c r="CD187" s="451">
        <v>0</v>
      </c>
      <c r="CE187" s="455"/>
      <c r="CF187" s="451"/>
      <c r="CG187" s="452"/>
      <c r="CH187" s="198"/>
      <c r="CI187" s="451">
        <v>0</v>
      </c>
      <c r="CJ187" s="455"/>
      <c r="CK187" s="451"/>
      <c r="CL187" s="452"/>
      <c r="CM187" s="198"/>
      <c r="CN187" s="451">
        <v>0</v>
      </c>
      <c r="CO187" s="455"/>
      <c r="CP187" s="451"/>
      <c r="CQ187" s="452"/>
      <c r="CR187" s="198"/>
      <c r="CS187" s="451">
        <v>0</v>
      </c>
      <c r="CT187" s="455"/>
      <c r="CU187" s="451"/>
      <c r="CV187" s="452"/>
      <c r="CW187" s="198"/>
      <c r="CX187" s="451">
        <v>0</v>
      </c>
      <c r="CY187" s="455"/>
      <c r="CZ187" s="451"/>
      <c r="DA187" s="452"/>
      <c r="DB187" s="198"/>
      <c r="DC187" s="451">
        <v>0</v>
      </c>
      <c r="DD187" s="455"/>
      <c r="DE187" s="451"/>
      <c r="DF187" s="452"/>
      <c r="DG187" s="198"/>
      <c r="DH187" s="451">
        <v>0</v>
      </c>
      <c r="DI187" s="455"/>
      <c r="DJ187" s="451"/>
      <c r="DK187" s="452"/>
      <c r="DL187" s="198"/>
      <c r="DM187" s="451">
        <v>0</v>
      </c>
      <c r="DN187" s="455"/>
      <c r="DO187" s="451"/>
      <c r="DP187" s="452"/>
      <c r="DQ187" s="198"/>
      <c r="DR187" s="451">
        <v>0</v>
      </c>
      <c r="DS187" s="455"/>
      <c r="DT187" s="451"/>
      <c r="DU187" s="452"/>
      <c r="DV187" s="198"/>
      <c r="DW187" s="451">
        <v>0</v>
      </c>
      <c r="DX187" s="455"/>
      <c r="DY187" s="451"/>
      <c r="DZ187" s="452"/>
      <c r="EA187" s="198"/>
      <c r="EB187" s="451">
        <v>0</v>
      </c>
      <c r="EC187" s="455"/>
      <c r="ED187" s="451"/>
      <c r="EE187" s="452"/>
      <c r="EF187" s="198"/>
      <c r="EG187" s="451">
        <v>0</v>
      </c>
      <c r="EH187" s="455"/>
      <c r="EI187" s="451"/>
      <c r="EJ187" s="452"/>
      <c r="EK187" s="198"/>
      <c r="EL187" s="451">
        <f>SUM(CD187:EG187)</f>
        <v>0</v>
      </c>
      <c r="EM187" s="455"/>
      <c r="EN187" s="451"/>
      <c r="EO187" s="13"/>
      <c r="ER187" s="14"/>
      <c r="ES187" s="14"/>
    </row>
    <row r="188" spans="3:149" ht="12.75" hidden="1" customHeight="1" x14ac:dyDescent="0.2">
      <c r="D188" s="13" t="s">
        <v>386</v>
      </c>
      <c r="F188" s="198"/>
      <c r="G188" s="451">
        <v>0</v>
      </c>
      <c r="H188" s="455"/>
      <c r="I188" s="451"/>
      <c r="J188" s="452"/>
      <c r="K188" s="198"/>
      <c r="L188" s="451">
        <v>0</v>
      </c>
      <c r="M188" s="455"/>
      <c r="N188" s="451"/>
      <c r="O188" s="452"/>
      <c r="P188" s="198"/>
      <c r="Q188" s="451">
        <v>0</v>
      </c>
      <c r="R188" s="455"/>
      <c r="S188" s="451"/>
      <c r="T188" s="452"/>
      <c r="U188" s="198"/>
      <c r="V188" s="451">
        <v>0</v>
      </c>
      <c r="W188" s="455"/>
      <c r="X188" s="451"/>
      <c r="Y188" s="452"/>
      <c r="Z188" s="198"/>
      <c r="AA188" s="451">
        <v>0</v>
      </c>
      <c r="AB188" s="455"/>
      <c r="AC188" s="451"/>
      <c r="AD188" s="452"/>
      <c r="AE188" s="198"/>
      <c r="AF188" s="451">
        <v>0</v>
      </c>
      <c r="AG188" s="455"/>
      <c r="AH188" s="451"/>
      <c r="AI188" s="452"/>
      <c r="AJ188" s="198"/>
      <c r="AK188" s="451">
        <v>0</v>
      </c>
      <c r="AL188" s="455"/>
      <c r="AM188" s="451"/>
      <c r="AN188" s="452"/>
      <c r="AO188" s="198"/>
      <c r="AP188" s="451">
        <v>0</v>
      </c>
      <c r="AQ188" s="455"/>
      <c r="AR188" s="451"/>
      <c r="AS188" s="452"/>
      <c r="AT188" s="198"/>
      <c r="AU188" s="451">
        <v>0</v>
      </c>
      <c r="AV188" s="455"/>
      <c r="AW188" s="451"/>
      <c r="AX188" s="452"/>
      <c r="AY188" s="198"/>
      <c r="AZ188" s="451">
        <v>0</v>
      </c>
      <c r="BA188" s="455"/>
      <c r="BB188" s="451"/>
      <c r="BC188" s="452"/>
      <c r="BD188" s="198"/>
      <c r="BE188" s="451">
        <v>0</v>
      </c>
      <c r="BF188" s="455"/>
      <c r="BG188" s="451"/>
      <c r="BH188" s="452"/>
      <c r="BI188" s="198"/>
      <c r="BJ188" s="451">
        <v>0</v>
      </c>
      <c r="BK188" s="455"/>
      <c r="BL188" s="451"/>
      <c r="BM188" s="452"/>
      <c r="BN188" s="198"/>
      <c r="BO188" s="451">
        <v>0</v>
      </c>
      <c r="BP188" s="455"/>
      <c r="BQ188" s="451"/>
      <c r="BR188" s="452"/>
      <c r="BS188" s="198"/>
      <c r="BT188" s="451">
        <f t="shared" si="0"/>
        <v>0</v>
      </c>
      <c r="BU188" s="455"/>
      <c r="BV188" s="451"/>
      <c r="BW188" s="452"/>
      <c r="BX188" s="452"/>
      <c r="BY188" s="451">
        <v>0</v>
      </c>
      <c r="BZ188" s="455"/>
      <c r="CA188" s="451"/>
      <c r="CB188" s="452"/>
      <c r="CC188" s="198"/>
      <c r="CD188" s="451">
        <v>0</v>
      </c>
      <c r="CE188" s="455"/>
      <c r="CF188" s="451"/>
      <c r="CG188" s="452"/>
      <c r="CH188" s="198"/>
      <c r="CI188" s="451">
        <v>0</v>
      </c>
      <c r="CJ188" s="455"/>
      <c r="CK188" s="451"/>
      <c r="CL188" s="452"/>
      <c r="CM188" s="198"/>
      <c r="CN188" s="451">
        <v>0</v>
      </c>
      <c r="CO188" s="455"/>
      <c r="CP188" s="451"/>
      <c r="CQ188" s="452"/>
      <c r="CR188" s="198"/>
      <c r="CS188" s="451">
        <v>0</v>
      </c>
      <c r="CT188" s="455"/>
      <c r="CU188" s="451"/>
      <c r="CV188" s="452"/>
      <c r="CW188" s="198"/>
      <c r="CX188" s="451">
        <v>0</v>
      </c>
      <c r="CY188" s="455"/>
      <c r="CZ188" s="451"/>
      <c r="DA188" s="452"/>
      <c r="DB188" s="198"/>
      <c r="DC188" s="451">
        <v>0</v>
      </c>
      <c r="DD188" s="455"/>
      <c r="DE188" s="451"/>
      <c r="DF188" s="452"/>
      <c r="DG188" s="198"/>
      <c r="DH188" s="451">
        <v>0</v>
      </c>
      <c r="DI188" s="455"/>
      <c r="DJ188" s="451"/>
      <c r="DK188" s="452"/>
      <c r="DL188" s="198"/>
      <c r="DM188" s="451">
        <v>0</v>
      </c>
      <c r="DN188" s="455"/>
      <c r="DO188" s="451"/>
      <c r="DP188" s="452"/>
      <c r="DQ188" s="198"/>
      <c r="DR188" s="451">
        <v>0</v>
      </c>
      <c r="DS188" s="455"/>
      <c r="DT188" s="451"/>
      <c r="DU188" s="452"/>
      <c r="DV188" s="198"/>
      <c r="DW188" s="451">
        <v>0</v>
      </c>
      <c r="DX188" s="455"/>
      <c r="DY188" s="451"/>
      <c r="DZ188" s="452"/>
      <c r="EA188" s="198"/>
      <c r="EB188" s="451">
        <v>0</v>
      </c>
      <c r="EC188" s="455"/>
      <c r="ED188" s="451"/>
      <c r="EE188" s="452"/>
      <c r="EF188" s="198"/>
      <c r="EG188" s="451">
        <v>0</v>
      </c>
      <c r="EH188" s="455"/>
      <c r="EI188" s="451"/>
      <c r="EJ188" s="452"/>
      <c r="EK188" s="198"/>
      <c r="EL188" s="451">
        <f t="shared" si="1"/>
        <v>0</v>
      </c>
      <c r="EM188" s="455"/>
      <c r="EN188" s="451"/>
      <c r="EO188" s="13"/>
      <c r="ER188" s="14"/>
      <c r="ES188" s="14"/>
    </row>
    <row r="189" spans="3:149" ht="12.75" hidden="1" customHeight="1" x14ac:dyDescent="0.2">
      <c r="D189" s="13" t="s">
        <v>387</v>
      </c>
      <c r="F189" s="198"/>
      <c r="G189" s="451">
        <v>0</v>
      </c>
      <c r="H189" s="455"/>
      <c r="I189" s="451"/>
      <c r="J189" s="452"/>
      <c r="K189" s="198"/>
      <c r="L189" s="451">
        <v>0</v>
      </c>
      <c r="M189" s="455"/>
      <c r="N189" s="451"/>
      <c r="O189" s="452"/>
      <c r="P189" s="198"/>
      <c r="Q189" s="451">
        <v>0</v>
      </c>
      <c r="R189" s="455"/>
      <c r="S189" s="451"/>
      <c r="T189" s="452"/>
      <c r="U189" s="198"/>
      <c r="V189" s="451">
        <v>0</v>
      </c>
      <c r="W189" s="455"/>
      <c r="X189" s="451"/>
      <c r="Y189" s="452"/>
      <c r="Z189" s="198"/>
      <c r="AA189" s="451">
        <v>0</v>
      </c>
      <c r="AB189" s="455"/>
      <c r="AC189" s="451"/>
      <c r="AD189" s="452"/>
      <c r="AE189" s="198"/>
      <c r="AF189" s="451">
        <v>0</v>
      </c>
      <c r="AG189" s="455"/>
      <c r="AH189" s="451"/>
      <c r="AI189" s="452"/>
      <c r="AJ189" s="198"/>
      <c r="AK189" s="451">
        <v>0</v>
      </c>
      <c r="AL189" s="455"/>
      <c r="AM189" s="451"/>
      <c r="AN189" s="452"/>
      <c r="AO189" s="198"/>
      <c r="AP189" s="451">
        <v>0</v>
      </c>
      <c r="AQ189" s="455"/>
      <c r="AR189" s="451"/>
      <c r="AS189" s="452"/>
      <c r="AT189" s="198"/>
      <c r="AU189" s="451">
        <v>0</v>
      </c>
      <c r="AV189" s="455"/>
      <c r="AW189" s="451"/>
      <c r="AX189" s="452"/>
      <c r="AY189" s="198"/>
      <c r="AZ189" s="451">
        <v>0</v>
      </c>
      <c r="BA189" s="455"/>
      <c r="BB189" s="451"/>
      <c r="BC189" s="452"/>
      <c r="BD189" s="198"/>
      <c r="BE189" s="451">
        <v>0</v>
      </c>
      <c r="BF189" s="455"/>
      <c r="BG189" s="451"/>
      <c r="BH189" s="452"/>
      <c r="BI189" s="198"/>
      <c r="BJ189" s="451">
        <v>0</v>
      </c>
      <c r="BK189" s="455"/>
      <c r="BL189" s="451"/>
      <c r="BM189" s="452"/>
      <c r="BN189" s="198"/>
      <c r="BO189" s="451">
        <v>0</v>
      </c>
      <c r="BP189" s="455"/>
      <c r="BQ189" s="451"/>
      <c r="BR189" s="452"/>
      <c r="BS189" s="198"/>
      <c r="BT189" s="451">
        <f t="shared" si="0"/>
        <v>0</v>
      </c>
      <c r="BU189" s="455"/>
      <c r="BV189" s="451"/>
      <c r="BW189" s="452"/>
      <c r="BX189" s="452"/>
      <c r="BY189" s="451">
        <v>0</v>
      </c>
      <c r="BZ189" s="455"/>
      <c r="CA189" s="451"/>
      <c r="CB189" s="452"/>
      <c r="CC189" s="198"/>
      <c r="CD189" s="451">
        <v>0</v>
      </c>
      <c r="CE189" s="455"/>
      <c r="CF189" s="451"/>
      <c r="CG189" s="452"/>
      <c r="CH189" s="198"/>
      <c r="CI189" s="451">
        <v>0</v>
      </c>
      <c r="CJ189" s="455"/>
      <c r="CK189" s="451"/>
      <c r="CL189" s="452"/>
      <c r="CM189" s="198"/>
      <c r="CN189" s="451">
        <v>0</v>
      </c>
      <c r="CO189" s="455"/>
      <c r="CP189" s="451"/>
      <c r="CQ189" s="452"/>
      <c r="CR189" s="198"/>
      <c r="CS189" s="451">
        <v>0</v>
      </c>
      <c r="CT189" s="455"/>
      <c r="CU189" s="451"/>
      <c r="CV189" s="452"/>
      <c r="CW189" s="198"/>
      <c r="CX189" s="451">
        <v>0</v>
      </c>
      <c r="CY189" s="455"/>
      <c r="CZ189" s="451"/>
      <c r="DA189" s="452"/>
      <c r="DB189" s="198"/>
      <c r="DC189" s="451">
        <v>0</v>
      </c>
      <c r="DD189" s="455"/>
      <c r="DE189" s="451"/>
      <c r="DF189" s="452"/>
      <c r="DG189" s="198"/>
      <c r="DH189" s="451">
        <v>0</v>
      </c>
      <c r="DI189" s="455"/>
      <c r="DJ189" s="451"/>
      <c r="DK189" s="452"/>
      <c r="DL189" s="198"/>
      <c r="DM189" s="451">
        <v>0</v>
      </c>
      <c r="DN189" s="455"/>
      <c r="DO189" s="451"/>
      <c r="DP189" s="452"/>
      <c r="DQ189" s="198"/>
      <c r="DR189" s="451">
        <v>0</v>
      </c>
      <c r="DS189" s="455"/>
      <c r="DT189" s="451"/>
      <c r="DU189" s="452"/>
      <c r="DV189" s="198"/>
      <c r="DW189" s="451">
        <v>0</v>
      </c>
      <c r="DX189" s="455"/>
      <c r="DY189" s="451"/>
      <c r="DZ189" s="452"/>
      <c r="EA189" s="198"/>
      <c r="EB189" s="451">
        <v>0</v>
      </c>
      <c r="EC189" s="455"/>
      <c r="ED189" s="451"/>
      <c r="EE189" s="452"/>
      <c r="EF189" s="198"/>
      <c r="EG189" s="451">
        <v>0</v>
      </c>
      <c r="EH189" s="455"/>
      <c r="EI189" s="451"/>
      <c r="EJ189" s="452"/>
      <c r="EK189" s="198"/>
      <c r="EL189" s="451">
        <f t="shared" si="1"/>
        <v>0</v>
      </c>
      <c r="EM189" s="455"/>
      <c r="EN189" s="451"/>
      <c r="EO189" s="13"/>
      <c r="ER189" s="14"/>
      <c r="ES189" s="14"/>
    </row>
    <row r="190" spans="3:149" ht="12.75" hidden="1" customHeight="1" x14ac:dyDescent="0.2">
      <c r="D190" s="13" t="s">
        <v>388</v>
      </c>
      <c r="F190" s="198"/>
      <c r="G190" s="451">
        <v>0</v>
      </c>
      <c r="H190" s="455"/>
      <c r="I190" s="451"/>
      <c r="J190" s="452"/>
      <c r="K190" s="198"/>
      <c r="L190" s="451">
        <v>0</v>
      </c>
      <c r="M190" s="455"/>
      <c r="N190" s="451"/>
      <c r="O190" s="452"/>
      <c r="P190" s="198"/>
      <c r="Q190" s="451">
        <v>0</v>
      </c>
      <c r="R190" s="455"/>
      <c r="S190" s="451"/>
      <c r="T190" s="452"/>
      <c r="U190" s="198"/>
      <c r="V190" s="451">
        <v>0</v>
      </c>
      <c r="W190" s="455"/>
      <c r="X190" s="451"/>
      <c r="Y190" s="452"/>
      <c r="Z190" s="198"/>
      <c r="AA190" s="451">
        <v>0</v>
      </c>
      <c r="AB190" s="455"/>
      <c r="AC190" s="451"/>
      <c r="AD190" s="452"/>
      <c r="AE190" s="198"/>
      <c r="AF190" s="451">
        <v>0</v>
      </c>
      <c r="AG190" s="455"/>
      <c r="AH190" s="451"/>
      <c r="AI190" s="452"/>
      <c r="AJ190" s="198"/>
      <c r="AK190" s="451">
        <v>0</v>
      </c>
      <c r="AL190" s="455"/>
      <c r="AM190" s="451"/>
      <c r="AN190" s="452"/>
      <c r="AO190" s="198"/>
      <c r="AP190" s="451">
        <v>0</v>
      </c>
      <c r="AQ190" s="455"/>
      <c r="AR190" s="451"/>
      <c r="AS190" s="452"/>
      <c r="AT190" s="198"/>
      <c r="AU190" s="451">
        <v>0</v>
      </c>
      <c r="AV190" s="455"/>
      <c r="AW190" s="451"/>
      <c r="AX190" s="452"/>
      <c r="AY190" s="198"/>
      <c r="AZ190" s="451">
        <v>0</v>
      </c>
      <c r="BA190" s="455"/>
      <c r="BB190" s="451"/>
      <c r="BC190" s="452"/>
      <c r="BD190" s="198"/>
      <c r="BE190" s="451">
        <v>0</v>
      </c>
      <c r="BF190" s="455"/>
      <c r="BG190" s="451"/>
      <c r="BH190" s="452"/>
      <c r="BI190" s="198"/>
      <c r="BJ190" s="451">
        <v>0</v>
      </c>
      <c r="BK190" s="455"/>
      <c r="BL190" s="451"/>
      <c r="BM190" s="452"/>
      <c r="BN190" s="198"/>
      <c r="BO190" s="451">
        <v>0</v>
      </c>
      <c r="BP190" s="455"/>
      <c r="BQ190" s="451"/>
      <c r="BR190" s="452"/>
      <c r="BS190" s="198"/>
      <c r="BT190" s="451">
        <f t="shared" si="0"/>
        <v>0</v>
      </c>
      <c r="BU190" s="455"/>
      <c r="BV190" s="451"/>
      <c r="BW190" s="452"/>
      <c r="BX190" s="452"/>
      <c r="BY190" s="451">
        <v>0</v>
      </c>
      <c r="BZ190" s="455"/>
      <c r="CA190" s="451"/>
      <c r="CB190" s="452"/>
      <c r="CC190" s="198"/>
      <c r="CD190" s="451">
        <v>0</v>
      </c>
      <c r="CE190" s="455"/>
      <c r="CF190" s="451"/>
      <c r="CG190" s="452"/>
      <c r="CH190" s="198"/>
      <c r="CI190" s="451">
        <v>0</v>
      </c>
      <c r="CJ190" s="455"/>
      <c r="CK190" s="451"/>
      <c r="CL190" s="452"/>
      <c r="CM190" s="198"/>
      <c r="CN190" s="451">
        <v>0</v>
      </c>
      <c r="CO190" s="455"/>
      <c r="CP190" s="451"/>
      <c r="CQ190" s="452"/>
      <c r="CR190" s="198"/>
      <c r="CS190" s="451">
        <v>0</v>
      </c>
      <c r="CT190" s="455"/>
      <c r="CU190" s="451"/>
      <c r="CV190" s="452"/>
      <c r="CW190" s="198"/>
      <c r="CX190" s="451">
        <v>0</v>
      </c>
      <c r="CY190" s="455"/>
      <c r="CZ190" s="451"/>
      <c r="DA190" s="452"/>
      <c r="DB190" s="198"/>
      <c r="DC190" s="451">
        <v>0</v>
      </c>
      <c r="DD190" s="455"/>
      <c r="DE190" s="451"/>
      <c r="DF190" s="452"/>
      <c r="DG190" s="198"/>
      <c r="DH190" s="451">
        <v>0</v>
      </c>
      <c r="DI190" s="455"/>
      <c r="DJ190" s="451"/>
      <c r="DK190" s="452"/>
      <c r="DL190" s="198"/>
      <c r="DM190" s="451">
        <v>0</v>
      </c>
      <c r="DN190" s="455"/>
      <c r="DO190" s="451"/>
      <c r="DP190" s="452"/>
      <c r="DQ190" s="198"/>
      <c r="DR190" s="451">
        <v>0</v>
      </c>
      <c r="DS190" s="455"/>
      <c r="DT190" s="451"/>
      <c r="DU190" s="452"/>
      <c r="DV190" s="198"/>
      <c r="DW190" s="451">
        <v>0</v>
      </c>
      <c r="DX190" s="455"/>
      <c r="DY190" s="451"/>
      <c r="DZ190" s="452"/>
      <c r="EA190" s="198"/>
      <c r="EB190" s="451">
        <v>0</v>
      </c>
      <c r="EC190" s="455"/>
      <c r="ED190" s="451"/>
      <c r="EE190" s="452"/>
      <c r="EF190" s="198"/>
      <c r="EG190" s="451">
        <v>0</v>
      </c>
      <c r="EH190" s="455"/>
      <c r="EI190" s="451"/>
      <c r="EJ190" s="452"/>
      <c r="EK190" s="198"/>
      <c r="EL190" s="451">
        <f t="shared" si="1"/>
        <v>0</v>
      </c>
      <c r="EM190" s="455"/>
      <c r="EN190" s="451"/>
      <c r="EO190" s="13"/>
      <c r="ER190" s="14"/>
      <c r="ES190" s="14"/>
    </row>
    <row r="191" spans="3:149" ht="12.75" hidden="1" customHeight="1" x14ac:dyDescent="0.2">
      <c r="D191" s="13" t="s">
        <v>389</v>
      </c>
      <c r="F191" s="198"/>
      <c r="G191" s="451">
        <v>0</v>
      </c>
      <c r="H191" s="455"/>
      <c r="I191" s="451"/>
      <c r="J191" s="452"/>
      <c r="K191" s="198"/>
      <c r="L191" s="451">
        <v>0</v>
      </c>
      <c r="M191" s="455"/>
      <c r="N191" s="451"/>
      <c r="O191" s="452"/>
      <c r="P191" s="198"/>
      <c r="Q191" s="451">
        <v>0</v>
      </c>
      <c r="R191" s="455"/>
      <c r="S191" s="451"/>
      <c r="T191" s="452"/>
      <c r="U191" s="198"/>
      <c r="V191" s="451">
        <v>0</v>
      </c>
      <c r="W191" s="455"/>
      <c r="X191" s="451"/>
      <c r="Y191" s="452"/>
      <c r="Z191" s="198"/>
      <c r="AA191" s="451">
        <v>0</v>
      </c>
      <c r="AB191" s="455"/>
      <c r="AC191" s="451"/>
      <c r="AD191" s="452"/>
      <c r="AE191" s="198"/>
      <c r="AF191" s="451">
        <v>0</v>
      </c>
      <c r="AG191" s="455"/>
      <c r="AH191" s="451"/>
      <c r="AI191" s="452"/>
      <c r="AJ191" s="198"/>
      <c r="AK191" s="451">
        <v>0</v>
      </c>
      <c r="AL191" s="455"/>
      <c r="AM191" s="451"/>
      <c r="AN191" s="452"/>
      <c r="AO191" s="198"/>
      <c r="AP191" s="451">
        <v>0</v>
      </c>
      <c r="AQ191" s="455"/>
      <c r="AR191" s="451"/>
      <c r="AS191" s="452"/>
      <c r="AT191" s="198"/>
      <c r="AU191" s="451">
        <v>0</v>
      </c>
      <c r="AV191" s="455"/>
      <c r="AW191" s="451"/>
      <c r="AX191" s="452"/>
      <c r="AY191" s="198"/>
      <c r="AZ191" s="451">
        <v>0</v>
      </c>
      <c r="BA191" s="455"/>
      <c r="BB191" s="451"/>
      <c r="BC191" s="452"/>
      <c r="BD191" s="198"/>
      <c r="BE191" s="451">
        <v>0</v>
      </c>
      <c r="BF191" s="455"/>
      <c r="BG191" s="451"/>
      <c r="BH191" s="452"/>
      <c r="BI191" s="198"/>
      <c r="BJ191" s="451">
        <v>0</v>
      </c>
      <c r="BK191" s="455"/>
      <c r="BL191" s="451"/>
      <c r="BM191" s="452"/>
      <c r="BN191" s="198"/>
      <c r="BO191" s="451">
        <v>0</v>
      </c>
      <c r="BP191" s="455"/>
      <c r="BQ191" s="451"/>
      <c r="BR191" s="452"/>
      <c r="BS191" s="198"/>
      <c r="BT191" s="451">
        <f t="shared" si="0"/>
        <v>0</v>
      </c>
      <c r="BU191" s="455"/>
      <c r="BV191" s="451"/>
      <c r="BW191" s="452"/>
      <c r="BX191" s="452"/>
      <c r="BY191" s="451">
        <v>0</v>
      </c>
      <c r="BZ191" s="455"/>
      <c r="CA191" s="451"/>
      <c r="CB191" s="452"/>
      <c r="CC191" s="198"/>
      <c r="CD191" s="451">
        <v>0</v>
      </c>
      <c r="CE191" s="455"/>
      <c r="CF191" s="451"/>
      <c r="CG191" s="452"/>
      <c r="CH191" s="198"/>
      <c r="CI191" s="451">
        <v>0</v>
      </c>
      <c r="CJ191" s="455"/>
      <c r="CK191" s="451"/>
      <c r="CL191" s="452"/>
      <c r="CM191" s="198"/>
      <c r="CN191" s="451">
        <v>0</v>
      </c>
      <c r="CO191" s="455"/>
      <c r="CP191" s="451"/>
      <c r="CQ191" s="452"/>
      <c r="CR191" s="198"/>
      <c r="CS191" s="451">
        <v>0</v>
      </c>
      <c r="CT191" s="455"/>
      <c r="CU191" s="451"/>
      <c r="CV191" s="452"/>
      <c r="CW191" s="198"/>
      <c r="CX191" s="451">
        <v>0</v>
      </c>
      <c r="CY191" s="455"/>
      <c r="CZ191" s="451"/>
      <c r="DA191" s="452"/>
      <c r="DB191" s="198"/>
      <c r="DC191" s="451">
        <v>0</v>
      </c>
      <c r="DD191" s="455"/>
      <c r="DE191" s="451"/>
      <c r="DF191" s="452"/>
      <c r="DG191" s="198"/>
      <c r="DH191" s="451">
        <v>0</v>
      </c>
      <c r="DI191" s="455"/>
      <c r="DJ191" s="451"/>
      <c r="DK191" s="452"/>
      <c r="DL191" s="198"/>
      <c r="DM191" s="451">
        <v>0</v>
      </c>
      <c r="DN191" s="455"/>
      <c r="DO191" s="451"/>
      <c r="DP191" s="452"/>
      <c r="DQ191" s="198"/>
      <c r="DR191" s="451">
        <v>0</v>
      </c>
      <c r="DS191" s="455"/>
      <c r="DT191" s="451"/>
      <c r="DU191" s="452"/>
      <c r="DV191" s="198"/>
      <c r="DW191" s="451">
        <v>0</v>
      </c>
      <c r="DX191" s="455"/>
      <c r="DY191" s="451"/>
      <c r="DZ191" s="452"/>
      <c r="EA191" s="198"/>
      <c r="EB191" s="451">
        <v>0</v>
      </c>
      <c r="EC191" s="455"/>
      <c r="ED191" s="451"/>
      <c r="EE191" s="452"/>
      <c r="EF191" s="198"/>
      <c r="EG191" s="451">
        <v>0</v>
      </c>
      <c r="EH191" s="455"/>
      <c r="EI191" s="451"/>
      <c r="EJ191" s="452"/>
      <c r="EK191" s="198"/>
      <c r="EL191" s="451">
        <f t="shared" si="1"/>
        <v>0</v>
      </c>
      <c r="EM191" s="455"/>
      <c r="EN191" s="451"/>
      <c r="EO191" s="13"/>
      <c r="ER191" s="14"/>
      <c r="ES191" s="14"/>
    </row>
    <row r="192" spans="3:149" ht="12.75" hidden="1" customHeight="1" x14ac:dyDescent="0.2">
      <c r="D192" s="13" t="s">
        <v>390</v>
      </c>
      <c r="F192" s="198"/>
      <c r="G192" s="451">
        <v>0</v>
      </c>
      <c r="H192" s="455"/>
      <c r="I192" s="451"/>
      <c r="J192" s="452"/>
      <c r="K192" s="198"/>
      <c r="L192" s="451">
        <v>0</v>
      </c>
      <c r="M192" s="455"/>
      <c r="N192" s="451"/>
      <c r="O192" s="452"/>
      <c r="P192" s="198"/>
      <c r="Q192" s="451">
        <v>0</v>
      </c>
      <c r="R192" s="455"/>
      <c r="S192" s="451"/>
      <c r="T192" s="452"/>
      <c r="U192" s="198"/>
      <c r="V192" s="451">
        <v>0</v>
      </c>
      <c r="W192" s="455"/>
      <c r="X192" s="451"/>
      <c r="Y192" s="452"/>
      <c r="Z192" s="198"/>
      <c r="AA192" s="451">
        <v>0</v>
      </c>
      <c r="AB192" s="455"/>
      <c r="AC192" s="451"/>
      <c r="AD192" s="452"/>
      <c r="AE192" s="198"/>
      <c r="AF192" s="451">
        <v>0</v>
      </c>
      <c r="AG192" s="455"/>
      <c r="AH192" s="451"/>
      <c r="AI192" s="452"/>
      <c r="AJ192" s="198"/>
      <c r="AK192" s="451">
        <v>0</v>
      </c>
      <c r="AL192" s="455"/>
      <c r="AM192" s="451"/>
      <c r="AN192" s="452"/>
      <c r="AO192" s="198"/>
      <c r="AP192" s="451">
        <v>0</v>
      </c>
      <c r="AQ192" s="455"/>
      <c r="AR192" s="451"/>
      <c r="AS192" s="452"/>
      <c r="AT192" s="198"/>
      <c r="AU192" s="451">
        <v>0</v>
      </c>
      <c r="AV192" s="455"/>
      <c r="AW192" s="451"/>
      <c r="AX192" s="452"/>
      <c r="AY192" s="198"/>
      <c r="AZ192" s="451">
        <v>0</v>
      </c>
      <c r="BA192" s="455"/>
      <c r="BB192" s="451"/>
      <c r="BC192" s="452"/>
      <c r="BD192" s="198"/>
      <c r="BE192" s="451">
        <v>0</v>
      </c>
      <c r="BF192" s="455"/>
      <c r="BG192" s="451"/>
      <c r="BH192" s="452"/>
      <c r="BI192" s="198"/>
      <c r="BJ192" s="451">
        <v>0</v>
      </c>
      <c r="BK192" s="455"/>
      <c r="BL192" s="451"/>
      <c r="BM192" s="452"/>
      <c r="BN192" s="198"/>
      <c r="BO192" s="451">
        <v>0</v>
      </c>
      <c r="BP192" s="455"/>
      <c r="BQ192" s="451"/>
      <c r="BR192" s="452"/>
      <c r="BS192" s="198"/>
      <c r="BT192" s="451">
        <f t="shared" si="0"/>
        <v>0</v>
      </c>
      <c r="BU192" s="455"/>
      <c r="BV192" s="451"/>
      <c r="BW192" s="452"/>
      <c r="BX192" s="452"/>
      <c r="BY192" s="451">
        <v>0</v>
      </c>
      <c r="BZ192" s="455"/>
      <c r="CA192" s="451"/>
      <c r="CB192" s="452"/>
      <c r="CC192" s="198"/>
      <c r="CD192" s="451">
        <v>0</v>
      </c>
      <c r="CE192" s="455"/>
      <c r="CF192" s="451"/>
      <c r="CG192" s="452"/>
      <c r="CH192" s="198"/>
      <c r="CI192" s="451">
        <v>0</v>
      </c>
      <c r="CJ192" s="455"/>
      <c r="CK192" s="451"/>
      <c r="CL192" s="452"/>
      <c r="CM192" s="198"/>
      <c r="CN192" s="451">
        <v>0</v>
      </c>
      <c r="CO192" s="455"/>
      <c r="CP192" s="451"/>
      <c r="CQ192" s="452"/>
      <c r="CR192" s="198"/>
      <c r="CS192" s="451">
        <v>0</v>
      </c>
      <c r="CT192" s="455"/>
      <c r="CU192" s="451"/>
      <c r="CV192" s="452"/>
      <c r="CW192" s="198"/>
      <c r="CX192" s="451">
        <v>0</v>
      </c>
      <c r="CY192" s="455"/>
      <c r="CZ192" s="451"/>
      <c r="DA192" s="452"/>
      <c r="DB192" s="198"/>
      <c r="DC192" s="451">
        <v>0</v>
      </c>
      <c r="DD192" s="455"/>
      <c r="DE192" s="451"/>
      <c r="DF192" s="452"/>
      <c r="DG192" s="198"/>
      <c r="DH192" s="451">
        <v>0</v>
      </c>
      <c r="DI192" s="455"/>
      <c r="DJ192" s="451"/>
      <c r="DK192" s="452"/>
      <c r="DL192" s="198"/>
      <c r="DM192" s="451">
        <v>0</v>
      </c>
      <c r="DN192" s="455"/>
      <c r="DO192" s="451"/>
      <c r="DP192" s="452"/>
      <c r="DQ192" s="198"/>
      <c r="DR192" s="451">
        <v>0</v>
      </c>
      <c r="DS192" s="455"/>
      <c r="DT192" s="451"/>
      <c r="DU192" s="452"/>
      <c r="DV192" s="198"/>
      <c r="DW192" s="451">
        <v>0</v>
      </c>
      <c r="DX192" s="455"/>
      <c r="DY192" s="451"/>
      <c r="DZ192" s="452"/>
      <c r="EA192" s="198"/>
      <c r="EB192" s="451">
        <v>0</v>
      </c>
      <c r="EC192" s="455"/>
      <c r="ED192" s="451"/>
      <c r="EE192" s="452"/>
      <c r="EF192" s="198"/>
      <c r="EG192" s="451">
        <v>0</v>
      </c>
      <c r="EH192" s="455"/>
      <c r="EI192" s="451"/>
      <c r="EJ192" s="452"/>
      <c r="EK192" s="198"/>
      <c r="EL192" s="451">
        <f t="shared" si="1"/>
        <v>0</v>
      </c>
      <c r="EM192" s="455"/>
      <c r="EN192" s="451"/>
      <c r="EO192" s="13"/>
      <c r="ER192" s="14"/>
      <c r="ES192" s="14"/>
    </row>
    <row r="193" spans="4:149" ht="12.75" hidden="1" customHeight="1" x14ac:dyDescent="0.2">
      <c r="D193" s="13" t="s">
        <v>391</v>
      </c>
      <c r="F193" s="198"/>
      <c r="G193" s="451">
        <v>0</v>
      </c>
      <c r="H193" s="455"/>
      <c r="I193" s="451"/>
      <c r="J193" s="452"/>
      <c r="K193" s="198"/>
      <c r="L193" s="451">
        <v>0</v>
      </c>
      <c r="M193" s="455"/>
      <c r="N193" s="451"/>
      <c r="O193" s="452"/>
      <c r="P193" s="198"/>
      <c r="Q193" s="451">
        <v>0</v>
      </c>
      <c r="R193" s="455"/>
      <c r="S193" s="451"/>
      <c r="T193" s="452"/>
      <c r="U193" s="198"/>
      <c r="V193" s="451">
        <v>0</v>
      </c>
      <c r="W193" s="455"/>
      <c r="X193" s="451"/>
      <c r="Y193" s="452"/>
      <c r="Z193" s="198"/>
      <c r="AA193" s="451">
        <v>0</v>
      </c>
      <c r="AB193" s="455"/>
      <c r="AC193" s="451"/>
      <c r="AD193" s="452"/>
      <c r="AE193" s="198"/>
      <c r="AF193" s="451">
        <v>0</v>
      </c>
      <c r="AG193" s="455"/>
      <c r="AH193" s="451"/>
      <c r="AI193" s="452"/>
      <c r="AJ193" s="198"/>
      <c r="AK193" s="451">
        <v>0</v>
      </c>
      <c r="AL193" s="455"/>
      <c r="AM193" s="451"/>
      <c r="AN193" s="452"/>
      <c r="AO193" s="198"/>
      <c r="AP193" s="451">
        <v>0</v>
      </c>
      <c r="AQ193" s="455"/>
      <c r="AR193" s="451"/>
      <c r="AS193" s="452"/>
      <c r="AT193" s="198"/>
      <c r="AU193" s="451">
        <v>0</v>
      </c>
      <c r="AV193" s="455"/>
      <c r="AW193" s="451"/>
      <c r="AX193" s="452"/>
      <c r="AY193" s="198"/>
      <c r="AZ193" s="451">
        <v>0</v>
      </c>
      <c r="BA193" s="455"/>
      <c r="BB193" s="451"/>
      <c r="BC193" s="452"/>
      <c r="BD193" s="198"/>
      <c r="BE193" s="451">
        <v>0</v>
      </c>
      <c r="BF193" s="455"/>
      <c r="BG193" s="451"/>
      <c r="BH193" s="452"/>
      <c r="BI193" s="198"/>
      <c r="BJ193" s="451">
        <v>0</v>
      </c>
      <c r="BK193" s="455"/>
      <c r="BL193" s="451"/>
      <c r="BM193" s="452"/>
      <c r="BN193" s="198"/>
      <c r="BO193" s="451">
        <v>0</v>
      </c>
      <c r="BP193" s="455"/>
      <c r="BQ193" s="451"/>
      <c r="BR193" s="452"/>
      <c r="BS193" s="198"/>
      <c r="BT193" s="451">
        <f t="shared" si="0"/>
        <v>0</v>
      </c>
      <c r="BU193" s="455"/>
      <c r="BV193" s="451"/>
      <c r="BW193" s="452"/>
      <c r="BX193" s="452"/>
      <c r="BY193" s="451">
        <v>0</v>
      </c>
      <c r="BZ193" s="455"/>
      <c r="CA193" s="451"/>
      <c r="CB193" s="452"/>
      <c r="CC193" s="198"/>
      <c r="CD193" s="451">
        <v>0</v>
      </c>
      <c r="CE193" s="455"/>
      <c r="CF193" s="451"/>
      <c r="CG193" s="452"/>
      <c r="CH193" s="198"/>
      <c r="CI193" s="451">
        <v>0</v>
      </c>
      <c r="CJ193" s="455"/>
      <c r="CK193" s="451"/>
      <c r="CL193" s="452"/>
      <c r="CM193" s="198"/>
      <c r="CN193" s="451">
        <v>0</v>
      </c>
      <c r="CO193" s="455"/>
      <c r="CP193" s="451"/>
      <c r="CQ193" s="452"/>
      <c r="CR193" s="198"/>
      <c r="CS193" s="451">
        <v>0</v>
      </c>
      <c r="CT193" s="455"/>
      <c r="CU193" s="451"/>
      <c r="CV193" s="452"/>
      <c r="CW193" s="198"/>
      <c r="CX193" s="451">
        <v>0</v>
      </c>
      <c r="CY193" s="455"/>
      <c r="CZ193" s="451"/>
      <c r="DA193" s="452"/>
      <c r="DB193" s="198"/>
      <c r="DC193" s="451">
        <v>0</v>
      </c>
      <c r="DD193" s="455"/>
      <c r="DE193" s="451"/>
      <c r="DF193" s="452"/>
      <c r="DG193" s="198"/>
      <c r="DH193" s="451">
        <v>0</v>
      </c>
      <c r="DI193" s="455"/>
      <c r="DJ193" s="451"/>
      <c r="DK193" s="452"/>
      <c r="DL193" s="198"/>
      <c r="DM193" s="451">
        <v>0</v>
      </c>
      <c r="DN193" s="455"/>
      <c r="DO193" s="451"/>
      <c r="DP193" s="452"/>
      <c r="DQ193" s="198"/>
      <c r="DR193" s="451">
        <v>0</v>
      </c>
      <c r="DS193" s="455"/>
      <c r="DT193" s="451"/>
      <c r="DU193" s="452"/>
      <c r="DV193" s="198"/>
      <c r="DW193" s="451">
        <v>0</v>
      </c>
      <c r="DX193" s="455"/>
      <c r="DY193" s="451"/>
      <c r="DZ193" s="452"/>
      <c r="EA193" s="198"/>
      <c r="EB193" s="451">
        <v>0</v>
      </c>
      <c r="EC193" s="455"/>
      <c r="ED193" s="451"/>
      <c r="EE193" s="452"/>
      <c r="EF193" s="198"/>
      <c r="EG193" s="451">
        <v>0</v>
      </c>
      <c r="EH193" s="455"/>
      <c r="EI193" s="451"/>
      <c r="EJ193" s="452"/>
      <c r="EK193" s="198"/>
      <c r="EL193" s="451">
        <f t="shared" si="1"/>
        <v>0</v>
      </c>
      <c r="EM193" s="455"/>
      <c r="EN193" s="451"/>
      <c r="EO193" s="13"/>
      <c r="ER193" s="14"/>
      <c r="ES193" s="14"/>
    </row>
    <row r="194" spans="4:149" x14ac:dyDescent="0.2">
      <c r="D194" s="13" t="s">
        <v>392</v>
      </c>
      <c r="F194" s="385"/>
      <c r="G194" s="463">
        <v>0</v>
      </c>
      <c r="H194" s="464"/>
      <c r="I194" s="451"/>
      <c r="J194" s="452"/>
      <c r="K194" s="385"/>
      <c r="L194" s="463">
        <v>0</v>
      </c>
      <c r="M194" s="464"/>
      <c r="N194" s="451"/>
      <c r="O194" s="452"/>
      <c r="P194" s="385"/>
      <c r="Q194" s="463">
        <v>0</v>
      </c>
      <c r="R194" s="464"/>
      <c r="S194" s="451"/>
      <c r="T194" s="452"/>
      <c r="U194" s="385"/>
      <c r="V194" s="463">
        <v>0</v>
      </c>
      <c r="W194" s="464"/>
      <c r="X194" s="451"/>
      <c r="Y194" s="452"/>
      <c r="Z194" s="385"/>
      <c r="AA194" s="463">
        <v>0</v>
      </c>
      <c r="AB194" s="464"/>
      <c r="AC194" s="451"/>
      <c r="AD194" s="452"/>
      <c r="AE194" s="385"/>
      <c r="AF194" s="463">
        <v>0</v>
      </c>
      <c r="AG194" s="464"/>
      <c r="AH194" s="451"/>
      <c r="AI194" s="452"/>
      <c r="AJ194" s="385"/>
      <c r="AK194" s="463">
        <v>0</v>
      </c>
      <c r="AL194" s="464"/>
      <c r="AM194" s="451"/>
      <c r="AN194" s="452"/>
      <c r="AO194" s="385"/>
      <c r="AP194" s="463">
        <v>0</v>
      </c>
      <c r="AQ194" s="464"/>
      <c r="AR194" s="451"/>
      <c r="AS194" s="452"/>
      <c r="AT194" s="465"/>
      <c r="AU194" s="463">
        <v>0</v>
      </c>
      <c r="AV194" s="464"/>
      <c r="AW194" s="451"/>
      <c r="AX194" s="452"/>
      <c r="AY194" s="465"/>
      <c r="AZ194" s="463">
        <v>0</v>
      </c>
      <c r="BA194" s="464"/>
      <c r="BB194" s="451"/>
      <c r="BC194" s="452"/>
      <c r="BD194" s="385"/>
      <c r="BE194" s="463">
        <v>0</v>
      </c>
      <c r="BF194" s="464"/>
      <c r="BG194" s="451"/>
      <c r="BH194" s="452"/>
      <c r="BI194" s="465"/>
      <c r="BJ194" s="463">
        <v>0</v>
      </c>
      <c r="BK194" s="464"/>
      <c r="BL194" s="451"/>
      <c r="BM194" s="452"/>
      <c r="BN194" s="465"/>
      <c r="BO194" s="463">
        <v>0</v>
      </c>
      <c r="BP194" s="464"/>
      <c r="BQ194" s="451"/>
      <c r="BR194" s="452"/>
      <c r="BS194" s="385"/>
      <c r="BT194" s="463">
        <f>SUM(L194:BO194)</f>
        <v>0</v>
      </c>
      <c r="BU194" s="464"/>
      <c r="BV194" s="451"/>
      <c r="BW194" s="452"/>
      <c r="BX194" s="385"/>
      <c r="BY194" s="463">
        <v>10627</v>
      </c>
      <c r="BZ194" s="464"/>
      <c r="CA194" s="451"/>
      <c r="CB194" s="452"/>
      <c r="CC194" s="385"/>
      <c r="CD194" s="463">
        <v>0</v>
      </c>
      <c r="CE194" s="464"/>
      <c r="CF194" s="451"/>
      <c r="CG194" s="452"/>
      <c r="CH194" s="385"/>
      <c r="CI194" s="463">
        <v>0</v>
      </c>
      <c r="CJ194" s="464"/>
      <c r="CK194" s="451"/>
      <c r="CL194" s="452"/>
      <c r="CM194" s="385"/>
      <c r="CN194" s="463">
        <v>0</v>
      </c>
      <c r="CO194" s="464"/>
      <c r="CP194" s="451"/>
      <c r="CQ194" s="452"/>
      <c r="CR194" s="385"/>
      <c r="CS194" s="463">
        <v>0</v>
      </c>
      <c r="CT194" s="464"/>
      <c r="CU194" s="451"/>
      <c r="CV194" s="452"/>
      <c r="CW194" s="385"/>
      <c r="CX194" s="463">
        <v>0</v>
      </c>
      <c r="CY194" s="464"/>
      <c r="CZ194" s="451"/>
      <c r="DA194" s="452"/>
      <c r="DB194" s="385"/>
      <c r="DC194" s="463">
        <v>10627</v>
      </c>
      <c r="DD194" s="464"/>
      <c r="DE194" s="451"/>
      <c r="DF194" s="452"/>
      <c r="DG194" s="385"/>
      <c r="DH194" s="463">
        <v>0</v>
      </c>
      <c r="DI194" s="464"/>
      <c r="DJ194" s="451"/>
      <c r="DK194" s="452"/>
      <c r="DL194" s="465"/>
      <c r="DM194" s="463">
        <v>0</v>
      </c>
      <c r="DN194" s="464"/>
      <c r="DO194" s="451"/>
      <c r="DP194" s="452"/>
      <c r="DQ194" s="465"/>
      <c r="DR194" s="463">
        <v>0</v>
      </c>
      <c r="DS194" s="464"/>
      <c r="DT194" s="451"/>
      <c r="DU194" s="452"/>
      <c r="DV194" s="385"/>
      <c r="DW194" s="463">
        <v>0</v>
      </c>
      <c r="DX194" s="464"/>
      <c r="DY194" s="451"/>
      <c r="DZ194" s="452"/>
      <c r="EA194" s="465"/>
      <c r="EB194" s="463">
        <v>0</v>
      </c>
      <c r="EC194" s="464"/>
      <c r="ED194" s="451"/>
      <c r="EE194" s="452"/>
      <c r="EF194" s="465"/>
      <c r="EG194" s="463">
        <v>0</v>
      </c>
      <c r="EH194" s="464"/>
      <c r="EI194" s="451"/>
      <c r="EJ194" s="452"/>
      <c r="EK194" s="385"/>
      <c r="EL194" s="463">
        <f>SUM(CD194:DW194)</f>
        <v>10627</v>
      </c>
      <c r="EM194" s="464"/>
      <c r="EN194" s="451"/>
      <c r="EO194" s="13"/>
      <c r="ER194" s="14"/>
      <c r="ES194" s="14"/>
    </row>
    <row r="195" spans="4:149" ht="12.75" hidden="1" customHeight="1" x14ac:dyDescent="0.2">
      <c r="D195" s="13" t="s">
        <v>393</v>
      </c>
      <c r="F195" s="198"/>
      <c r="G195" s="451">
        <v>0</v>
      </c>
      <c r="H195" s="455"/>
      <c r="I195" s="451"/>
      <c r="J195" s="452"/>
      <c r="K195" s="198"/>
      <c r="L195" s="451">
        <v>0</v>
      </c>
      <c r="M195" s="455"/>
      <c r="N195" s="451"/>
      <c r="O195" s="452"/>
      <c r="P195" s="198"/>
      <c r="Q195" s="451">
        <v>0</v>
      </c>
      <c r="R195" s="455"/>
      <c r="S195" s="451"/>
      <c r="T195" s="452"/>
      <c r="U195" s="198"/>
      <c r="V195" s="451">
        <v>0</v>
      </c>
      <c r="W195" s="455"/>
      <c r="X195" s="451"/>
      <c r="Y195" s="452"/>
      <c r="Z195" s="198"/>
      <c r="AA195" s="451">
        <v>0</v>
      </c>
      <c r="AB195" s="455"/>
      <c r="AC195" s="451"/>
      <c r="AD195" s="452"/>
      <c r="AE195" s="198"/>
      <c r="AF195" s="451">
        <v>0</v>
      </c>
      <c r="AG195" s="455"/>
      <c r="AH195" s="451"/>
      <c r="AI195" s="452"/>
      <c r="AJ195" s="198"/>
      <c r="AK195" s="451">
        <v>0</v>
      </c>
      <c r="AL195" s="455"/>
      <c r="AM195" s="451"/>
      <c r="AN195" s="452"/>
      <c r="AO195" s="198"/>
      <c r="AP195" s="451">
        <v>0</v>
      </c>
      <c r="AQ195" s="455"/>
      <c r="AR195" s="451"/>
      <c r="AS195" s="452"/>
      <c r="AT195" s="198"/>
      <c r="AU195" s="451">
        <v>0</v>
      </c>
      <c r="AV195" s="455"/>
      <c r="AW195" s="451"/>
      <c r="AX195" s="452"/>
      <c r="AY195" s="198"/>
      <c r="AZ195" s="451">
        <v>0</v>
      </c>
      <c r="BA195" s="455"/>
      <c r="BB195" s="451"/>
      <c r="BC195" s="452"/>
      <c r="BD195" s="198"/>
      <c r="BE195" s="451">
        <v>0</v>
      </c>
      <c r="BF195" s="455"/>
      <c r="BG195" s="451"/>
      <c r="BH195" s="452"/>
      <c r="BI195" s="198"/>
      <c r="BJ195" s="451">
        <v>0</v>
      </c>
      <c r="BK195" s="455"/>
      <c r="BL195" s="451"/>
      <c r="BM195" s="452"/>
      <c r="BN195" s="198"/>
      <c r="BO195" s="451">
        <v>0</v>
      </c>
      <c r="BP195" s="455"/>
      <c r="BQ195" s="451"/>
      <c r="BR195" s="452"/>
      <c r="BS195" s="452"/>
      <c r="BT195" s="451">
        <f t="shared" si="0"/>
        <v>0</v>
      </c>
      <c r="BU195" s="455"/>
      <c r="BV195" s="451"/>
      <c r="BW195" s="452"/>
      <c r="BX195" s="452"/>
      <c r="BY195" s="451">
        <f>SUM(Q195:BT195)</f>
        <v>0</v>
      </c>
      <c r="BZ195" s="455"/>
      <c r="CA195" s="451"/>
      <c r="CB195" s="452"/>
      <c r="CC195" s="198"/>
      <c r="CD195" s="451">
        <v>0</v>
      </c>
      <c r="CE195" s="455"/>
      <c r="CF195" s="451"/>
      <c r="CG195" s="452"/>
      <c r="CH195" s="198"/>
      <c r="CI195" s="451">
        <v>0</v>
      </c>
      <c r="CJ195" s="455"/>
      <c r="CK195" s="451"/>
      <c r="CL195" s="452"/>
      <c r="CM195" s="198"/>
      <c r="CN195" s="451">
        <v>0</v>
      </c>
      <c r="CO195" s="455"/>
      <c r="CP195" s="451"/>
      <c r="CQ195" s="452"/>
      <c r="CR195" s="198"/>
      <c r="CS195" s="451">
        <v>0</v>
      </c>
      <c r="CT195" s="455"/>
      <c r="CU195" s="451"/>
      <c r="CV195" s="452"/>
      <c r="CW195" s="198"/>
      <c r="CX195" s="451">
        <v>0</v>
      </c>
      <c r="CY195" s="455"/>
      <c r="CZ195" s="451"/>
      <c r="DA195" s="452"/>
      <c r="DB195" s="198"/>
      <c r="DC195" s="451">
        <v>0</v>
      </c>
      <c r="DD195" s="455"/>
      <c r="DE195" s="451"/>
      <c r="DF195" s="452"/>
      <c r="DG195" s="198"/>
      <c r="DH195" s="451">
        <v>0</v>
      </c>
      <c r="DI195" s="455"/>
      <c r="DJ195" s="451"/>
      <c r="DK195" s="452"/>
      <c r="DL195" s="198"/>
      <c r="DM195" s="451">
        <v>0</v>
      </c>
      <c r="DN195" s="455"/>
      <c r="DO195" s="451"/>
      <c r="DP195" s="452"/>
      <c r="DQ195" s="198"/>
      <c r="DR195" s="451">
        <v>0</v>
      </c>
      <c r="DS195" s="455"/>
      <c r="DT195" s="451"/>
      <c r="DU195" s="452"/>
      <c r="DV195" s="198"/>
      <c r="DW195" s="451">
        <v>0</v>
      </c>
      <c r="DX195" s="455"/>
      <c r="DY195" s="451"/>
      <c r="DZ195" s="452"/>
      <c r="EA195" s="198"/>
      <c r="EB195" s="451">
        <v>0</v>
      </c>
      <c r="EC195" s="455"/>
      <c r="ED195" s="451"/>
      <c r="EE195" s="452"/>
      <c r="EF195" s="198"/>
      <c r="EG195" s="451">
        <v>0</v>
      </c>
      <c r="EH195" s="455"/>
      <c r="EI195" s="451"/>
      <c r="EJ195" s="452"/>
      <c r="EK195" s="452"/>
      <c r="EL195" s="451">
        <f t="shared" si="1"/>
        <v>0</v>
      </c>
      <c r="EM195" s="455"/>
      <c r="EN195" s="451"/>
      <c r="EO195" s="13"/>
      <c r="ER195" s="14"/>
      <c r="ES195" s="14"/>
    </row>
    <row r="196" spans="4:149" ht="12.75" hidden="1" customHeight="1" x14ac:dyDescent="0.2">
      <c r="D196" s="13" t="s">
        <v>394</v>
      </c>
      <c r="F196" s="385"/>
      <c r="G196" s="463">
        <v>0</v>
      </c>
      <c r="H196" s="464"/>
      <c r="I196" s="451"/>
      <c r="J196" s="452"/>
      <c r="K196" s="385"/>
      <c r="L196" s="463">
        <v>0</v>
      </c>
      <c r="M196" s="464"/>
      <c r="N196" s="451"/>
      <c r="O196" s="452"/>
      <c r="P196" s="385"/>
      <c r="Q196" s="463">
        <v>0</v>
      </c>
      <c r="R196" s="464"/>
      <c r="S196" s="451"/>
      <c r="T196" s="452"/>
      <c r="U196" s="385"/>
      <c r="V196" s="463">
        <v>0</v>
      </c>
      <c r="W196" s="464"/>
      <c r="X196" s="451"/>
      <c r="Y196" s="452"/>
      <c r="Z196" s="385"/>
      <c r="AA196" s="463">
        <v>0</v>
      </c>
      <c r="AB196" s="464"/>
      <c r="AC196" s="451"/>
      <c r="AD196" s="452"/>
      <c r="AE196" s="385"/>
      <c r="AF196" s="463">
        <v>0</v>
      </c>
      <c r="AG196" s="464"/>
      <c r="AH196" s="451"/>
      <c r="AI196" s="452"/>
      <c r="AJ196" s="465"/>
      <c r="AK196" s="463">
        <v>0</v>
      </c>
      <c r="AL196" s="464"/>
      <c r="AM196" s="451"/>
      <c r="AN196" s="452"/>
      <c r="AO196" s="465"/>
      <c r="AP196" s="463">
        <v>0</v>
      </c>
      <c r="AQ196" s="464"/>
      <c r="AR196" s="451"/>
      <c r="AS196" s="452"/>
      <c r="AT196" s="465"/>
      <c r="AU196" s="463">
        <v>0</v>
      </c>
      <c r="AV196" s="464"/>
      <c r="AW196" s="451"/>
      <c r="AX196" s="452"/>
      <c r="AY196" s="465"/>
      <c r="AZ196" s="463">
        <v>0</v>
      </c>
      <c r="BA196" s="464"/>
      <c r="BB196" s="451"/>
      <c r="BC196" s="452"/>
      <c r="BD196" s="465"/>
      <c r="BE196" s="463">
        <v>0</v>
      </c>
      <c r="BF196" s="464"/>
      <c r="BG196" s="451"/>
      <c r="BH196" s="452"/>
      <c r="BI196" s="465"/>
      <c r="BJ196" s="463">
        <v>0</v>
      </c>
      <c r="BK196" s="464"/>
      <c r="BL196" s="451"/>
      <c r="BM196" s="452"/>
      <c r="BN196" s="465"/>
      <c r="BO196" s="463">
        <v>0</v>
      </c>
      <c r="BP196" s="464"/>
      <c r="BQ196" s="451"/>
      <c r="BR196" s="452"/>
      <c r="BS196" s="465"/>
      <c r="BT196" s="463">
        <f t="shared" si="0"/>
        <v>0</v>
      </c>
      <c r="BU196" s="464"/>
      <c r="BV196" s="451"/>
      <c r="BW196" s="452"/>
      <c r="BX196" s="465"/>
      <c r="BY196" s="463">
        <f>SUM(Q196:BT196)</f>
        <v>0</v>
      </c>
      <c r="BZ196" s="464"/>
      <c r="CA196" s="451"/>
      <c r="CB196" s="452"/>
      <c r="CC196" s="385"/>
      <c r="CD196" s="463">
        <v>0</v>
      </c>
      <c r="CE196" s="464"/>
      <c r="CF196" s="451"/>
      <c r="CG196" s="452"/>
      <c r="CH196" s="385"/>
      <c r="CI196" s="463">
        <v>0</v>
      </c>
      <c r="CJ196" s="464"/>
      <c r="CK196" s="451"/>
      <c r="CL196" s="452"/>
      <c r="CM196" s="385"/>
      <c r="CN196" s="463">
        <v>0</v>
      </c>
      <c r="CO196" s="464"/>
      <c r="CP196" s="451"/>
      <c r="CQ196" s="452"/>
      <c r="CR196" s="385"/>
      <c r="CS196" s="463">
        <v>0</v>
      </c>
      <c r="CT196" s="464"/>
      <c r="CU196" s="451"/>
      <c r="CV196" s="452"/>
      <c r="CW196" s="385"/>
      <c r="CX196" s="463">
        <v>0</v>
      </c>
      <c r="CY196" s="464"/>
      <c r="CZ196" s="451"/>
      <c r="DA196" s="452"/>
      <c r="DB196" s="465"/>
      <c r="DC196" s="463">
        <v>0</v>
      </c>
      <c r="DD196" s="464"/>
      <c r="DE196" s="451"/>
      <c r="DF196" s="452"/>
      <c r="DG196" s="465"/>
      <c r="DH196" s="463">
        <v>0</v>
      </c>
      <c r="DI196" s="464"/>
      <c r="DJ196" s="451"/>
      <c r="DK196" s="452"/>
      <c r="DL196" s="465"/>
      <c r="DM196" s="463">
        <v>0</v>
      </c>
      <c r="DN196" s="464"/>
      <c r="DO196" s="451"/>
      <c r="DP196" s="452"/>
      <c r="DQ196" s="465"/>
      <c r="DR196" s="463">
        <v>0</v>
      </c>
      <c r="DS196" s="464"/>
      <c r="DT196" s="451"/>
      <c r="DU196" s="452"/>
      <c r="DV196" s="465"/>
      <c r="DW196" s="463">
        <v>0</v>
      </c>
      <c r="DX196" s="464"/>
      <c r="DY196" s="451"/>
      <c r="DZ196" s="452"/>
      <c r="EA196" s="465"/>
      <c r="EB196" s="463">
        <v>0</v>
      </c>
      <c r="EC196" s="464"/>
      <c r="ED196" s="451"/>
      <c r="EE196" s="452"/>
      <c r="EF196" s="465"/>
      <c r="EG196" s="463">
        <v>0</v>
      </c>
      <c r="EH196" s="464"/>
      <c r="EI196" s="451"/>
      <c r="EJ196" s="452"/>
      <c r="EK196" s="465"/>
      <c r="EL196" s="463">
        <f t="shared" si="1"/>
        <v>0</v>
      </c>
      <c r="EM196" s="464"/>
      <c r="EN196" s="451"/>
      <c r="EO196" s="13"/>
      <c r="ER196" s="14"/>
      <c r="ES196" s="14"/>
    </row>
    <row r="197" spans="4:149" hidden="1" x14ac:dyDescent="0.2">
      <c r="D197" s="13"/>
      <c r="G197" s="451"/>
      <c r="H197" s="451"/>
      <c r="I197" s="451"/>
      <c r="J197" s="452"/>
      <c r="K197" s="451"/>
      <c r="L197" s="451"/>
      <c r="M197" s="451"/>
      <c r="N197" s="451"/>
      <c r="O197" s="452"/>
      <c r="P197" s="451"/>
      <c r="Q197" s="451"/>
      <c r="R197" s="451"/>
      <c r="S197" s="451"/>
      <c r="T197" s="452"/>
      <c r="U197" s="451"/>
      <c r="V197" s="451"/>
      <c r="W197" s="451"/>
      <c r="X197" s="451"/>
      <c r="Y197" s="452"/>
      <c r="Z197" s="451"/>
      <c r="AA197" s="451"/>
      <c r="AB197" s="451"/>
      <c r="AC197" s="451"/>
      <c r="AD197" s="452"/>
      <c r="AE197" s="451"/>
      <c r="AF197" s="451"/>
      <c r="AG197" s="451"/>
      <c r="AH197" s="451"/>
      <c r="AI197" s="452"/>
      <c r="AJ197" s="451"/>
      <c r="AK197" s="451"/>
      <c r="AL197" s="451"/>
      <c r="AM197" s="451"/>
      <c r="AN197" s="452"/>
      <c r="AO197" s="451"/>
      <c r="AP197" s="451"/>
      <c r="AQ197" s="451"/>
      <c r="AR197" s="451"/>
      <c r="AS197" s="452"/>
      <c r="AT197" s="451"/>
      <c r="AU197" s="451"/>
      <c r="AV197" s="451"/>
      <c r="AW197" s="451"/>
      <c r="AX197" s="452"/>
      <c r="AY197" s="451"/>
      <c r="AZ197" s="451"/>
      <c r="BA197" s="451"/>
      <c r="BB197" s="451"/>
      <c r="BC197" s="452"/>
      <c r="BD197" s="451"/>
      <c r="BE197" s="451"/>
      <c r="BF197" s="451"/>
      <c r="BG197" s="451"/>
      <c r="BH197" s="452"/>
      <c r="BI197" s="451"/>
      <c r="BJ197" s="451"/>
      <c r="BK197" s="451"/>
      <c r="BL197" s="451"/>
      <c r="BM197" s="452"/>
      <c r="BN197" s="451"/>
      <c r="BO197" s="451"/>
      <c r="BP197" s="451"/>
      <c r="BQ197" s="451"/>
      <c r="BR197" s="452"/>
      <c r="BS197" s="451"/>
      <c r="BT197" s="451"/>
      <c r="BU197" s="451"/>
      <c r="BV197" s="451"/>
      <c r="BW197" s="452"/>
      <c r="BX197" s="451"/>
      <c r="BY197" s="451"/>
      <c r="BZ197" s="451"/>
      <c r="CA197" s="451"/>
      <c r="CB197" s="452"/>
      <c r="CC197" s="451"/>
      <c r="CD197" s="451"/>
      <c r="CE197" s="451"/>
      <c r="CF197" s="451"/>
      <c r="CG197" s="452"/>
      <c r="CH197" s="451"/>
      <c r="CI197" s="451"/>
      <c r="CJ197" s="451"/>
      <c r="CK197" s="451"/>
      <c r="CL197" s="452"/>
      <c r="CM197" s="451"/>
      <c r="CN197" s="451"/>
      <c r="CO197" s="451"/>
      <c r="CP197" s="451"/>
      <c r="CQ197" s="452"/>
      <c r="CR197" s="451"/>
      <c r="CS197" s="451"/>
      <c r="CT197" s="451"/>
      <c r="CU197" s="451"/>
      <c r="CV197" s="452"/>
      <c r="CW197" s="451"/>
      <c r="CX197" s="451"/>
      <c r="CY197" s="451"/>
      <c r="CZ197" s="451"/>
      <c r="DA197" s="452"/>
      <c r="DB197" s="451"/>
      <c r="DC197" s="451"/>
      <c r="DD197" s="451"/>
      <c r="DE197" s="451"/>
      <c r="DF197" s="452"/>
      <c r="DG197" s="451"/>
      <c r="DH197" s="451"/>
      <c r="DI197" s="451"/>
      <c r="DJ197" s="451"/>
      <c r="DK197" s="452"/>
      <c r="DL197" s="451"/>
      <c r="DM197" s="451"/>
      <c r="DN197" s="451"/>
      <c r="DO197" s="451"/>
      <c r="DP197" s="452"/>
      <c r="DQ197" s="451"/>
      <c r="DR197" s="451"/>
      <c r="DS197" s="451"/>
      <c r="DT197" s="451"/>
      <c r="DU197" s="452"/>
      <c r="DV197" s="451"/>
      <c r="DW197" s="451"/>
      <c r="DX197" s="451"/>
      <c r="DY197" s="451"/>
      <c r="DZ197" s="452"/>
      <c r="EA197" s="451"/>
      <c r="EB197" s="451"/>
      <c r="EC197" s="451"/>
      <c r="ED197" s="451"/>
      <c r="EE197" s="452"/>
      <c r="EF197" s="451"/>
      <c r="EG197" s="451"/>
      <c r="EH197" s="451"/>
      <c r="EI197" s="451"/>
      <c r="EJ197" s="452"/>
      <c r="EK197" s="451"/>
      <c r="EL197" s="451"/>
      <c r="EM197" s="451"/>
      <c r="EN197" s="451"/>
      <c r="EO197" s="13"/>
      <c r="ER197" s="14"/>
      <c r="ES197" s="14"/>
    </row>
    <row r="198" spans="4:149" hidden="1" x14ac:dyDescent="0.2">
      <c r="D198" s="13" t="s">
        <v>395</v>
      </c>
      <c r="G198" s="451">
        <f>SUM(G199:G205)</f>
        <v>0</v>
      </c>
      <c r="H198" s="451"/>
      <c r="I198" s="451"/>
      <c r="J198" s="452"/>
      <c r="L198" s="451">
        <f>SUM(L199:L205)</f>
        <v>0</v>
      </c>
      <c r="M198" s="451"/>
      <c r="N198" s="451"/>
      <c r="O198" s="452"/>
      <c r="Q198" s="451">
        <f>SUM(Q199:Q205)</f>
        <v>0</v>
      </c>
      <c r="R198" s="451"/>
      <c r="S198" s="451"/>
      <c r="T198" s="452"/>
      <c r="V198" s="451">
        <f>SUM(V199:V205)</f>
        <v>0</v>
      </c>
      <c r="W198" s="451"/>
      <c r="X198" s="451"/>
      <c r="Y198" s="452"/>
      <c r="AA198" s="451">
        <f>SUM(AA199:AA205)</f>
        <v>0</v>
      </c>
      <c r="AB198" s="451"/>
      <c r="AC198" s="451"/>
      <c r="AD198" s="452"/>
      <c r="AF198" s="451">
        <f>SUM(AF199:AF205)</f>
        <v>0</v>
      </c>
      <c r="AG198" s="451"/>
      <c r="AH198" s="451"/>
      <c r="AI198" s="452"/>
      <c r="AK198" s="451">
        <f>SUM(AK199:AK205)</f>
        <v>0</v>
      </c>
      <c r="AL198" s="451"/>
      <c r="AM198" s="451"/>
      <c r="AN198" s="452"/>
      <c r="AP198" s="451">
        <f>SUM(AP199:AP205)</f>
        <v>0</v>
      </c>
      <c r="AQ198" s="451"/>
      <c r="AR198" s="451"/>
      <c r="AS198" s="452"/>
      <c r="AU198" s="451">
        <f>SUM(AU199:AU205)</f>
        <v>0</v>
      </c>
      <c r="AV198" s="451"/>
      <c r="AW198" s="451"/>
      <c r="AX198" s="452"/>
      <c r="AZ198" s="451">
        <f>SUM(AZ199:AZ205)</f>
        <v>0</v>
      </c>
      <c r="BA198" s="451"/>
      <c r="BB198" s="451"/>
      <c r="BC198" s="452"/>
      <c r="BE198" s="451">
        <f>SUM(BE199:BE205)</f>
        <v>0</v>
      </c>
      <c r="BF198" s="451"/>
      <c r="BG198" s="451"/>
      <c r="BH198" s="452"/>
      <c r="BJ198" s="451">
        <f>SUM(BJ199:BJ205)</f>
        <v>0</v>
      </c>
      <c r="BK198" s="451"/>
      <c r="BL198" s="451"/>
      <c r="BM198" s="452"/>
      <c r="BO198" s="451">
        <f>SUM(BO199:BO205)</f>
        <v>0</v>
      </c>
      <c r="BP198" s="451"/>
      <c r="BQ198" s="451"/>
      <c r="BR198" s="452"/>
      <c r="BT198" s="451">
        <f>SUM(BT199:BT205)</f>
        <v>0</v>
      </c>
      <c r="BU198" s="451"/>
      <c r="BV198" s="451"/>
      <c r="BW198" s="452"/>
      <c r="BY198" s="451">
        <f>SUM(BY199:BY205)</f>
        <v>0</v>
      </c>
      <c r="BZ198" s="451"/>
      <c r="CA198" s="451"/>
      <c r="CB198" s="452"/>
      <c r="CD198" s="451">
        <f>SUM(CD199:CD205)</f>
        <v>0</v>
      </c>
      <c r="CE198" s="451"/>
      <c r="CF198" s="451"/>
      <c r="CG198" s="452"/>
      <c r="CI198" s="451">
        <f>SUM(CI199:CI205)</f>
        <v>0</v>
      </c>
      <c r="CJ198" s="451"/>
      <c r="CK198" s="451"/>
      <c r="CL198" s="452"/>
      <c r="CN198" s="451">
        <f>SUM(CN199:CN205)</f>
        <v>0</v>
      </c>
      <c r="CO198" s="451"/>
      <c r="CP198" s="451"/>
      <c r="CQ198" s="452"/>
      <c r="CS198" s="451">
        <f>SUM(CS199:CS205)</f>
        <v>0</v>
      </c>
      <c r="CT198" s="451"/>
      <c r="CU198" s="451"/>
      <c r="CV198" s="452"/>
      <c r="CX198" s="451">
        <f>SUM(CX199:CX205)</f>
        <v>0</v>
      </c>
      <c r="CY198" s="451"/>
      <c r="CZ198" s="451"/>
      <c r="DA198" s="452"/>
      <c r="DC198" s="451">
        <f>SUM(DC199:DC205)</f>
        <v>0</v>
      </c>
      <c r="DD198" s="451"/>
      <c r="DE198" s="451"/>
      <c r="DF198" s="452"/>
      <c r="DH198" s="451">
        <f>SUM(DH199:DH205)</f>
        <v>0</v>
      </c>
      <c r="DI198" s="451"/>
      <c r="DJ198" s="451"/>
      <c r="DK198" s="452"/>
      <c r="DM198" s="451">
        <f>SUM(DM199:DM205)</f>
        <v>0</v>
      </c>
      <c r="DN198" s="451"/>
      <c r="DO198" s="451"/>
      <c r="DP198" s="452"/>
      <c r="DR198" s="451">
        <f>SUM(DR199:DR205)</f>
        <v>0</v>
      </c>
      <c r="DS198" s="451"/>
      <c r="DT198" s="451"/>
      <c r="DU198" s="452"/>
      <c r="DW198" s="451">
        <f>SUM(DW199:DW205)</f>
        <v>0</v>
      </c>
      <c r="DX198" s="451"/>
      <c r="DY198" s="451"/>
      <c r="DZ198" s="452"/>
      <c r="EB198" s="451">
        <f>SUM(EB199:EB205)</f>
        <v>0</v>
      </c>
      <c r="EC198" s="451"/>
      <c r="ED198" s="451"/>
      <c r="EE198" s="452"/>
      <c r="EG198" s="451">
        <f>SUM(EG199:EG205)</f>
        <v>0</v>
      </c>
      <c r="EH198" s="451"/>
      <c r="EI198" s="451"/>
      <c r="EJ198" s="452"/>
      <c r="EL198" s="451">
        <f>SUM(EL199:EL205)</f>
        <v>0</v>
      </c>
      <c r="EM198" s="451"/>
      <c r="EN198" s="451"/>
      <c r="EO198" s="13"/>
      <c r="ER198" s="14"/>
      <c r="ES198" s="14"/>
    </row>
    <row r="199" spans="4:149" hidden="1" x14ac:dyDescent="0.2">
      <c r="D199" s="13" t="s">
        <v>396</v>
      </c>
      <c r="F199" s="480"/>
      <c r="G199" s="449">
        <v>0</v>
      </c>
      <c r="H199" s="450"/>
      <c r="I199" s="451"/>
      <c r="J199" s="452"/>
      <c r="K199" s="480"/>
      <c r="L199" s="449">
        <v>0</v>
      </c>
      <c r="M199" s="450"/>
      <c r="N199" s="451"/>
      <c r="O199" s="452"/>
      <c r="P199" s="480"/>
      <c r="Q199" s="449">
        <v>0</v>
      </c>
      <c r="R199" s="450"/>
      <c r="S199" s="451"/>
      <c r="T199" s="452"/>
      <c r="U199" s="480"/>
      <c r="V199" s="449">
        <v>0</v>
      </c>
      <c r="W199" s="450"/>
      <c r="X199" s="451"/>
      <c r="Y199" s="452"/>
      <c r="Z199" s="480"/>
      <c r="AA199" s="449">
        <v>0</v>
      </c>
      <c r="AB199" s="450"/>
      <c r="AC199" s="451"/>
      <c r="AD199" s="452"/>
      <c r="AE199" s="374"/>
      <c r="AF199" s="481">
        <v>0</v>
      </c>
      <c r="AG199" s="450"/>
      <c r="AH199" s="451"/>
      <c r="AI199" s="452"/>
      <c r="AJ199" s="480"/>
      <c r="AK199" s="449">
        <v>0</v>
      </c>
      <c r="AL199" s="450"/>
      <c r="AM199" s="451"/>
      <c r="AN199" s="452"/>
      <c r="AO199" s="480"/>
      <c r="AP199" s="449">
        <v>0</v>
      </c>
      <c r="AQ199" s="450"/>
      <c r="AR199" s="451"/>
      <c r="AS199" s="452"/>
      <c r="AT199" s="480"/>
      <c r="AU199" s="449">
        <v>0</v>
      </c>
      <c r="AV199" s="450"/>
      <c r="AW199" s="451"/>
      <c r="AX199" s="452"/>
      <c r="AY199" s="480"/>
      <c r="AZ199" s="449">
        <v>0</v>
      </c>
      <c r="BA199" s="450"/>
      <c r="BB199" s="451"/>
      <c r="BC199" s="452"/>
      <c r="BD199" s="480"/>
      <c r="BE199" s="449">
        <v>0</v>
      </c>
      <c r="BF199" s="450"/>
      <c r="BG199" s="451"/>
      <c r="BH199" s="452"/>
      <c r="BI199" s="480"/>
      <c r="BJ199" s="449">
        <v>0</v>
      </c>
      <c r="BK199" s="450"/>
      <c r="BL199" s="451"/>
      <c r="BM199" s="452"/>
      <c r="BN199" s="480"/>
      <c r="BO199" s="449">
        <v>0</v>
      </c>
      <c r="BP199" s="450"/>
      <c r="BQ199" s="451"/>
      <c r="BR199" s="452"/>
      <c r="BS199" s="480"/>
      <c r="BT199" s="449">
        <f>SUM(L199:BO199)</f>
        <v>0</v>
      </c>
      <c r="BU199" s="450"/>
      <c r="BV199" s="451"/>
      <c r="BW199" s="452"/>
      <c r="BX199" s="480"/>
      <c r="BY199" s="449">
        <v>0</v>
      </c>
      <c r="BZ199" s="450"/>
      <c r="CA199" s="451"/>
      <c r="CB199" s="452"/>
      <c r="CC199" s="480"/>
      <c r="CD199" s="449">
        <v>0</v>
      </c>
      <c r="CE199" s="450"/>
      <c r="CF199" s="451"/>
      <c r="CG199" s="452"/>
      <c r="CH199" s="480"/>
      <c r="CI199" s="449">
        <v>0</v>
      </c>
      <c r="CJ199" s="450"/>
      <c r="CK199" s="451"/>
      <c r="CL199" s="452"/>
      <c r="CM199" s="480"/>
      <c r="CN199" s="449">
        <v>0</v>
      </c>
      <c r="CO199" s="450"/>
      <c r="CP199" s="451"/>
      <c r="CQ199" s="452"/>
      <c r="CR199" s="480"/>
      <c r="CS199" s="449">
        <v>0</v>
      </c>
      <c r="CT199" s="450"/>
      <c r="CU199" s="451"/>
      <c r="CV199" s="452"/>
      <c r="CW199" s="374"/>
      <c r="CX199" s="481">
        <v>0</v>
      </c>
      <c r="CY199" s="450"/>
      <c r="CZ199" s="451"/>
      <c r="DA199" s="452"/>
      <c r="DB199" s="480"/>
      <c r="DC199" s="449">
        <v>0</v>
      </c>
      <c r="DD199" s="450"/>
      <c r="DE199" s="451"/>
      <c r="DF199" s="452"/>
      <c r="DG199" s="480"/>
      <c r="DH199" s="449">
        <v>0</v>
      </c>
      <c r="DI199" s="450"/>
      <c r="DJ199" s="451"/>
      <c r="DK199" s="452"/>
      <c r="DL199" s="480"/>
      <c r="DM199" s="449">
        <v>0</v>
      </c>
      <c r="DN199" s="450"/>
      <c r="DO199" s="451"/>
      <c r="DP199" s="452"/>
      <c r="DQ199" s="480"/>
      <c r="DR199" s="449">
        <v>0</v>
      </c>
      <c r="DS199" s="450"/>
      <c r="DT199" s="451"/>
      <c r="DU199" s="452"/>
      <c r="DV199" s="480"/>
      <c r="DW199" s="449">
        <v>0</v>
      </c>
      <c r="DX199" s="450"/>
      <c r="DY199" s="451"/>
      <c r="DZ199" s="452"/>
      <c r="EA199" s="480"/>
      <c r="EB199" s="449">
        <v>0</v>
      </c>
      <c r="EC199" s="450"/>
      <c r="ED199" s="451"/>
      <c r="EE199" s="452"/>
      <c r="EF199" s="480"/>
      <c r="EG199" s="449">
        <v>0</v>
      </c>
      <c r="EH199" s="450"/>
      <c r="EI199" s="451"/>
      <c r="EJ199" s="452"/>
      <c r="EK199" s="480"/>
      <c r="EL199" s="449">
        <f>SUM(CD199:DW199)</f>
        <v>0</v>
      </c>
      <c r="EM199" s="450"/>
      <c r="EN199" s="451"/>
      <c r="EO199" s="13"/>
      <c r="ER199" s="14"/>
      <c r="ES199" s="14"/>
    </row>
    <row r="200" spans="4:149" hidden="1" x14ac:dyDescent="0.2">
      <c r="D200" s="13" t="s">
        <v>397</v>
      </c>
      <c r="F200" s="444"/>
      <c r="G200" s="451">
        <v>0</v>
      </c>
      <c r="H200" s="455"/>
      <c r="I200" s="451"/>
      <c r="J200" s="452"/>
      <c r="K200" s="444"/>
      <c r="L200" s="451">
        <v>0</v>
      </c>
      <c r="M200" s="455"/>
      <c r="N200" s="451"/>
      <c r="O200" s="452"/>
      <c r="P200" s="444"/>
      <c r="Q200" s="451">
        <v>0</v>
      </c>
      <c r="R200" s="455"/>
      <c r="S200" s="451"/>
      <c r="T200" s="452"/>
      <c r="U200" s="444"/>
      <c r="V200" s="451">
        <v>0</v>
      </c>
      <c r="W200" s="455"/>
      <c r="X200" s="451"/>
      <c r="Y200" s="452"/>
      <c r="Z200" s="444"/>
      <c r="AA200" s="451">
        <v>0</v>
      </c>
      <c r="AB200" s="455"/>
      <c r="AC200" s="451"/>
      <c r="AD200" s="452"/>
      <c r="AE200" s="198"/>
      <c r="AF200" s="128">
        <v>0</v>
      </c>
      <c r="AG200" s="455"/>
      <c r="AH200" s="451"/>
      <c r="AI200" s="452"/>
      <c r="AJ200" s="444"/>
      <c r="AK200" s="451">
        <v>0</v>
      </c>
      <c r="AL200" s="455"/>
      <c r="AM200" s="451"/>
      <c r="AN200" s="452"/>
      <c r="AO200" s="444"/>
      <c r="AP200" s="451">
        <v>0</v>
      </c>
      <c r="AQ200" s="455"/>
      <c r="AR200" s="451"/>
      <c r="AS200" s="452"/>
      <c r="AT200" s="444"/>
      <c r="AU200" s="451">
        <v>0</v>
      </c>
      <c r="AV200" s="455"/>
      <c r="AW200" s="451"/>
      <c r="AX200" s="452"/>
      <c r="AY200" s="444"/>
      <c r="AZ200" s="451">
        <v>0</v>
      </c>
      <c r="BA200" s="455"/>
      <c r="BB200" s="451"/>
      <c r="BC200" s="452"/>
      <c r="BD200" s="444"/>
      <c r="BE200" s="451">
        <v>0</v>
      </c>
      <c r="BF200" s="455"/>
      <c r="BG200" s="451"/>
      <c r="BH200" s="452"/>
      <c r="BI200" s="444"/>
      <c r="BJ200" s="451">
        <v>0</v>
      </c>
      <c r="BK200" s="455"/>
      <c r="BL200" s="451"/>
      <c r="BM200" s="452"/>
      <c r="BN200" s="444"/>
      <c r="BO200" s="451">
        <v>0</v>
      </c>
      <c r="BP200" s="455"/>
      <c r="BQ200" s="451"/>
      <c r="BR200" s="452"/>
      <c r="BS200" s="444"/>
      <c r="BT200" s="451">
        <f t="shared" ref="BT200:BT205" si="2">SUM(L200:BO200)</f>
        <v>0</v>
      </c>
      <c r="BU200" s="455"/>
      <c r="BV200" s="451"/>
      <c r="BW200" s="452"/>
      <c r="BX200" s="444"/>
      <c r="BY200" s="451">
        <v>0</v>
      </c>
      <c r="BZ200" s="455"/>
      <c r="CA200" s="451"/>
      <c r="CB200" s="452"/>
      <c r="CC200" s="444"/>
      <c r="CD200" s="451">
        <v>0</v>
      </c>
      <c r="CE200" s="455"/>
      <c r="CF200" s="451"/>
      <c r="CG200" s="452"/>
      <c r="CH200" s="444"/>
      <c r="CI200" s="451">
        <v>0</v>
      </c>
      <c r="CJ200" s="455"/>
      <c r="CK200" s="451"/>
      <c r="CL200" s="452"/>
      <c r="CM200" s="444"/>
      <c r="CN200" s="451">
        <v>0</v>
      </c>
      <c r="CO200" s="455"/>
      <c r="CP200" s="451"/>
      <c r="CQ200" s="452"/>
      <c r="CR200" s="444"/>
      <c r="CS200" s="451">
        <v>0</v>
      </c>
      <c r="CT200" s="455"/>
      <c r="CU200" s="451"/>
      <c r="CV200" s="452"/>
      <c r="CW200" s="198"/>
      <c r="CX200" s="128">
        <v>0</v>
      </c>
      <c r="CY200" s="455"/>
      <c r="CZ200" s="451"/>
      <c r="DA200" s="452"/>
      <c r="DB200" s="444"/>
      <c r="DC200" s="451">
        <v>0</v>
      </c>
      <c r="DD200" s="455"/>
      <c r="DE200" s="451"/>
      <c r="DF200" s="452"/>
      <c r="DG200" s="444"/>
      <c r="DH200" s="451">
        <v>0</v>
      </c>
      <c r="DI200" s="455"/>
      <c r="DJ200" s="451"/>
      <c r="DK200" s="452"/>
      <c r="DL200" s="444"/>
      <c r="DM200" s="451">
        <v>0</v>
      </c>
      <c r="DN200" s="455"/>
      <c r="DO200" s="451"/>
      <c r="DP200" s="452"/>
      <c r="DQ200" s="444"/>
      <c r="DR200" s="451">
        <v>0</v>
      </c>
      <c r="DS200" s="455"/>
      <c r="DT200" s="451"/>
      <c r="DU200" s="452"/>
      <c r="DV200" s="444"/>
      <c r="DW200" s="451">
        <v>0</v>
      </c>
      <c r="DX200" s="455"/>
      <c r="DY200" s="451"/>
      <c r="DZ200" s="452"/>
      <c r="EA200" s="444"/>
      <c r="EB200" s="451">
        <v>0</v>
      </c>
      <c r="EC200" s="455"/>
      <c r="ED200" s="451"/>
      <c r="EE200" s="452"/>
      <c r="EF200" s="444"/>
      <c r="EG200" s="451">
        <v>0</v>
      </c>
      <c r="EH200" s="455"/>
      <c r="EI200" s="451"/>
      <c r="EJ200" s="452"/>
      <c r="EK200" s="444"/>
      <c r="EL200" s="451">
        <f>SUM(CD200:DW200)</f>
        <v>0</v>
      </c>
      <c r="EM200" s="455"/>
      <c r="EN200" s="451"/>
      <c r="EO200" s="13"/>
      <c r="ER200" s="14"/>
      <c r="ES200" s="14"/>
    </row>
    <row r="201" spans="4:149" hidden="1" x14ac:dyDescent="0.2">
      <c r="D201" s="13" t="s">
        <v>398</v>
      </c>
      <c r="F201" s="444"/>
      <c r="G201" s="451">
        <v>0</v>
      </c>
      <c r="H201" s="455"/>
      <c r="I201" s="451"/>
      <c r="J201" s="452"/>
      <c r="K201" s="444"/>
      <c r="L201" s="451">
        <v>0</v>
      </c>
      <c r="M201" s="455"/>
      <c r="N201" s="451"/>
      <c r="O201" s="452"/>
      <c r="P201" s="444"/>
      <c r="Q201" s="451">
        <v>0</v>
      </c>
      <c r="R201" s="455"/>
      <c r="S201" s="451"/>
      <c r="T201" s="452"/>
      <c r="U201" s="444"/>
      <c r="V201" s="451">
        <v>0</v>
      </c>
      <c r="W201" s="455"/>
      <c r="X201" s="451"/>
      <c r="Y201" s="452"/>
      <c r="Z201" s="444"/>
      <c r="AA201" s="451">
        <v>0</v>
      </c>
      <c r="AB201" s="455"/>
      <c r="AC201" s="451"/>
      <c r="AD201" s="452"/>
      <c r="AE201" s="198"/>
      <c r="AF201" s="128">
        <v>0</v>
      </c>
      <c r="AG201" s="455"/>
      <c r="AH201" s="451"/>
      <c r="AI201" s="452"/>
      <c r="AJ201" s="444"/>
      <c r="AK201" s="451">
        <v>0</v>
      </c>
      <c r="AL201" s="455"/>
      <c r="AM201" s="451"/>
      <c r="AN201" s="452"/>
      <c r="AO201" s="444"/>
      <c r="AP201" s="451">
        <v>0</v>
      </c>
      <c r="AQ201" s="455"/>
      <c r="AR201" s="451"/>
      <c r="AS201" s="452"/>
      <c r="AT201" s="444"/>
      <c r="AU201" s="451">
        <v>0</v>
      </c>
      <c r="AV201" s="455"/>
      <c r="AW201" s="451"/>
      <c r="AX201" s="452"/>
      <c r="AY201" s="444"/>
      <c r="AZ201" s="451">
        <v>0</v>
      </c>
      <c r="BA201" s="455"/>
      <c r="BB201" s="451"/>
      <c r="BC201" s="452"/>
      <c r="BD201" s="444"/>
      <c r="BE201" s="451">
        <v>0</v>
      </c>
      <c r="BF201" s="455"/>
      <c r="BG201" s="451"/>
      <c r="BH201" s="452"/>
      <c r="BI201" s="444"/>
      <c r="BJ201" s="451">
        <v>0</v>
      </c>
      <c r="BK201" s="455"/>
      <c r="BL201" s="451"/>
      <c r="BM201" s="452"/>
      <c r="BN201" s="444"/>
      <c r="BO201" s="451">
        <v>0</v>
      </c>
      <c r="BP201" s="455"/>
      <c r="BQ201" s="451"/>
      <c r="BR201" s="452"/>
      <c r="BS201" s="444"/>
      <c r="BT201" s="451">
        <f>SUM(L201:BO201)</f>
        <v>0</v>
      </c>
      <c r="BU201" s="455"/>
      <c r="BV201" s="451"/>
      <c r="BW201" s="452"/>
      <c r="BX201" s="444"/>
      <c r="BY201" s="451">
        <v>0</v>
      </c>
      <c r="BZ201" s="455"/>
      <c r="CA201" s="451"/>
      <c r="CB201" s="452"/>
      <c r="CC201" s="444"/>
      <c r="CD201" s="451">
        <v>0</v>
      </c>
      <c r="CE201" s="455"/>
      <c r="CF201" s="451"/>
      <c r="CG201" s="452"/>
      <c r="CH201" s="444"/>
      <c r="CI201" s="451">
        <v>0</v>
      </c>
      <c r="CJ201" s="455"/>
      <c r="CK201" s="451"/>
      <c r="CL201" s="452"/>
      <c r="CM201" s="444"/>
      <c r="CN201" s="451">
        <v>0</v>
      </c>
      <c r="CO201" s="455"/>
      <c r="CP201" s="451"/>
      <c r="CQ201" s="452"/>
      <c r="CR201" s="444"/>
      <c r="CS201" s="451">
        <v>0</v>
      </c>
      <c r="CT201" s="455"/>
      <c r="CU201" s="451"/>
      <c r="CV201" s="452"/>
      <c r="CW201" s="198"/>
      <c r="CX201" s="128">
        <v>0</v>
      </c>
      <c r="CY201" s="455"/>
      <c r="CZ201" s="451"/>
      <c r="DA201" s="452"/>
      <c r="DB201" s="444"/>
      <c r="DC201" s="451">
        <v>0</v>
      </c>
      <c r="DD201" s="455"/>
      <c r="DE201" s="451"/>
      <c r="DF201" s="452"/>
      <c r="DG201" s="444"/>
      <c r="DH201" s="451">
        <v>0</v>
      </c>
      <c r="DI201" s="455"/>
      <c r="DJ201" s="451"/>
      <c r="DK201" s="452"/>
      <c r="DL201" s="444"/>
      <c r="DM201" s="451">
        <v>0</v>
      </c>
      <c r="DN201" s="455"/>
      <c r="DO201" s="451"/>
      <c r="DP201" s="452"/>
      <c r="DQ201" s="444"/>
      <c r="DR201" s="451">
        <v>0</v>
      </c>
      <c r="DS201" s="455"/>
      <c r="DT201" s="451"/>
      <c r="DU201" s="452"/>
      <c r="DV201" s="444"/>
      <c r="DW201" s="451">
        <v>0</v>
      </c>
      <c r="DX201" s="455"/>
      <c r="DY201" s="451"/>
      <c r="DZ201" s="452"/>
      <c r="EA201" s="444"/>
      <c r="EB201" s="451">
        <v>0</v>
      </c>
      <c r="EC201" s="455"/>
      <c r="ED201" s="451"/>
      <c r="EE201" s="452"/>
      <c r="EF201" s="444"/>
      <c r="EG201" s="451">
        <v>0</v>
      </c>
      <c r="EH201" s="455"/>
      <c r="EI201" s="451"/>
      <c r="EJ201" s="452"/>
      <c r="EK201" s="444"/>
      <c r="EL201" s="451">
        <f>SUM(CD201:DW201)</f>
        <v>0</v>
      </c>
      <c r="EM201" s="455"/>
      <c r="EN201" s="451"/>
      <c r="EO201" s="13"/>
      <c r="ER201" s="14"/>
      <c r="ES201" s="14"/>
    </row>
    <row r="202" spans="4:149" hidden="1" x14ac:dyDescent="0.2">
      <c r="D202" s="13" t="s">
        <v>399</v>
      </c>
      <c r="F202" s="482"/>
      <c r="G202" s="463">
        <v>0</v>
      </c>
      <c r="H202" s="464"/>
      <c r="I202" s="451"/>
      <c r="J202" s="452"/>
      <c r="K202" s="482"/>
      <c r="L202" s="463">
        <v>0</v>
      </c>
      <c r="M202" s="464"/>
      <c r="N202" s="451"/>
      <c r="O202" s="452"/>
      <c r="P202" s="482"/>
      <c r="Q202" s="463">
        <v>0</v>
      </c>
      <c r="R202" s="464"/>
      <c r="S202" s="451"/>
      <c r="T202" s="452"/>
      <c r="U202" s="482"/>
      <c r="V202" s="463">
        <v>0</v>
      </c>
      <c r="W202" s="464"/>
      <c r="X202" s="451"/>
      <c r="Y202" s="452"/>
      <c r="Z202" s="482"/>
      <c r="AA202" s="463">
        <v>0</v>
      </c>
      <c r="AB202" s="464"/>
      <c r="AC202" s="451"/>
      <c r="AD202" s="452"/>
      <c r="AE202" s="385"/>
      <c r="AF202" s="483">
        <v>0</v>
      </c>
      <c r="AG202" s="464"/>
      <c r="AH202" s="451"/>
      <c r="AI202" s="452"/>
      <c r="AJ202" s="482"/>
      <c r="AK202" s="463">
        <v>0</v>
      </c>
      <c r="AL202" s="464"/>
      <c r="AM202" s="451"/>
      <c r="AN202" s="452"/>
      <c r="AO202" s="482"/>
      <c r="AP202" s="463">
        <v>0</v>
      </c>
      <c r="AQ202" s="464"/>
      <c r="AR202" s="451"/>
      <c r="AS202" s="452"/>
      <c r="AT202" s="482"/>
      <c r="AU202" s="463">
        <v>0</v>
      </c>
      <c r="AV202" s="464"/>
      <c r="AW202" s="451"/>
      <c r="AX202" s="452"/>
      <c r="AY202" s="482"/>
      <c r="AZ202" s="463">
        <v>0</v>
      </c>
      <c r="BA202" s="464"/>
      <c r="BB202" s="451"/>
      <c r="BC202" s="452"/>
      <c r="BD202" s="482"/>
      <c r="BE202" s="463">
        <v>0</v>
      </c>
      <c r="BF202" s="464"/>
      <c r="BG202" s="451"/>
      <c r="BH202" s="452"/>
      <c r="BI202" s="482"/>
      <c r="BJ202" s="463">
        <v>0</v>
      </c>
      <c r="BK202" s="464"/>
      <c r="BL202" s="451"/>
      <c r="BM202" s="452"/>
      <c r="BN202" s="482"/>
      <c r="BO202" s="463">
        <v>0</v>
      </c>
      <c r="BP202" s="464"/>
      <c r="BQ202" s="451"/>
      <c r="BR202" s="452"/>
      <c r="BS202" s="482"/>
      <c r="BT202" s="463">
        <f t="shared" si="2"/>
        <v>0</v>
      </c>
      <c r="BU202" s="464"/>
      <c r="BV202" s="451"/>
      <c r="BW202" s="452"/>
      <c r="BX202" s="482"/>
      <c r="BY202" s="463">
        <v>0</v>
      </c>
      <c r="BZ202" s="464"/>
      <c r="CA202" s="451"/>
      <c r="CB202" s="452"/>
      <c r="CC202" s="482"/>
      <c r="CD202" s="463">
        <v>0</v>
      </c>
      <c r="CE202" s="464"/>
      <c r="CF202" s="451"/>
      <c r="CG202" s="452"/>
      <c r="CH202" s="482"/>
      <c r="CI202" s="463">
        <v>0</v>
      </c>
      <c r="CJ202" s="464"/>
      <c r="CK202" s="451"/>
      <c r="CL202" s="452"/>
      <c r="CM202" s="482"/>
      <c r="CN202" s="463">
        <v>0</v>
      </c>
      <c r="CO202" s="464"/>
      <c r="CP202" s="451"/>
      <c r="CQ202" s="452"/>
      <c r="CR202" s="482"/>
      <c r="CS202" s="463">
        <v>0</v>
      </c>
      <c r="CT202" s="464"/>
      <c r="CU202" s="451"/>
      <c r="CV202" s="452"/>
      <c r="CW202" s="385"/>
      <c r="CX202" s="483">
        <v>0</v>
      </c>
      <c r="CY202" s="464"/>
      <c r="CZ202" s="451"/>
      <c r="DA202" s="452"/>
      <c r="DB202" s="482"/>
      <c r="DC202" s="463">
        <v>0</v>
      </c>
      <c r="DD202" s="464"/>
      <c r="DE202" s="451"/>
      <c r="DF202" s="452"/>
      <c r="DG202" s="482"/>
      <c r="DH202" s="463">
        <v>0</v>
      </c>
      <c r="DI202" s="464"/>
      <c r="DJ202" s="451"/>
      <c r="DK202" s="452"/>
      <c r="DL202" s="482"/>
      <c r="DM202" s="463">
        <v>0</v>
      </c>
      <c r="DN202" s="464"/>
      <c r="DO202" s="451"/>
      <c r="DP202" s="452"/>
      <c r="DQ202" s="482"/>
      <c r="DR202" s="463">
        <v>0</v>
      </c>
      <c r="DS202" s="464"/>
      <c r="DT202" s="451"/>
      <c r="DU202" s="452"/>
      <c r="DV202" s="482"/>
      <c r="DW202" s="463">
        <v>0</v>
      </c>
      <c r="DX202" s="464"/>
      <c r="DY202" s="451"/>
      <c r="DZ202" s="452"/>
      <c r="EA202" s="482"/>
      <c r="EB202" s="463">
        <v>0</v>
      </c>
      <c r="EC202" s="464"/>
      <c r="ED202" s="451"/>
      <c r="EE202" s="452"/>
      <c r="EF202" s="482"/>
      <c r="EG202" s="463">
        <v>0</v>
      </c>
      <c r="EH202" s="464"/>
      <c r="EI202" s="451"/>
      <c r="EJ202" s="452"/>
      <c r="EK202" s="482"/>
      <c r="EL202" s="463">
        <f>SUM(CD202:DW202)</f>
        <v>0</v>
      </c>
      <c r="EM202" s="464"/>
      <c r="EN202" s="451"/>
      <c r="EO202" s="13"/>
      <c r="ER202" s="14"/>
      <c r="ES202" s="14"/>
    </row>
    <row r="203" spans="4:149" ht="12.75" hidden="1" customHeight="1" x14ac:dyDescent="0.2">
      <c r="D203" s="13" t="s">
        <v>400</v>
      </c>
      <c r="F203" s="198"/>
      <c r="G203" s="451">
        <v>0</v>
      </c>
      <c r="H203" s="455"/>
      <c r="I203" s="451"/>
      <c r="J203" s="452"/>
      <c r="K203" s="198"/>
      <c r="L203" s="451"/>
      <c r="M203" s="455"/>
      <c r="N203" s="451"/>
      <c r="O203" s="452"/>
      <c r="P203" s="198"/>
      <c r="Q203" s="451"/>
      <c r="R203" s="455"/>
      <c r="S203" s="451"/>
      <c r="T203" s="452"/>
      <c r="U203" s="198"/>
      <c r="V203" s="451"/>
      <c r="W203" s="455"/>
      <c r="X203" s="451"/>
      <c r="Y203" s="452"/>
      <c r="Z203" s="198"/>
      <c r="AA203" s="451"/>
      <c r="AB203" s="455"/>
      <c r="AC203" s="451"/>
      <c r="AD203" s="452"/>
      <c r="AE203" s="198"/>
      <c r="AF203" s="451"/>
      <c r="AG203" s="455"/>
      <c r="AH203" s="451"/>
      <c r="AI203" s="452"/>
      <c r="AJ203" s="198"/>
      <c r="AK203" s="451"/>
      <c r="AL203" s="455"/>
      <c r="AM203" s="451"/>
      <c r="AN203" s="452"/>
      <c r="AO203" s="198"/>
      <c r="AP203" s="451"/>
      <c r="AQ203" s="455"/>
      <c r="AR203" s="451"/>
      <c r="AS203" s="452"/>
      <c r="AT203" s="198"/>
      <c r="AU203" s="451"/>
      <c r="AV203" s="455"/>
      <c r="AW203" s="451"/>
      <c r="AX203" s="452"/>
      <c r="AY203" s="198"/>
      <c r="AZ203" s="451"/>
      <c r="BA203" s="455"/>
      <c r="BB203" s="451"/>
      <c r="BC203" s="452"/>
      <c r="BD203" s="198"/>
      <c r="BE203" s="451"/>
      <c r="BF203" s="455"/>
      <c r="BG203" s="451"/>
      <c r="BH203" s="452"/>
      <c r="BI203" s="198"/>
      <c r="BJ203" s="451">
        <v>0</v>
      </c>
      <c r="BK203" s="455"/>
      <c r="BL203" s="451"/>
      <c r="BM203" s="452"/>
      <c r="BN203" s="198"/>
      <c r="BO203" s="451">
        <v>0</v>
      </c>
      <c r="BP203" s="455"/>
      <c r="BQ203" s="451"/>
      <c r="BR203" s="452"/>
      <c r="BS203" s="198"/>
      <c r="BT203" s="451">
        <f t="shared" si="2"/>
        <v>0</v>
      </c>
      <c r="BU203" s="455"/>
      <c r="BV203" s="451"/>
      <c r="BW203" s="452"/>
      <c r="BX203" s="198"/>
      <c r="BY203" s="451">
        <v>0</v>
      </c>
      <c r="BZ203" s="455"/>
      <c r="CA203" s="451"/>
      <c r="CB203" s="452"/>
      <c r="CC203" s="198"/>
      <c r="CD203" s="451"/>
      <c r="CE203" s="455"/>
      <c r="CF203" s="451"/>
      <c r="CG203" s="452"/>
      <c r="CH203" s="198"/>
      <c r="CI203" s="451"/>
      <c r="CJ203" s="455"/>
      <c r="CK203" s="451"/>
      <c r="CL203" s="452"/>
      <c r="CM203" s="198"/>
      <c r="CN203" s="451"/>
      <c r="CO203" s="455"/>
      <c r="CP203" s="451"/>
      <c r="CQ203" s="452"/>
      <c r="CR203" s="198"/>
      <c r="CS203" s="451"/>
      <c r="CT203" s="455"/>
      <c r="CU203" s="451"/>
      <c r="CV203" s="452"/>
      <c r="CW203" s="198"/>
      <c r="CX203" s="451"/>
      <c r="CY203" s="455"/>
      <c r="CZ203" s="451"/>
      <c r="DA203" s="452"/>
      <c r="DB203" s="198"/>
      <c r="DC203" s="451"/>
      <c r="DD203" s="455"/>
      <c r="DE203" s="451"/>
      <c r="DF203" s="452"/>
      <c r="DG203" s="198"/>
      <c r="DH203" s="451"/>
      <c r="DI203" s="455"/>
      <c r="DJ203" s="451"/>
      <c r="DK203" s="452"/>
      <c r="DL203" s="198"/>
      <c r="DM203" s="451"/>
      <c r="DN203" s="455"/>
      <c r="DO203" s="451"/>
      <c r="DP203" s="452"/>
      <c r="DQ203" s="198"/>
      <c r="DR203" s="451"/>
      <c r="DS203" s="455"/>
      <c r="DT203" s="451"/>
      <c r="DU203" s="452"/>
      <c r="DV203" s="198"/>
      <c r="DW203" s="451"/>
      <c r="DX203" s="455"/>
      <c r="DY203" s="451"/>
      <c r="DZ203" s="452"/>
      <c r="EA203" s="198"/>
      <c r="EB203" s="451">
        <v>0</v>
      </c>
      <c r="EC203" s="455"/>
      <c r="ED203" s="451"/>
      <c r="EE203" s="452"/>
      <c r="EF203" s="198"/>
      <c r="EG203" s="451">
        <v>0</v>
      </c>
      <c r="EH203" s="455"/>
      <c r="EI203" s="451"/>
      <c r="EJ203" s="452"/>
      <c r="EK203" s="198"/>
      <c r="EL203" s="451">
        <f>SUM(CD203:EG203)</f>
        <v>0</v>
      </c>
      <c r="EM203" s="455"/>
      <c r="EN203" s="451"/>
      <c r="EO203" s="13"/>
      <c r="ER203" s="14"/>
      <c r="ES203" s="14"/>
    </row>
    <row r="204" spans="4:149" ht="12.75" hidden="1" customHeight="1" x14ac:dyDescent="0.2">
      <c r="D204" s="13" t="s">
        <v>401</v>
      </c>
      <c r="F204" s="198"/>
      <c r="G204" s="451">
        <v>0</v>
      </c>
      <c r="H204" s="455"/>
      <c r="I204" s="451"/>
      <c r="J204" s="452"/>
      <c r="K204" s="198"/>
      <c r="L204" s="451"/>
      <c r="M204" s="455"/>
      <c r="N204" s="451"/>
      <c r="O204" s="452"/>
      <c r="P204" s="198"/>
      <c r="Q204" s="451"/>
      <c r="R204" s="455"/>
      <c r="S204" s="451"/>
      <c r="T204" s="452"/>
      <c r="U204" s="198"/>
      <c r="V204" s="451"/>
      <c r="W204" s="455"/>
      <c r="X204" s="451"/>
      <c r="Y204" s="452"/>
      <c r="Z204" s="198"/>
      <c r="AA204" s="451"/>
      <c r="AB204" s="455"/>
      <c r="AC204" s="451"/>
      <c r="AD204" s="452"/>
      <c r="AE204" s="198"/>
      <c r="AF204" s="451"/>
      <c r="AG204" s="455"/>
      <c r="AH204" s="451"/>
      <c r="AI204" s="452"/>
      <c r="AJ204" s="198"/>
      <c r="AK204" s="451"/>
      <c r="AL204" s="455"/>
      <c r="AM204" s="451"/>
      <c r="AN204" s="452"/>
      <c r="AO204" s="198"/>
      <c r="AP204" s="451"/>
      <c r="AQ204" s="455"/>
      <c r="AR204" s="451"/>
      <c r="AS204" s="452"/>
      <c r="AT204" s="198"/>
      <c r="AU204" s="451"/>
      <c r="AV204" s="455"/>
      <c r="AW204" s="451"/>
      <c r="AX204" s="452"/>
      <c r="AY204" s="198"/>
      <c r="AZ204" s="451"/>
      <c r="BA204" s="455"/>
      <c r="BB204" s="451"/>
      <c r="BC204" s="452"/>
      <c r="BD204" s="198"/>
      <c r="BE204" s="451"/>
      <c r="BF204" s="455"/>
      <c r="BG204" s="451"/>
      <c r="BH204" s="452"/>
      <c r="BI204" s="198"/>
      <c r="BJ204" s="451">
        <v>0</v>
      </c>
      <c r="BK204" s="455"/>
      <c r="BL204" s="451"/>
      <c r="BM204" s="452"/>
      <c r="BN204" s="198"/>
      <c r="BO204" s="451">
        <v>0</v>
      </c>
      <c r="BP204" s="455"/>
      <c r="BQ204" s="451"/>
      <c r="BR204" s="452"/>
      <c r="BS204" s="198"/>
      <c r="BT204" s="451">
        <f t="shared" si="2"/>
        <v>0</v>
      </c>
      <c r="BU204" s="455"/>
      <c r="BV204" s="451"/>
      <c r="BW204" s="452"/>
      <c r="BX204" s="198"/>
      <c r="BY204" s="451">
        <v>0</v>
      </c>
      <c r="BZ204" s="455"/>
      <c r="CA204" s="451"/>
      <c r="CB204" s="452"/>
      <c r="CC204" s="198"/>
      <c r="CD204" s="451"/>
      <c r="CE204" s="455"/>
      <c r="CF204" s="451"/>
      <c r="CG204" s="452"/>
      <c r="CH204" s="198"/>
      <c r="CI204" s="451"/>
      <c r="CJ204" s="455"/>
      <c r="CK204" s="451"/>
      <c r="CL204" s="452"/>
      <c r="CM204" s="198"/>
      <c r="CN204" s="451"/>
      <c r="CO204" s="455"/>
      <c r="CP204" s="451"/>
      <c r="CQ204" s="452"/>
      <c r="CR204" s="198"/>
      <c r="CS204" s="451"/>
      <c r="CT204" s="455"/>
      <c r="CU204" s="451"/>
      <c r="CV204" s="452"/>
      <c r="CW204" s="198"/>
      <c r="CX204" s="451"/>
      <c r="CY204" s="455"/>
      <c r="CZ204" s="451"/>
      <c r="DA204" s="452"/>
      <c r="DB204" s="198"/>
      <c r="DC204" s="451"/>
      <c r="DD204" s="455"/>
      <c r="DE204" s="451"/>
      <c r="DF204" s="452"/>
      <c r="DG204" s="198"/>
      <c r="DH204" s="451"/>
      <c r="DI204" s="455"/>
      <c r="DJ204" s="451"/>
      <c r="DK204" s="452"/>
      <c r="DL204" s="198"/>
      <c r="DM204" s="451"/>
      <c r="DN204" s="455"/>
      <c r="DO204" s="451"/>
      <c r="DP204" s="452"/>
      <c r="DQ204" s="198"/>
      <c r="DR204" s="451"/>
      <c r="DS204" s="455"/>
      <c r="DT204" s="451"/>
      <c r="DU204" s="452"/>
      <c r="DV204" s="198"/>
      <c r="DW204" s="451"/>
      <c r="DX204" s="455"/>
      <c r="DY204" s="451"/>
      <c r="DZ204" s="452"/>
      <c r="EA204" s="198"/>
      <c r="EB204" s="451">
        <v>0</v>
      </c>
      <c r="EC204" s="455"/>
      <c r="ED204" s="451"/>
      <c r="EE204" s="452"/>
      <c r="EF204" s="198"/>
      <c r="EG204" s="451">
        <v>0</v>
      </c>
      <c r="EH204" s="455"/>
      <c r="EI204" s="451"/>
      <c r="EJ204" s="452"/>
      <c r="EK204" s="198"/>
      <c r="EL204" s="451">
        <f>SUM(CD204:EG204)</f>
        <v>0</v>
      </c>
      <c r="EM204" s="455"/>
      <c r="EN204" s="451"/>
      <c r="EO204" s="13"/>
      <c r="ER204" s="14"/>
      <c r="ES204" s="14"/>
    </row>
    <row r="205" spans="4:149" ht="12.75" hidden="1" customHeight="1" x14ac:dyDescent="0.2">
      <c r="D205" s="13" t="s">
        <v>402</v>
      </c>
      <c r="F205" s="385"/>
      <c r="G205" s="463">
        <v>0</v>
      </c>
      <c r="H205" s="464"/>
      <c r="I205" s="451"/>
      <c r="J205" s="452"/>
      <c r="K205" s="385"/>
      <c r="L205" s="463">
        <v>0</v>
      </c>
      <c r="M205" s="464"/>
      <c r="N205" s="451"/>
      <c r="O205" s="452"/>
      <c r="P205" s="385"/>
      <c r="Q205" s="463">
        <v>0</v>
      </c>
      <c r="R205" s="464"/>
      <c r="S205" s="451"/>
      <c r="T205" s="452"/>
      <c r="U205" s="385"/>
      <c r="V205" s="463">
        <v>0</v>
      </c>
      <c r="W205" s="464"/>
      <c r="X205" s="451"/>
      <c r="Y205" s="452"/>
      <c r="Z205" s="385"/>
      <c r="AA205" s="463">
        <v>0</v>
      </c>
      <c r="AB205" s="464"/>
      <c r="AC205" s="451"/>
      <c r="AD205" s="452"/>
      <c r="AE205" s="385"/>
      <c r="AF205" s="463">
        <v>0</v>
      </c>
      <c r="AG205" s="464"/>
      <c r="AH205" s="451"/>
      <c r="AI205" s="452"/>
      <c r="AJ205" s="385"/>
      <c r="AK205" s="463">
        <v>0</v>
      </c>
      <c r="AL205" s="464"/>
      <c r="AM205" s="451"/>
      <c r="AN205" s="452"/>
      <c r="AO205" s="385"/>
      <c r="AP205" s="463">
        <v>0</v>
      </c>
      <c r="AQ205" s="464"/>
      <c r="AR205" s="451"/>
      <c r="AS205" s="452"/>
      <c r="AT205" s="385"/>
      <c r="AU205" s="463">
        <v>0</v>
      </c>
      <c r="AV205" s="464"/>
      <c r="AW205" s="451"/>
      <c r="AX205" s="452"/>
      <c r="AY205" s="385"/>
      <c r="AZ205" s="463">
        <v>0</v>
      </c>
      <c r="BA205" s="464"/>
      <c r="BB205" s="451"/>
      <c r="BC205" s="452"/>
      <c r="BD205" s="385"/>
      <c r="BE205" s="463">
        <v>0</v>
      </c>
      <c r="BF205" s="464"/>
      <c r="BG205" s="451"/>
      <c r="BH205" s="452"/>
      <c r="BI205" s="385"/>
      <c r="BJ205" s="463">
        <v>0</v>
      </c>
      <c r="BK205" s="464"/>
      <c r="BL205" s="451"/>
      <c r="BM205" s="452"/>
      <c r="BN205" s="385"/>
      <c r="BO205" s="463">
        <v>0</v>
      </c>
      <c r="BP205" s="464"/>
      <c r="BQ205" s="451"/>
      <c r="BR205" s="452"/>
      <c r="BS205" s="385"/>
      <c r="BT205" s="463">
        <f t="shared" si="2"/>
        <v>0</v>
      </c>
      <c r="BU205" s="464"/>
      <c r="BV205" s="451"/>
      <c r="BW205" s="452"/>
      <c r="BX205" s="385"/>
      <c r="BY205" s="463"/>
      <c r="BZ205" s="464"/>
      <c r="CA205" s="451"/>
      <c r="CB205" s="452"/>
      <c r="CC205" s="385"/>
      <c r="CD205" s="463">
        <v>0</v>
      </c>
      <c r="CE205" s="464"/>
      <c r="CF205" s="451"/>
      <c r="CG205" s="452"/>
      <c r="CH205" s="385"/>
      <c r="CI205" s="463">
        <v>0</v>
      </c>
      <c r="CJ205" s="464"/>
      <c r="CK205" s="451"/>
      <c r="CL205" s="452"/>
      <c r="CM205" s="385"/>
      <c r="CN205" s="463">
        <v>0</v>
      </c>
      <c r="CO205" s="464"/>
      <c r="CP205" s="451"/>
      <c r="CQ205" s="452"/>
      <c r="CR205" s="385"/>
      <c r="CS205" s="463">
        <v>0</v>
      </c>
      <c r="CT205" s="464"/>
      <c r="CU205" s="451"/>
      <c r="CV205" s="452"/>
      <c r="CW205" s="385"/>
      <c r="CX205" s="463">
        <v>0</v>
      </c>
      <c r="CY205" s="464"/>
      <c r="CZ205" s="451"/>
      <c r="DA205" s="452"/>
      <c r="DB205" s="385"/>
      <c r="DC205" s="463">
        <v>0</v>
      </c>
      <c r="DD205" s="464"/>
      <c r="DE205" s="451"/>
      <c r="DF205" s="452"/>
      <c r="DG205" s="385"/>
      <c r="DH205" s="463">
        <v>0</v>
      </c>
      <c r="DI205" s="464"/>
      <c r="DJ205" s="451"/>
      <c r="DK205" s="452"/>
      <c r="DL205" s="385"/>
      <c r="DM205" s="463">
        <v>0</v>
      </c>
      <c r="DN205" s="464"/>
      <c r="DO205" s="451"/>
      <c r="DP205" s="452"/>
      <c r="DQ205" s="385"/>
      <c r="DR205" s="463">
        <v>0</v>
      </c>
      <c r="DS205" s="464"/>
      <c r="DT205" s="451"/>
      <c r="DU205" s="452"/>
      <c r="DV205" s="385"/>
      <c r="DW205" s="463">
        <v>0</v>
      </c>
      <c r="DX205" s="464"/>
      <c r="DY205" s="451"/>
      <c r="DZ205" s="452"/>
      <c r="EA205" s="385"/>
      <c r="EB205" s="463">
        <v>0</v>
      </c>
      <c r="EC205" s="464"/>
      <c r="ED205" s="451"/>
      <c r="EE205" s="452"/>
      <c r="EF205" s="385"/>
      <c r="EG205" s="463">
        <v>0</v>
      </c>
      <c r="EH205" s="464"/>
      <c r="EI205" s="451"/>
      <c r="EJ205" s="452"/>
      <c r="EK205" s="385"/>
      <c r="EL205" s="463">
        <f>SUM(CD205:EG205)</f>
        <v>0</v>
      </c>
      <c r="EM205" s="464"/>
      <c r="EN205" s="451"/>
      <c r="EO205" s="13"/>
      <c r="ER205" s="14"/>
      <c r="ES205" s="14"/>
    </row>
    <row r="206" spans="4:149" x14ac:dyDescent="0.2">
      <c r="D206" s="13"/>
      <c r="E206" s="479"/>
      <c r="F206" s="188"/>
      <c r="G206" s="451"/>
      <c r="H206" s="451"/>
      <c r="I206" s="451"/>
      <c r="J206" s="452"/>
      <c r="K206" s="188"/>
      <c r="L206" s="451"/>
      <c r="M206" s="451"/>
      <c r="N206" s="451"/>
      <c r="O206" s="452"/>
      <c r="P206" s="188"/>
      <c r="Q206" s="451"/>
      <c r="R206" s="451"/>
      <c r="S206" s="451"/>
      <c r="T206" s="452"/>
      <c r="U206" s="188"/>
      <c r="V206" s="451"/>
      <c r="W206" s="451"/>
      <c r="X206" s="451"/>
      <c r="Y206" s="452"/>
      <c r="Z206" s="188"/>
      <c r="AA206" s="451"/>
      <c r="AB206" s="451"/>
      <c r="AC206" s="451"/>
      <c r="AD206" s="452"/>
      <c r="AE206" s="188"/>
      <c r="AF206" s="451"/>
      <c r="AG206" s="451"/>
      <c r="AH206" s="451"/>
      <c r="AI206" s="452"/>
      <c r="AJ206" s="188"/>
      <c r="AK206" s="451"/>
      <c r="AL206" s="451"/>
      <c r="AM206" s="451"/>
      <c r="AN206" s="452"/>
      <c r="AO206" s="188"/>
      <c r="AP206" s="451"/>
      <c r="AQ206" s="451"/>
      <c r="AR206" s="451"/>
      <c r="AS206" s="452"/>
      <c r="AT206" s="188"/>
      <c r="AU206" s="451"/>
      <c r="AV206" s="451"/>
      <c r="AW206" s="451"/>
      <c r="AX206" s="452"/>
      <c r="AY206" s="188"/>
      <c r="AZ206" s="451"/>
      <c r="BA206" s="451"/>
      <c r="BB206" s="451"/>
      <c r="BC206" s="452"/>
      <c r="BD206" s="188"/>
      <c r="BE206" s="451"/>
      <c r="BF206" s="451"/>
      <c r="BG206" s="451"/>
      <c r="BH206" s="452"/>
      <c r="BI206" s="188"/>
      <c r="BJ206" s="451"/>
      <c r="BK206" s="451"/>
      <c r="BL206" s="451"/>
      <c r="BM206" s="452"/>
      <c r="BN206" s="188"/>
      <c r="BO206" s="451"/>
      <c r="BP206" s="451"/>
      <c r="BQ206" s="451"/>
      <c r="BR206" s="452"/>
      <c r="BS206" s="188"/>
      <c r="BT206" s="451"/>
      <c r="BU206" s="451"/>
      <c r="BV206" s="451"/>
      <c r="BW206" s="452"/>
      <c r="BX206" s="188"/>
      <c r="BY206" s="451"/>
      <c r="BZ206" s="451"/>
      <c r="CA206" s="451"/>
      <c r="CB206" s="452"/>
      <c r="CC206" s="188"/>
      <c r="CD206" s="451"/>
      <c r="CE206" s="451"/>
      <c r="CF206" s="451"/>
      <c r="CG206" s="452"/>
      <c r="CH206" s="188"/>
      <c r="CI206" s="451"/>
      <c r="CJ206" s="451"/>
      <c r="CK206" s="451"/>
      <c r="CL206" s="452"/>
      <c r="CM206" s="188"/>
      <c r="CN206" s="451"/>
      <c r="CO206" s="451"/>
      <c r="CP206" s="451"/>
      <c r="CQ206" s="452"/>
      <c r="CR206" s="188"/>
      <c r="CS206" s="451"/>
      <c r="CT206" s="451"/>
      <c r="CU206" s="451"/>
      <c r="CV206" s="452"/>
      <c r="CW206" s="188"/>
      <c r="CX206" s="451"/>
      <c r="CY206" s="451"/>
      <c r="CZ206" s="451"/>
      <c r="DA206" s="452"/>
      <c r="DB206" s="188"/>
      <c r="DC206" s="451"/>
      <c r="DD206" s="451"/>
      <c r="DE206" s="451"/>
      <c r="DF206" s="452"/>
      <c r="DG206" s="188"/>
      <c r="DH206" s="451"/>
      <c r="DI206" s="451"/>
      <c r="DJ206" s="451"/>
      <c r="DK206" s="452"/>
      <c r="DL206" s="188"/>
      <c r="DM206" s="451"/>
      <c r="DN206" s="451"/>
      <c r="DO206" s="451"/>
      <c r="DP206" s="452"/>
      <c r="DQ206" s="188"/>
      <c r="DR206" s="451"/>
      <c r="DS206" s="451"/>
      <c r="DT206" s="451"/>
      <c r="DU206" s="452"/>
      <c r="DV206" s="188"/>
      <c r="DW206" s="451"/>
      <c r="DX206" s="451"/>
      <c r="DY206" s="451"/>
      <c r="DZ206" s="452"/>
      <c r="EA206" s="188"/>
      <c r="EB206" s="451"/>
      <c r="EC206" s="451"/>
      <c r="ED206" s="451"/>
      <c r="EE206" s="452"/>
      <c r="EF206" s="188"/>
      <c r="EG206" s="451"/>
      <c r="EH206" s="451"/>
      <c r="EI206" s="451"/>
      <c r="EJ206" s="452"/>
      <c r="EK206" s="188"/>
      <c r="EL206" s="451"/>
      <c r="EM206" s="451"/>
      <c r="EN206" s="451"/>
      <c r="EO206" s="13"/>
      <c r="ER206" s="14"/>
      <c r="ES206" s="14"/>
    </row>
    <row r="207" spans="4:149" x14ac:dyDescent="0.2">
      <c r="D207" s="177" t="s">
        <v>339</v>
      </c>
      <c r="E207" s="479"/>
      <c r="F207" s="188"/>
      <c r="G207" s="446">
        <f>SUM(G208:G211)</f>
        <v>0</v>
      </c>
      <c r="H207" s="451"/>
      <c r="I207" s="451"/>
      <c r="J207" s="452"/>
      <c r="K207" s="188"/>
      <c r="L207" s="446">
        <f>SUM(L208:L211)</f>
        <v>0</v>
      </c>
      <c r="M207" s="451"/>
      <c r="N207" s="451"/>
      <c r="O207" s="452"/>
      <c r="P207" s="188"/>
      <c r="Q207" s="446">
        <f>SUM(Q208:Q211)</f>
        <v>0</v>
      </c>
      <c r="R207" s="451"/>
      <c r="S207" s="451"/>
      <c r="T207" s="452"/>
      <c r="U207" s="188"/>
      <c r="V207" s="446">
        <f>SUM(V208:V211)</f>
        <v>0</v>
      </c>
      <c r="W207" s="451"/>
      <c r="X207" s="451"/>
      <c r="Y207" s="452"/>
      <c r="Z207" s="188"/>
      <c r="AA207" s="446">
        <f>SUM(AA208:AA211)</f>
        <v>0</v>
      </c>
      <c r="AB207" s="451"/>
      <c r="AC207" s="451"/>
      <c r="AD207" s="452"/>
      <c r="AE207" s="188"/>
      <c r="AF207" s="446">
        <f>SUM(AF208:AF211)</f>
        <v>0</v>
      </c>
      <c r="AG207" s="451"/>
      <c r="AH207" s="451"/>
      <c r="AI207" s="452"/>
      <c r="AJ207" s="188"/>
      <c r="AK207" s="446">
        <f>SUM(AK208:AK211)</f>
        <v>0</v>
      </c>
      <c r="AL207" s="451"/>
      <c r="AM207" s="455"/>
      <c r="AN207" s="452"/>
      <c r="AO207" s="188"/>
      <c r="AP207" s="446">
        <f>SUM(AP208:AP211)</f>
        <v>0</v>
      </c>
      <c r="AQ207" s="451"/>
      <c r="AR207" s="451"/>
      <c r="AS207" s="452"/>
      <c r="AT207" s="188"/>
      <c r="AU207" s="446">
        <f>SUM(AU208:AU211)</f>
        <v>0</v>
      </c>
      <c r="AV207" s="451"/>
      <c r="AW207" s="451"/>
      <c r="AX207" s="452"/>
      <c r="AY207" s="188"/>
      <c r="AZ207" s="446">
        <f>SUM(AZ208:AZ211)</f>
        <v>0</v>
      </c>
      <c r="BA207" s="451"/>
      <c r="BB207" s="451"/>
      <c r="BC207" s="452"/>
      <c r="BD207" s="188"/>
      <c r="BE207" s="446">
        <f>SUM(BE208:BE211)</f>
        <v>0</v>
      </c>
      <c r="BF207" s="451"/>
      <c r="BG207" s="451"/>
      <c r="BH207" s="452"/>
      <c r="BI207" s="188"/>
      <c r="BJ207" s="446">
        <f>SUM(BJ208:BJ211)</f>
        <v>0</v>
      </c>
      <c r="BK207" s="451"/>
      <c r="BL207" s="451"/>
      <c r="BM207" s="452"/>
      <c r="BN207" s="188"/>
      <c r="BO207" s="446">
        <f>SUM(BO208:BO211)</f>
        <v>0</v>
      </c>
      <c r="BP207" s="451"/>
      <c r="BQ207" s="451"/>
      <c r="BR207" s="452"/>
      <c r="BS207" s="188"/>
      <c r="BT207" s="446">
        <f>SUM(BT208:BT211)</f>
        <v>0</v>
      </c>
      <c r="BU207" s="451"/>
      <c r="BV207" s="451"/>
      <c r="BW207" s="452"/>
      <c r="BX207" s="188"/>
      <c r="BY207" s="446">
        <f>SUM(BY208:BY211)</f>
        <v>14152656</v>
      </c>
      <c r="BZ207" s="451"/>
      <c r="CA207" s="451"/>
      <c r="CB207" s="452"/>
      <c r="CC207" s="188"/>
      <c r="CD207" s="446">
        <f>SUM(CD208:CD211)</f>
        <v>0</v>
      </c>
      <c r="CE207" s="451"/>
      <c r="CF207" s="451"/>
      <c r="CG207" s="452"/>
      <c r="CH207" s="188"/>
      <c r="CI207" s="446">
        <f>SUM(CI208:CI211)</f>
        <v>14152656</v>
      </c>
      <c r="CJ207" s="451"/>
      <c r="CK207" s="451"/>
      <c r="CL207" s="452"/>
      <c r="CM207" s="188"/>
      <c r="CN207" s="446">
        <f>SUM(CN208:CN211)</f>
        <v>0</v>
      </c>
      <c r="CO207" s="451"/>
      <c r="CP207" s="451"/>
      <c r="CQ207" s="452"/>
      <c r="CR207" s="188"/>
      <c r="CS207" s="446">
        <f>SUM(CS208:CS211)</f>
        <v>0</v>
      </c>
      <c r="CT207" s="451"/>
      <c r="CU207" s="451"/>
      <c r="CV207" s="452"/>
      <c r="CW207" s="188"/>
      <c r="CX207" s="446">
        <f>SUM(CX208:CX211)</f>
        <v>0</v>
      </c>
      <c r="CY207" s="451"/>
      <c r="CZ207" s="451"/>
      <c r="DA207" s="452"/>
      <c r="DB207" s="188"/>
      <c r="DC207" s="446">
        <f>SUM(DC208:DC211)</f>
        <v>0</v>
      </c>
      <c r="DD207" s="451"/>
      <c r="DE207" s="455"/>
      <c r="DF207" s="452"/>
      <c r="DG207" s="188"/>
      <c r="DH207" s="446">
        <f>SUM(DH208:DH211)</f>
        <v>0</v>
      </c>
      <c r="DI207" s="451"/>
      <c r="DJ207" s="451"/>
      <c r="DK207" s="452"/>
      <c r="DL207" s="188"/>
      <c r="DM207" s="446">
        <f>SUM(DM208:DM211)</f>
        <v>0</v>
      </c>
      <c r="DN207" s="451"/>
      <c r="DO207" s="451"/>
      <c r="DP207" s="452"/>
      <c r="DQ207" s="188"/>
      <c r="DR207" s="446">
        <f>SUM(DR208:DR211)</f>
        <v>0</v>
      </c>
      <c r="DS207" s="451"/>
      <c r="DT207" s="451"/>
      <c r="DU207" s="452"/>
      <c r="DV207" s="188"/>
      <c r="DW207" s="446">
        <f>SUM(DW208:DW211)</f>
        <v>0</v>
      </c>
      <c r="DX207" s="451"/>
      <c r="DY207" s="451"/>
      <c r="DZ207" s="452"/>
      <c r="EA207" s="188"/>
      <c r="EB207" s="446">
        <f>SUM(EB208:EB211)</f>
        <v>0</v>
      </c>
      <c r="EC207" s="451"/>
      <c r="ED207" s="451"/>
      <c r="EE207" s="452"/>
      <c r="EF207" s="188"/>
      <c r="EG207" s="446">
        <f>SUM(EG208:EG211)</f>
        <v>0</v>
      </c>
      <c r="EH207" s="451"/>
      <c r="EI207" s="451"/>
      <c r="EJ207" s="452"/>
      <c r="EK207" s="188"/>
      <c r="EL207" s="446">
        <f>SUM(EL208:EL211)</f>
        <v>14152656</v>
      </c>
      <c r="EM207" s="451"/>
      <c r="EN207" s="451"/>
      <c r="EO207" s="13"/>
      <c r="ER207" s="14"/>
      <c r="ES207" s="14"/>
    </row>
    <row r="208" spans="4:149" x14ac:dyDescent="0.2">
      <c r="D208" s="13" t="s">
        <v>347</v>
      </c>
      <c r="E208" s="479"/>
      <c r="F208" s="480"/>
      <c r="G208" s="449">
        <f>G224+G251+G257+G219+G245+G230+G268+G214+G240+G235+G273+G263</f>
        <v>0</v>
      </c>
      <c r="H208" s="450"/>
      <c r="I208" s="451"/>
      <c r="J208" s="452"/>
      <c r="K208" s="480"/>
      <c r="L208" s="449">
        <f>L224+L251+L257+L219+L245+L230+L268+L214+L240+L235+L273+L263</f>
        <v>0</v>
      </c>
      <c r="M208" s="450"/>
      <c r="N208" s="451"/>
      <c r="O208" s="452"/>
      <c r="P208" s="480"/>
      <c r="Q208" s="449">
        <f>Q224+Q251+Q257+Q219+Q245+Q230+Q268+Q214+Q240+Q235+Q273+Q263</f>
        <v>0</v>
      </c>
      <c r="R208" s="450"/>
      <c r="S208" s="451"/>
      <c r="T208" s="452"/>
      <c r="U208" s="480"/>
      <c r="V208" s="449">
        <f>V224+V251+V257+V219+V245+V230+V268+V214+V240+V235+V273+V263</f>
        <v>0</v>
      </c>
      <c r="W208" s="450"/>
      <c r="X208" s="451"/>
      <c r="Y208" s="452"/>
      <c r="Z208" s="480"/>
      <c r="AA208" s="449">
        <f>AA224+AA251+AA257+AA219+AA245+AA230+AA268+AA214+AA240+AA235+AA273+AA263</f>
        <v>0</v>
      </c>
      <c r="AB208" s="450"/>
      <c r="AC208" s="451"/>
      <c r="AD208" s="452"/>
      <c r="AE208" s="480"/>
      <c r="AF208" s="449">
        <f>AF224+AF251+AF257+AF219+AF245+AF230+AF268+AF214+AF240+AF235+AF273+AF263</f>
        <v>0</v>
      </c>
      <c r="AG208" s="450"/>
      <c r="AH208" s="451"/>
      <c r="AI208" s="452"/>
      <c r="AJ208" s="480"/>
      <c r="AK208" s="449">
        <f>AK224+AK251+AK257+AK219+AK245+AK230+AK268+AK214+AK240+AK235+AK273+AK263</f>
        <v>0</v>
      </c>
      <c r="AL208" s="450"/>
      <c r="AM208" s="455"/>
      <c r="AN208" s="452"/>
      <c r="AO208" s="480"/>
      <c r="AP208" s="449">
        <f>AP224+AP251+AP257+AP219+AP245+AP230+AP268+AP214+AP240+AP235+AP273+AP263</f>
        <v>0</v>
      </c>
      <c r="AQ208" s="450"/>
      <c r="AR208" s="451"/>
      <c r="AS208" s="452"/>
      <c r="AT208" s="480"/>
      <c r="AU208" s="449">
        <f>AU224+AU251+AU257+AU219+AU245+AU230+AU268+AU214+AU240+AU235+AU273+AU263</f>
        <v>0</v>
      </c>
      <c r="AV208" s="450"/>
      <c r="AW208" s="451"/>
      <c r="AX208" s="452"/>
      <c r="AY208" s="480"/>
      <c r="AZ208" s="449">
        <f>AZ224+AZ251+AZ257+AZ219+AZ245+AZ230+AZ268+AZ214+AZ240+AZ235+AZ273+AZ263</f>
        <v>0</v>
      </c>
      <c r="BA208" s="450"/>
      <c r="BB208" s="451"/>
      <c r="BC208" s="452"/>
      <c r="BD208" s="480"/>
      <c r="BE208" s="449">
        <f>BE224+BE251+BE257+BE219+BE245+BE230+BE268+BE214+BE240+BE235+BE273+BE263</f>
        <v>0</v>
      </c>
      <c r="BF208" s="450"/>
      <c r="BG208" s="451"/>
      <c r="BH208" s="452"/>
      <c r="BI208" s="480"/>
      <c r="BJ208" s="449">
        <f>BJ224+BJ251+BJ257+BJ219+BJ245+BJ230+BJ268+BJ214+BJ240+BJ235+BJ273+BJ263</f>
        <v>0</v>
      </c>
      <c r="BK208" s="450"/>
      <c r="BL208" s="451"/>
      <c r="BM208" s="452"/>
      <c r="BN208" s="480"/>
      <c r="BO208" s="449">
        <f>BO224+BO251+BO257+BO219+BO245+BO230+BO268+BO214+BO240+BO235+BO273+BO263</f>
        <v>0</v>
      </c>
      <c r="BP208" s="450"/>
      <c r="BQ208" s="451"/>
      <c r="BR208" s="452"/>
      <c r="BS208" s="480"/>
      <c r="BT208" s="449">
        <f>BT224+BT251+BT257+BT219+BT245+BT230+BT268+BT214+BT240+BT235+BT273+BT263</f>
        <v>0</v>
      </c>
      <c r="BU208" s="450"/>
      <c r="BV208" s="451"/>
      <c r="BW208" s="452"/>
      <c r="BX208" s="480"/>
      <c r="BY208" s="449">
        <f>BY224+BY251+BY257+BY219+BY245+BY230+BY268+BY214+BY240+BY235+BY273+BY263</f>
        <v>12883788</v>
      </c>
      <c r="BZ208" s="450"/>
      <c r="CA208" s="451"/>
      <c r="CB208" s="452"/>
      <c r="CC208" s="480"/>
      <c r="CD208" s="449">
        <f>CD224+CD251+CD257+CD219+CD245+CD230+CD268+CD214+CD240+CD235+CD273+CD263</f>
        <v>0</v>
      </c>
      <c r="CE208" s="450"/>
      <c r="CF208" s="451"/>
      <c r="CG208" s="452"/>
      <c r="CH208" s="480"/>
      <c r="CI208" s="449">
        <f>CI224+CI251+CI257+CI219+CI245+CI230+CI268+CI214+CI240+CI235+CI273+CI263</f>
        <v>12883788</v>
      </c>
      <c r="CJ208" s="450"/>
      <c r="CK208" s="451"/>
      <c r="CL208" s="452"/>
      <c r="CM208" s="480"/>
      <c r="CN208" s="449">
        <f>CN224+CN251+CN257+CN219+CN245+CN230+CN268+CN214+CN240+CN235+CN273+CN263</f>
        <v>0</v>
      </c>
      <c r="CO208" s="450"/>
      <c r="CP208" s="451"/>
      <c r="CQ208" s="452"/>
      <c r="CR208" s="480"/>
      <c r="CS208" s="449">
        <f>CS224+CS251+CS257+CS219+CS245+CS230+CS268+CS214+CS240+CS235+CS273+CS263</f>
        <v>0</v>
      </c>
      <c r="CT208" s="450"/>
      <c r="CU208" s="451"/>
      <c r="CV208" s="452"/>
      <c r="CW208" s="480"/>
      <c r="CX208" s="449">
        <f>CX224+CX251+CX257+CX219+CX245+CX230+CX268+CX214+CX240+CX235+CX273+CX263</f>
        <v>0</v>
      </c>
      <c r="CY208" s="450"/>
      <c r="CZ208" s="451"/>
      <c r="DA208" s="452"/>
      <c r="DB208" s="480"/>
      <c r="DC208" s="449">
        <f>DC224+DC251+DC257+DC219+DC245+DC230+DC268+DC214+DC240+DC235+DC273+DC263</f>
        <v>0</v>
      </c>
      <c r="DD208" s="450"/>
      <c r="DE208" s="455"/>
      <c r="DF208" s="452"/>
      <c r="DG208" s="480"/>
      <c r="DH208" s="449">
        <f>DH224+DH251+DH257+DH219+DH245+DH230+DH268+DH214+DH240+DH235+DH273+DH263</f>
        <v>0</v>
      </c>
      <c r="DI208" s="450"/>
      <c r="DJ208" s="451"/>
      <c r="DK208" s="452"/>
      <c r="DL208" s="480"/>
      <c r="DM208" s="449">
        <f>DM224+DM251+DM257+DM219+DM245+DM230+DM268+DM214+DM240+DM235+DM273+DM263</f>
        <v>0</v>
      </c>
      <c r="DN208" s="450"/>
      <c r="DO208" s="451"/>
      <c r="DP208" s="452"/>
      <c r="DQ208" s="480"/>
      <c r="DR208" s="449">
        <f>DR224+DR251+DR257+DR219+DR245+DR230+DR268+DR214+DR240+DR235+DR273+DR263</f>
        <v>0</v>
      </c>
      <c r="DS208" s="450"/>
      <c r="DT208" s="451"/>
      <c r="DU208" s="452"/>
      <c r="DV208" s="480"/>
      <c r="DW208" s="449">
        <f>DW224+DW251+DW257+DW219+DW245+DW230+DW268+DW214+DW240+DW235+DW273+DW263</f>
        <v>0</v>
      </c>
      <c r="DX208" s="450"/>
      <c r="DY208" s="451"/>
      <c r="DZ208" s="452"/>
      <c r="EA208" s="480"/>
      <c r="EB208" s="449">
        <f>EB224+EB251+EB257+EB219+EB245+EB230+EB268+EB214+EB240+EB235+EB273+EB263</f>
        <v>0</v>
      </c>
      <c r="EC208" s="450"/>
      <c r="ED208" s="451"/>
      <c r="EE208" s="452"/>
      <c r="EF208" s="480"/>
      <c r="EG208" s="449">
        <f>EG224+EG251+EG257+EG219+EG245+EG230+EG268+EG214+EG240+EG235+EG273+EG263</f>
        <v>0</v>
      </c>
      <c r="EH208" s="450"/>
      <c r="EI208" s="451"/>
      <c r="EJ208" s="452"/>
      <c r="EK208" s="480"/>
      <c r="EL208" s="449">
        <f>EL224+EL251+EL257+EL219+EL245+EL230+EL268+EL214+EL240+EL235+EL273+EL263</f>
        <v>12883788</v>
      </c>
      <c r="EM208" s="450"/>
      <c r="EN208" s="451"/>
      <c r="EO208" s="13"/>
      <c r="ER208" s="14"/>
      <c r="ES208" s="14"/>
    </row>
    <row r="209" spans="4:149" x14ac:dyDescent="0.2">
      <c r="D209" s="13" t="s">
        <v>349</v>
      </c>
      <c r="E209" s="479"/>
      <c r="F209" s="444"/>
      <c r="G209" s="451">
        <f>G225+G252+G258+G220+G246+G231+G269+G215+G241+G236+G274+G264</f>
        <v>0</v>
      </c>
      <c r="H209" s="455"/>
      <c r="I209" s="451"/>
      <c r="J209" s="452"/>
      <c r="K209" s="444"/>
      <c r="L209" s="451">
        <f>L225+L252+L258+L220+L246+L231+L269+L215+L241+L236+L274+L264</f>
        <v>0</v>
      </c>
      <c r="M209" s="455"/>
      <c r="N209" s="451"/>
      <c r="O209" s="452"/>
      <c r="P209" s="444"/>
      <c r="Q209" s="451">
        <f>Q225+Q252+Q258+Q220+Q246+Q231+Q269+Q215+Q241+Q236+Q274+Q264</f>
        <v>0</v>
      </c>
      <c r="R209" s="455"/>
      <c r="S209" s="451"/>
      <c r="T209" s="452"/>
      <c r="U209" s="444"/>
      <c r="V209" s="451">
        <f>V225+V252+V258+V220+V246+V231+V269+V215+V241+V236+V274+V264</f>
        <v>0</v>
      </c>
      <c r="W209" s="455"/>
      <c r="X209" s="451"/>
      <c r="Y209" s="452"/>
      <c r="Z209" s="444"/>
      <c r="AA209" s="451">
        <f>AA225+AA252+AA258+AA220+AA246+AA231+AA269+AA215+AA241+AA236+AA274+AA264</f>
        <v>0</v>
      </c>
      <c r="AB209" s="455"/>
      <c r="AC209" s="451"/>
      <c r="AD209" s="452"/>
      <c r="AE209" s="444"/>
      <c r="AF209" s="451">
        <f>AF225+AF252+AF258+AF220+AF246+AF231+AF269+AF215+AF241+AF236+AF274+AF264</f>
        <v>0</v>
      </c>
      <c r="AG209" s="455"/>
      <c r="AH209" s="451"/>
      <c r="AI209" s="452"/>
      <c r="AJ209" s="444"/>
      <c r="AK209" s="451">
        <f>AK225+AK252+AK258+AK220+AK246+AK231+AK269+AK215+AK241+AK236+AK274+AK264</f>
        <v>0</v>
      </c>
      <c r="AL209" s="455"/>
      <c r="AM209" s="451"/>
      <c r="AN209" s="452"/>
      <c r="AO209" s="444"/>
      <c r="AP209" s="451">
        <f>AP225+AP252+AP258+AP220+AP246+AP231+AP269+AP215+AP241+AP236+AP274+AP264</f>
        <v>0</v>
      </c>
      <c r="AQ209" s="455"/>
      <c r="AR209" s="451"/>
      <c r="AS209" s="452"/>
      <c r="AT209" s="444"/>
      <c r="AU209" s="451">
        <f>AU225+AU252+AU258+AU220+AU246+AU231+AU269+AU215+AU241+AU236+AU274+AU264</f>
        <v>0</v>
      </c>
      <c r="AV209" s="455"/>
      <c r="AW209" s="451"/>
      <c r="AX209" s="452"/>
      <c r="AY209" s="444"/>
      <c r="AZ209" s="451">
        <f>AZ225+AZ252+AZ258+AZ220+AZ246+AZ231+AZ269+AZ215+AZ241+AZ236+AZ274+AZ264</f>
        <v>0</v>
      </c>
      <c r="BA209" s="455"/>
      <c r="BB209" s="451"/>
      <c r="BC209" s="452"/>
      <c r="BD209" s="444"/>
      <c r="BE209" s="451">
        <f>BE225+BE252+BE258+BE220+BE246+BE231+BE269+BE215+BE241+BE236+BE274+BE264</f>
        <v>0</v>
      </c>
      <c r="BF209" s="455"/>
      <c r="BG209" s="451"/>
      <c r="BH209" s="452"/>
      <c r="BI209" s="444"/>
      <c r="BJ209" s="451">
        <f>BJ225+BJ252+BJ258+BJ220+BJ246+BJ231+BJ269+BJ215+BJ241+BJ236+BJ274+BJ264</f>
        <v>0</v>
      </c>
      <c r="BK209" s="455"/>
      <c r="BL209" s="451"/>
      <c r="BM209" s="452"/>
      <c r="BN209" s="444"/>
      <c r="BO209" s="451">
        <f>BO225+BO252+BO258+BO220+BO246+BO231+BO269+BO215+BO241+BO236+BO274+BO264</f>
        <v>0</v>
      </c>
      <c r="BP209" s="455"/>
      <c r="BQ209" s="451"/>
      <c r="BR209" s="452"/>
      <c r="BS209" s="444"/>
      <c r="BT209" s="451">
        <f>BT225+BT252+BT258+BT220+BT246+BT231+BT269+BT215+BT241+BT236+BT274+BT264</f>
        <v>0</v>
      </c>
      <c r="BU209" s="455"/>
      <c r="BV209" s="451"/>
      <c r="BW209" s="452"/>
      <c r="BX209" s="444"/>
      <c r="BY209" s="451">
        <f>BY225+BY252+BY258+BY220+BY246+BY231+BY269+BY215+BY241+BY236+BY274+BY264</f>
        <v>1646946</v>
      </c>
      <c r="BZ209" s="455"/>
      <c r="CA209" s="451"/>
      <c r="CB209" s="452"/>
      <c r="CC209" s="444"/>
      <c r="CD209" s="451">
        <f>CD225+CD252+CD258+CD220+CD246+CD231+CD269+CD215+CD241+CD236+CD274+CD264</f>
        <v>0</v>
      </c>
      <c r="CE209" s="455"/>
      <c r="CF209" s="451"/>
      <c r="CG209" s="452"/>
      <c r="CH209" s="444"/>
      <c r="CI209" s="451">
        <f>CI225+CI252+CI258+CI220+CI246+CI231+CI269+CI215+CI241+CI236+CI274+CI264</f>
        <v>1646946</v>
      </c>
      <c r="CJ209" s="455"/>
      <c r="CK209" s="451"/>
      <c r="CL209" s="452"/>
      <c r="CM209" s="444"/>
      <c r="CN209" s="451">
        <f>CN225+CN252+CN258+CN220+CN246+CN231+CN269+CN215+CN241+CN236+CN274+CN264</f>
        <v>0</v>
      </c>
      <c r="CO209" s="455"/>
      <c r="CP209" s="451"/>
      <c r="CQ209" s="452"/>
      <c r="CR209" s="444"/>
      <c r="CS209" s="451">
        <f>CS225+CS252+CS258+CS220+CS246+CS231+CS269+CS215+CS241+CS236+CS274+CS264</f>
        <v>0</v>
      </c>
      <c r="CT209" s="455"/>
      <c r="CU209" s="451"/>
      <c r="CV209" s="452"/>
      <c r="CW209" s="444"/>
      <c r="CX209" s="451">
        <f>CX225+CX252+CX258+CX220+CX246+CX231+CX269+CX215+CX241+CX236+CX274+CX264</f>
        <v>0</v>
      </c>
      <c r="CY209" s="455"/>
      <c r="CZ209" s="451"/>
      <c r="DA209" s="452"/>
      <c r="DB209" s="444"/>
      <c r="DC209" s="451">
        <f>DC225+DC252+DC258+DC220+DC246+DC231+DC269+DC215+DC241+DC236+DC274+DC264</f>
        <v>0</v>
      </c>
      <c r="DD209" s="455"/>
      <c r="DE209" s="451"/>
      <c r="DF209" s="452"/>
      <c r="DG209" s="444"/>
      <c r="DH209" s="451">
        <f>DH225+DH252+DH258+DH220+DH246+DH231+DH269+DH215+DH241+DH236+DH274+DH264</f>
        <v>0</v>
      </c>
      <c r="DI209" s="455"/>
      <c r="DJ209" s="451"/>
      <c r="DK209" s="452"/>
      <c r="DL209" s="444"/>
      <c r="DM209" s="451">
        <f>DM225+DM252+DM258+DM220+DM246+DM231+DM269+DM215+DM241+DM236+DM274+DM264</f>
        <v>0</v>
      </c>
      <c r="DN209" s="455"/>
      <c r="DO209" s="451"/>
      <c r="DP209" s="452"/>
      <c r="DQ209" s="444"/>
      <c r="DR209" s="451">
        <f>DR225+DR252+DR258+DR220+DR246+DR231+DR269+DR215+DR241+DR236+DR274+DR264</f>
        <v>0</v>
      </c>
      <c r="DS209" s="455"/>
      <c r="DT209" s="451"/>
      <c r="DU209" s="452"/>
      <c r="DV209" s="444"/>
      <c r="DW209" s="451">
        <f>DW225+DW252+DW258+DW220+DW246+DW231+DW269+DW215+DW241+DW236+DW274+DW264</f>
        <v>0</v>
      </c>
      <c r="DX209" s="455"/>
      <c r="DY209" s="451"/>
      <c r="DZ209" s="452"/>
      <c r="EA209" s="444"/>
      <c r="EB209" s="451">
        <f>EB225+EB252+EB258+EB220+EB246+EB231+EB269+EB215+EB241+EB236+EB274+EB264</f>
        <v>0</v>
      </c>
      <c r="EC209" s="455"/>
      <c r="ED209" s="451"/>
      <c r="EE209" s="452"/>
      <c r="EF209" s="444"/>
      <c r="EG209" s="451">
        <f>EG225+EG252+EG258+EG220+EG246+EG231+EG269+EG215+EG241+EG236+EG274+EG264</f>
        <v>0</v>
      </c>
      <c r="EH209" s="455"/>
      <c r="EI209" s="451"/>
      <c r="EJ209" s="452"/>
      <c r="EK209" s="444"/>
      <c r="EL209" s="451">
        <f>EL225+EL252+EL258+EL220+EL246+EL231+EL269+EL215+EL241+EL236+EL274+EL264</f>
        <v>1646946</v>
      </c>
      <c r="EM209" s="455"/>
      <c r="EN209" s="451"/>
      <c r="EO209" s="13"/>
      <c r="ER209" s="14"/>
      <c r="ES209" s="14"/>
    </row>
    <row r="210" spans="4:149" x14ac:dyDescent="0.2">
      <c r="D210" s="13" t="s">
        <v>357</v>
      </c>
      <c r="E210" s="479"/>
      <c r="F210" s="444"/>
      <c r="G210" s="451">
        <f>G226+G253+G259+G221+G247+G232+G270+G216+G242+G237+G275+G265</f>
        <v>0</v>
      </c>
      <c r="H210" s="455"/>
      <c r="I210" s="451"/>
      <c r="J210" s="452"/>
      <c r="K210" s="444"/>
      <c r="L210" s="451">
        <f>L226+L253+L259+L221+L247+L232+L270+L216+L242+L237+L275+L265</f>
        <v>0</v>
      </c>
      <c r="M210" s="455"/>
      <c r="N210" s="451"/>
      <c r="O210" s="452"/>
      <c r="P210" s="444"/>
      <c r="Q210" s="451">
        <f>Q226+Q253+Q259+Q221+Q247+Q232+Q270+Q216+Q242+Q237+Q275+Q265</f>
        <v>0</v>
      </c>
      <c r="R210" s="455"/>
      <c r="S210" s="451"/>
      <c r="T210" s="452"/>
      <c r="U210" s="444"/>
      <c r="V210" s="451">
        <f>V226+V253+V259+V221+V247+V232+V270+V216+V242+V237+V275+V265</f>
        <v>0</v>
      </c>
      <c r="W210" s="455"/>
      <c r="X210" s="451"/>
      <c r="Y210" s="452"/>
      <c r="Z210" s="444"/>
      <c r="AA210" s="451">
        <f>AA226+AA253+AA259+AA221+AA247+AA232+AA270+AA216+AA242+AA237+AA275+AA265</f>
        <v>0</v>
      </c>
      <c r="AB210" s="455"/>
      <c r="AC210" s="451"/>
      <c r="AD210" s="452"/>
      <c r="AE210" s="444"/>
      <c r="AF210" s="451">
        <f>AF226+AF253+AF259+AF221+AF247+AF232+AF270+AF216+AF242+AF237+AF275+AF265</f>
        <v>0</v>
      </c>
      <c r="AG210" s="455"/>
      <c r="AH210" s="451"/>
      <c r="AI210" s="452"/>
      <c r="AJ210" s="444"/>
      <c r="AK210" s="451">
        <f>AK226+AK253+AK259+AK221+AK247+AK232+AK270+AK216+AK242+AK237+AK275+AK265</f>
        <v>0</v>
      </c>
      <c r="AL210" s="455"/>
      <c r="AM210" s="451"/>
      <c r="AN210" s="452"/>
      <c r="AO210" s="444"/>
      <c r="AP210" s="451">
        <f>AP226+AP253+AP259+AP221+AP247+AP232+AP270+AP216+AP242+AP237+AP275+AP265</f>
        <v>0</v>
      </c>
      <c r="AQ210" s="455"/>
      <c r="AR210" s="451"/>
      <c r="AS210" s="452"/>
      <c r="AT210" s="444"/>
      <c r="AU210" s="451">
        <f>AU226+AU253+AU259+AU221+AU247+AU232+AU270+AU216+AU242+AU237+AU275+AU265</f>
        <v>0</v>
      </c>
      <c r="AV210" s="455"/>
      <c r="AW210" s="451"/>
      <c r="AX210" s="452"/>
      <c r="AY210" s="444"/>
      <c r="AZ210" s="451">
        <f>AZ226+AZ253+AZ259+AZ221+AZ247+AZ232+AZ270+AZ216+AZ242+AZ237+AZ275+AZ265</f>
        <v>0</v>
      </c>
      <c r="BA210" s="455"/>
      <c r="BB210" s="451"/>
      <c r="BC210" s="452"/>
      <c r="BD210" s="444"/>
      <c r="BE210" s="451">
        <f>BE226+BE253+BE259+BE221+BE247+BE232+BE270+BE216+BE242+BE237+BE275+BE265</f>
        <v>0</v>
      </c>
      <c r="BF210" s="455"/>
      <c r="BG210" s="451"/>
      <c r="BH210" s="452"/>
      <c r="BI210" s="444"/>
      <c r="BJ210" s="451">
        <f>BJ226+BJ253+BJ259+BJ221+BJ247+BJ232+BJ270+BJ216+BJ242+BJ237+BJ275+BJ265</f>
        <v>0</v>
      </c>
      <c r="BK210" s="455"/>
      <c r="BL210" s="451"/>
      <c r="BM210" s="452"/>
      <c r="BN210" s="444"/>
      <c r="BO210" s="451">
        <f>BO226+BO253+BO259+BO221+BO247+BO232+BO270+BO216+BO242+BO237+BO275+BO265</f>
        <v>0</v>
      </c>
      <c r="BP210" s="455"/>
      <c r="BQ210" s="451"/>
      <c r="BR210" s="452"/>
      <c r="BS210" s="444"/>
      <c r="BT210" s="451">
        <f>BT226+BT253+BT259+BT221+BT247+BT232+BT270+BT216+BT242+BT237+BT275+BT265</f>
        <v>0</v>
      </c>
      <c r="BU210" s="455"/>
      <c r="BV210" s="451"/>
      <c r="BW210" s="452"/>
      <c r="BX210" s="444"/>
      <c r="BY210" s="451">
        <f>BY226+BY253+BY259+BY221+BY247+BY232+BY270+BY216+BY242+BY237+BY275+BY265</f>
        <v>-378078</v>
      </c>
      <c r="BZ210" s="455"/>
      <c r="CA210" s="451"/>
      <c r="CB210" s="452"/>
      <c r="CC210" s="444"/>
      <c r="CD210" s="451">
        <f>CD226+CD253+CD259+CD221+CD247+CD232+CD270+CD216+CD242+CD237+CD275+CD265</f>
        <v>0</v>
      </c>
      <c r="CE210" s="455"/>
      <c r="CF210" s="451"/>
      <c r="CG210" s="452"/>
      <c r="CH210" s="444"/>
      <c r="CI210" s="451">
        <f>CI226+CI253+CI259+CI221+CI247+CI232+CI270+CI216+CI242+CI237+CI275+CI265</f>
        <v>-378078</v>
      </c>
      <c r="CJ210" s="455"/>
      <c r="CK210" s="451"/>
      <c r="CL210" s="452"/>
      <c r="CM210" s="444"/>
      <c r="CN210" s="451">
        <f>CN226+CN253+CN259+CN221+CN247+CN232+CN270+CN216+CN242+CN237+CN275+CN265</f>
        <v>0</v>
      </c>
      <c r="CO210" s="455"/>
      <c r="CP210" s="451"/>
      <c r="CQ210" s="452"/>
      <c r="CR210" s="444"/>
      <c r="CS210" s="451">
        <f>CS226+CS253+CS259+CS221+CS247+CS232+CS270+CS216+CS242+CS237+CS275+CS265</f>
        <v>0</v>
      </c>
      <c r="CT210" s="455"/>
      <c r="CU210" s="451"/>
      <c r="CV210" s="452"/>
      <c r="CW210" s="444"/>
      <c r="CX210" s="451">
        <f>CX226+CX253+CX259+CX221+CX247+CX232+CX270+CX216+CX242+CX237+CX275+CX265</f>
        <v>0</v>
      </c>
      <c r="CY210" s="455"/>
      <c r="CZ210" s="451"/>
      <c r="DA210" s="452"/>
      <c r="DB210" s="444"/>
      <c r="DC210" s="451">
        <f>DC226+DC253+DC259+DC221+DC247+DC232+DC270+DC216+DC242+DC237+DC275+DC265</f>
        <v>0</v>
      </c>
      <c r="DD210" s="455"/>
      <c r="DE210" s="451"/>
      <c r="DF210" s="452"/>
      <c r="DG210" s="444"/>
      <c r="DH210" s="451">
        <f>DH226+DH253+DH259+DH221+DH247+DH232+DH270+DH216+DH242+DH237+DH275+DH265</f>
        <v>0</v>
      </c>
      <c r="DI210" s="455"/>
      <c r="DJ210" s="451"/>
      <c r="DK210" s="452"/>
      <c r="DL210" s="444"/>
      <c r="DM210" s="451">
        <f>DM226+DM253+DM259+DM221+DM247+DM232+DM270+DM216+DM242+DM237+DM275+DM265</f>
        <v>0</v>
      </c>
      <c r="DN210" s="455"/>
      <c r="DO210" s="451"/>
      <c r="DP210" s="452"/>
      <c r="DQ210" s="444"/>
      <c r="DR210" s="451">
        <f>DR226+DR253+DR259+DR221+DR247+DR232+DR270+DR216+DR242+DR237+DR275+DR265</f>
        <v>0</v>
      </c>
      <c r="DS210" s="455"/>
      <c r="DT210" s="451"/>
      <c r="DU210" s="452"/>
      <c r="DV210" s="444"/>
      <c r="DW210" s="451">
        <f>DW226+DW253+DW259+DW221+DW247+DW232+DW270+DW216+DW242+DW237+DW275+DW265</f>
        <v>0</v>
      </c>
      <c r="DX210" s="455"/>
      <c r="DY210" s="451"/>
      <c r="DZ210" s="452"/>
      <c r="EA210" s="444"/>
      <c r="EB210" s="451">
        <f>EB226+EB253+EB259+EB221+EB247+EB232+EB270+EB216+EB242+EB237+EB275+EB265</f>
        <v>0</v>
      </c>
      <c r="EC210" s="455"/>
      <c r="ED210" s="451"/>
      <c r="EE210" s="452"/>
      <c r="EF210" s="444"/>
      <c r="EG210" s="451">
        <f>EG226+EG253+EG259+EG221+EG247+EG232+EG270+EG216+EG242+EG237+EG275+EG265</f>
        <v>0</v>
      </c>
      <c r="EH210" s="455"/>
      <c r="EI210" s="451"/>
      <c r="EJ210" s="452"/>
      <c r="EK210" s="444"/>
      <c r="EL210" s="451">
        <f>EL226+EL253+EL259+EL221+EL247+EL232+EL270+EL216+EL242+EL237+EL275+EL265</f>
        <v>-378078</v>
      </c>
      <c r="EM210" s="455"/>
      <c r="EN210" s="451"/>
      <c r="EO210" s="13"/>
      <c r="ER210" s="14"/>
      <c r="ES210" s="14"/>
    </row>
    <row r="211" spans="4:149" x14ac:dyDescent="0.2">
      <c r="D211" s="13" t="s">
        <v>351</v>
      </c>
      <c r="E211" s="479"/>
      <c r="F211" s="482"/>
      <c r="G211" s="463">
        <f>G227+G254+G260+G248</f>
        <v>0</v>
      </c>
      <c r="H211" s="464"/>
      <c r="I211" s="451"/>
      <c r="J211" s="452"/>
      <c r="K211" s="482"/>
      <c r="L211" s="463">
        <f>L227+L254+L260+L248</f>
        <v>0</v>
      </c>
      <c r="M211" s="464"/>
      <c r="N211" s="451"/>
      <c r="O211" s="452"/>
      <c r="P211" s="482"/>
      <c r="Q211" s="463">
        <f>Q227+Q254+Q260+Q248</f>
        <v>0</v>
      </c>
      <c r="R211" s="464"/>
      <c r="S211" s="451"/>
      <c r="T211" s="452"/>
      <c r="U211" s="482"/>
      <c r="V211" s="463">
        <f>V227+V254+V260+V248</f>
        <v>0</v>
      </c>
      <c r="W211" s="464"/>
      <c r="X211" s="451"/>
      <c r="Y211" s="452"/>
      <c r="Z211" s="482"/>
      <c r="AA211" s="463">
        <f>AA227+AA254+AA260+AA248</f>
        <v>0</v>
      </c>
      <c r="AB211" s="464"/>
      <c r="AC211" s="451"/>
      <c r="AD211" s="452"/>
      <c r="AE211" s="482"/>
      <c r="AF211" s="463">
        <f>AF227+AF254+AF260+AF248</f>
        <v>0</v>
      </c>
      <c r="AG211" s="464"/>
      <c r="AH211" s="451"/>
      <c r="AI211" s="452"/>
      <c r="AJ211" s="482"/>
      <c r="AK211" s="463">
        <f>AK227+AK254+AK260+AK248</f>
        <v>0</v>
      </c>
      <c r="AL211" s="464"/>
      <c r="AM211" s="451"/>
      <c r="AN211" s="452"/>
      <c r="AO211" s="482"/>
      <c r="AP211" s="463">
        <f>AP227+AP254+AP260+AP248</f>
        <v>0</v>
      </c>
      <c r="AQ211" s="464"/>
      <c r="AR211" s="451"/>
      <c r="AS211" s="452"/>
      <c r="AT211" s="482"/>
      <c r="AU211" s="463">
        <f>AU227+AU254+AU260+AU248</f>
        <v>0</v>
      </c>
      <c r="AV211" s="464"/>
      <c r="AW211" s="451"/>
      <c r="AX211" s="452"/>
      <c r="AY211" s="482"/>
      <c r="AZ211" s="463">
        <f>AZ227+AZ254+AZ260+AZ248</f>
        <v>0</v>
      </c>
      <c r="BA211" s="464"/>
      <c r="BB211" s="451"/>
      <c r="BC211" s="452"/>
      <c r="BD211" s="482"/>
      <c r="BE211" s="463">
        <f>BE227+BE254+BE260+BE248</f>
        <v>0</v>
      </c>
      <c r="BF211" s="464"/>
      <c r="BG211" s="451"/>
      <c r="BH211" s="452"/>
      <c r="BI211" s="482"/>
      <c r="BJ211" s="463">
        <f>BJ227+BJ254+BJ260+BJ248</f>
        <v>0</v>
      </c>
      <c r="BK211" s="464"/>
      <c r="BL211" s="451"/>
      <c r="BM211" s="452"/>
      <c r="BN211" s="482"/>
      <c r="BO211" s="463">
        <f>BO227+BO254+BO260+BO248</f>
        <v>0</v>
      </c>
      <c r="BP211" s="464"/>
      <c r="BQ211" s="451"/>
      <c r="BR211" s="452"/>
      <c r="BS211" s="482"/>
      <c r="BT211" s="463">
        <f>BT227+BT254+BT260+BT248</f>
        <v>0</v>
      </c>
      <c r="BU211" s="464"/>
      <c r="BV211" s="451"/>
      <c r="BW211" s="452"/>
      <c r="BX211" s="482"/>
      <c r="BY211" s="463">
        <f>BY227+BY254+BY260+BY248</f>
        <v>0</v>
      </c>
      <c r="BZ211" s="464"/>
      <c r="CA211" s="451"/>
      <c r="CB211" s="452"/>
      <c r="CC211" s="482"/>
      <c r="CD211" s="463">
        <f>CD227+CD254+CD260+CD248</f>
        <v>0</v>
      </c>
      <c r="CE211" s="464"/>
      <c r="CF211" s="451"/>
      <c r="CG211" s="452"/>
      <c r="CH211" s="482"/>
      <c r="CI211" s="463">
        <f>CI227+CI254+CI260+CI248</f>
        <v>0</v>
      </c>
      <c r="CJ211" s="464"/>
      <c r="CK211" s="451"/>
      <c r="CL211" s="452"/>
      <c r="CM211" s="482"/>
      <c r="CN211" s="463">
        <f>CN227+CN254+CN260+CN248</f>
        <v>0</v>
      </c>
      <c r="CO211" s="464"/>
      <c r="CP211" s="451"/>
      <c r="CQ211" s="452"/>
      <c r="CR211" s="482"/>
      <c r="CS211" s="463">
        <f>CS227+CS254+CS260+CS248</f>
        <v>0</v>
      </c>
      <c r="CT211" s="464"/>
      <c r="CU211" s="451"/>
      <c r="CV211" s="452"/>
      <c r="CW211" s="482"/>
      <c r="CX211" s="463">
        <f>CX227+CX254+CX260+CX248</f>
        <v>0</v>
      </c>
      <c r="CY211" s="464"/>
      <c r="CZ211" s="451"/>
      <c r="DA211" s="452"/>
      <c r="DB211" s="482"/>
      <c r="DC211" s="463">
        <f>DC227+DC254+DC260+DC248</f>
        <v>0</v>
      </c>
      <c r="DD211" s="464"/>
      <c r="DE211" s="451"/>
      <c r="DF211" s="452"/>
      <c r="DG211" s="482"/>
      <c r="DH211" s="463">
        <f>DH227+DH254+DH260+DH248</f>
        <v>0</v>
      </c>
      <c r="DI211" s="464"/>
      <c r="DJ211" s="451"/>
      <c r="DK211" s="452"/>
      <c r="DL211" s="482"/>
      <c r="DM211" s="463">
        <f>DM227+DM254+DM260+DM248</f>
        <v>0</v>
      </c>
      <c r="DN211" s="464"/>
      <c r="DO211" s="451"/>
      <c r="DP211" s="452"/>
      <c r="DQ211" s="482"/>
      <c r="DR211" s="463">
        <f>DR227+DR254+DR260+DR248</f>
        <v>0</v>
      </c>
      <c r="DS211" s="464"/>
      <c r="DT211" s="451"/>
      <c r="DU211" s="452"/>
      <c r="DV211" s="482"/>
      <c r="DW211" s="463">
        <f>DW227+DW254+DW260+DW248</f>
        <v>0</v>
      </c>
      <c r="DX211" s="464"/>
      <c r="DY211" s="451"/>
      <c r="DZ211" s="452"/>
      <c r="EA211" s="482"/>
      <c r="EB211" s="463">
        <f>EB227+EB254+EB260+EB248</f>
        <v>0</v>
      </c>
      <c r="EC211" s="464"/>
      <c r="ED211" s="451"/>
      <c r="EE211" s="452"/>
      <c r="EF211" s="482"/>
      <c r="EG211" s="463">
        <f>EG227+EG254+EG260+EG248</f>
        <v>0</v>
      </c>
      <c r="EH211" s="464"/>
      <c r="EI211" s="451"/>
      <c r="EJ211" s="452"/>
      <c r="EK211" s="482"/>
      <c r="EL211" s="463">
        <f>EL227+EL254+EL260+EL248</f>
        <v>0</v>
      </c>
      <c r="EM211" s="464"/>
      <c r="EN211" s="451"/>
      <c r="EO211" s="13"/>
      <c r="ER211" s="14"/>
      <c r="ES211" s="14"/>
    </row>
    <row r="212" spans="4:149" x14ac:dyDescent="0.2">
      <c r="D212" s="13"/>
      <c r="E212" s="479"/>
      <c r="F212" s="188"/>
      <c r="G212" s="451"/>
      <c r="H212" s="451"/>
      <c r="I212" s="451"/>
      <c r="J212" s="452"/>
      <c r="K212" s="188"/>
      <c r="L212" s="451"/>
      <c r="M212" s="451"/>
      <c r="N212" s="451"/>
      <c r="O212" s="452"/>
      <c r="P212" s="188"/>
      <c r="Q212" s="451"/>
      <c r="R212" s="451"/>
      <c r="S212" s="451"/>
      <c r="T212" s="452"/>
      <c r="U212" s="188"/>
      <c r="V212" s="451"/>
      <c r="W212" s="451"/>
      <c r="X212" s="451"/>
      <c r="Y212" s="452"/>
      <c r="Z212" s="188"/>
      <c r="AA212" s="451"/>
      <c r="AB212" s="451"/>
      <c r="AC212" s="451"/>
      <c r="AD212" s="452"/>
      <c r="AE212" s="188"/>
      <c r="AF212" s="451"/>
      <c r="AG212" s="451"/>
      <c r="AH212" s="451"/>
      <c r="AI212" s="452"/>
      <c r="AJ212" s="188"/>
      <c r="AK212" s="451"/>
      <c r="AL212" s="451"/>
      <c r="AM212" s="451"/>
      <c r="AN212" s="452"/>
      <c r="AO212" s="188"/>
      <c r="AP212" s="451"/>
      <c r="AQ212" s="451"/>
      <c r="AR212" s="451"/>
      <c r="AS212" s="452"/>
      <c r="AT212" s="188"/>
      <c r="AU212" s="451"/>
      <c r="AV212" s="451"/>
      <c r="AW212" s="451"/>
      <c r="AX212" s="452"/>
      <c r="AY212" s="188"/>
      <c r="AZ212" s="451"/>
      <c r="BA212" s="451"/>
      <c r="BB212" s="451"/>
      <c r="BC212" s="452"/>
      <c r="BD212" s="188"/>
      <c r="BE212" s="451"/>
      <c r="BF212" s="451"/>
      <c r="BG212" s="451"/>
      <c r="BH212" s="452"/>
      <c r="BI212" s="188"/>
      <c r="BJ212" s="451"/>
      <c r="BK212" s="451"/>
      <c r="BL212" s="451"/>
      <c r="BM212" s="452"/>
      <c r="BN212" s="188"/>
      <c r="BO212" s="451"/>
      <c r="BP212" s="451"/>
      <c r="BQ212" s="451"/>
      <c r="BR212" s="452"/>
      <c r="BS212" s="188"/>
      <c r="BT212" s="451"/>
      <c r="BU212" s="451"/>
      <c r="BV212" s="451"/>
      <c r="BW212" s="452"/>
      <c r="BX212" s="188"/>
      <c r="BY212" s="451"/>
      <c r="BZ212" s="451"/>
      <c r="CA212" s="451"/>
      <c r="CB212" s="452"/>
      <c r="CC212" s="188"/>
      <c r="CD212" s="451"/>
      <c r="CE212" s="451"/>
      <c r="CF212" s="451"/>
      <c r="CG212" s="452"/>
      <c r="CH212" s="188"/>
      <c r="CI212" s="451"/>
      <c r="CJ212" s="451"/>
      <c r="CK212" s="451"/>
      <c r="CL212" s="452"/>
      <c r="CM212" s="188"/>
      <c r="CN212" s="451"/>
      <c r="CO212" s="451"/>
      <c r="CP212" s="451"/>
      <c r="CQ212" s="452"/>
      <c r="CR212" s="188"/>
      <c r="CS212" s="451"/>
      <c r="CT212" s="451"/>
      <c r="CU212" s="451"/>
      <c r="CV212" s="452"/>
      <c r="CW212" s="188"/>
      <c r="CX212" s="451"/>
      <c r="CY212" s="451"/>
      <c r="CZ212" s="451"/>
      <c r="DA212" s="452"/>
      <c r="DB212" s="188"/>
      <c r="DC212" s="451"/>
      <c r="DD212" s="451"/>
      <c r="DE212" s="451"/>
      <c r="DF212" s="452"/>
      <c r="DG212" s="188"/>
      <c r="DH212" s="451"/>
      <c r="DI212" s="451"/>
      <c r="DJ212" s="451"/>
      <c r="DK212" s="452"/>
      <c r="DL212" s="188"/>
      <c r="DM212" s="451"/>
      <c r="DN212" s="451"/>
      <c r="DO212" s="451"/>
      <c r="DP212" s="452"/>
      <c r="DQ212" s="188"/>
      <c r="DR212" s="451"/>
      <c r="DS212" s="451"/>
      <c r="DT212" s="451"/>
      <c r="DU212" s="452"/>
      <c r="DV212" s="188"/>
      <c r="DW212" s="451"/>
      <c r="DX212" s="451"/>
      <c r="DY212" s="451"/>
      <c r="DZ212" s="452"/>
      <c r="EA212" s="188"/>
      <c r="EB212" s="451"/>
      <c r="EC212" s="451"/>
      <c r="ED212" s="451"/>
      <c r="EE212" s="452"/>
      <c r="EF212" s="188"/>
      <c r="EG212" s="451"/>
      <c r="EH212" s="451"/>
      <c r="EI212" s="451"/>
      <c r="EJ212" s="452"/>
      <c r="EK212" s="188"/>
      <c r="EL212" s="451"/>
      <c r="EM212" s="451"/>
      <c r="EN212" s="451"/>
      <c r="EO212" s="13"/>
      <c r="ER212" s="14"/>
      <c r="ES212" s="14"/>
    </row>
    <row r="213" spans="4:149" x14ac:dyDescent="0.2">
      <c r="D213" s="13" t="s">
        <v>403</v>
      </c>
      <c r="G213" s="451">
        <f>SUM(G214:G216)</f>
        <v>0</v>
      </c>
      <c r="H213" s="451"/>
      <c r="I213" s="451"/>
      <c r="J213" s="452"/>
      <c r="K213" s="451"/>
      <c r="L213" s="451">
        <f>SUM(L214:L216)</f>
        <v>0</v>
      </c>
      <c r="M213" s="451"/>
      <c r="N213" s="451"/>
      <c r="O213" s="452"/>
      <c r="P213" s="451"/>
      <c r="Q213" s="451">
        <f>SUM(Q214:Q216)</f>
        <v>0</v>
      </c>
      <c r="R213" s="451"/>
      <c r="S213" s="451"/>
      <c r="T213" s="452"/>
      <c r="U213" s="451"/>
      <c r="V213" s="451">
        <f>SUM(V214:V216)</f>
        <v>0</v>
      </c>
      <c r="W213" s="451"/>
      <c r="X213" s="451"/>
      <c r="Y213" s="452"/>
      <c r="Z213" s="451"/>
      <c r="AA213" s="451">
        <f>SUM(AA214:AA216)</f>
        <v>0</v>
      </c>
      <c r="AB213" s="451"/>
      <c r="AC213" s="451"/>
      <c r="AD213" s="452"/>
      <c r="AE213" s="451"/>
      <c r="AF213" s="451">
        <f>SUM(AF214:AF216)</f>
        <v>0</v>
      </c>
      <c r="AG213" s="451"/>
      <c r="AH213" s="451"/>
      <c r="AI213" s="452"/>
      <c r="AJ213" s="451"/>
      <c r="AK213" s="451">
        <f>SUM(AK214:AK216)</f>
        <v>0</v>
      </c>
      <c r="AL213" s="451"/>
      <c r="AM213" s="451"/>
      <c r="AN213" s="452"/>
      <c r="AO213" s="451"/>
      <c r="AP213" s="451">
        <f>SUM(AP214:AP216)</f>
        <v>0</v>
      </c>
      <c r="AQ213" s="451"/>
      <c r="AR213" s="451"/>
      <c r="AS213" s="452"/>
      <c r="AT213" s="451"/>
      <c r="AU213" s="451">
        <f>SUM(AU214:AU216)</f>
        <v>0</v>
      </c>
      <c r="AV213" s="451"/>
      <c r="AW213" s="451"/>
      <c r="AX213" s="452"/>
      <c r="AY213" s="451"/>
      <c r="AZ213" s="451">
        <f>SUM(AZ214:AZ216)</f>
        <v>0</v>
      </c>
      <c r="BA213" s="451"/>
      <c r="BB213" s="451"/>
      <c r="BC213" s="452"/>
      <c r="BD213" s="451"/>
      <c r="BE213" s="451">
        <f>SUM(BE214:BE216)</f>
        <v>0</v>
      </c>
      <c r="BF213" s="451"/>
      <c r="BG213" s="451"/>
      <c r="BH213" s="452"/>
      <c r="BI213" s="451"/>
      <c r="BJ213" s="451">
        <f>SUM(BJ214:BJ216)</f>
        <v>0</v>
      </c>
      <c r="BK213" s="451"/>
      <c r="BL213" s="451"/>
      <c r="BM213" s="452"/>
      <c r="BN213" s="451"/>
      <c r="BO213" s="451">
        <f>SUM(BO214:BO216)</f>
        <v>0</v>
      </c>
      <c r="BP213" s="451"/>
      <c r="BQ213" s="451"/>
      <c r="BR213" s="452"/>
      <c r="BS213" s="451"/>
      <c r="BT213" s="451">
        <f>SUM(BT214:BT216)</f>
        <v>0</v>
      </c>
      <c r="BU213" s="451"/>
      <c r="BV213" s="451"/>
      <c r="BW213" s="452"/>
      <c r="BX213" s="451"/>
      <c r="BY213" s="451">
        <f>SUM(BY214:BY216)</f>
        <v>975324</v>
      </c>
      <c r="BZ213" s="451"/>
      <c r="CA213" s="451"/>
      <c r="CB213" s="452"/>
      <c r="CC213" s="451"/>
      <c r="CD213" s="451">
        <f>SUM(CD214:CD216)</f>
        <v>0</v>
      </c>
      <c r="CE213" s="451"/>
      <c r="CF213" s="451"/>
      <c r="CG213" s="452"/>
      <c r="CH213" s="451"/>
      <c r="CI213" s="451">
        <f>SUM(CI214:CI216)</f>
        <v>975324</v>
      </c>
      <c r="CJ213" s="451"/>
      <c r="CK213" s="451"/>
      <c r="CL213" s="452"/>
      <c r="CM213" s="451"/>
      <c r="CN213" s="451">
        <f>SUM(CN214:CN216)</f>
        <v>0</v>
      </c>
      <c r="CO213" s="451"/>
      <c r="CP213" s="451"/>
      <c r="CQ213" s="452"/>
      <c r="CR213" s="451"/>
      <c r="CS213" s="451">
        <f>SUM(CS214:CS216)</f>
        <v>0</v>
      </c>
      <c r="CT213" s="451"/>
      <c r="CU213" s="451"/>
      <c r="CV213" s="452"/>
      <c r="CW213" s="451"/>
      <c r="CX213" s="451">
        <f>SUM(CX214:CX216)</f>
        <v>0</v>
      </c>
      <c r="CY213" s="451"/>
      <c r="CZ213" s="451"/>
      <c r="DA213" s="452"/>
      <c r="DB213" s="451"/>
      <c r="DC213" s="451">
        <f>SUM(DC214:DC216)</f>
        <v>0</v>
      </c>
      <c r="DD213" s="451"/>
      <c r="DE213" s="451"/>
      <c r="DF213" s="452"/>
      <c r="DG213" s="451"/>
      <c r="DH213" s="451">
        <f>SUM(DH214:DH216)</f>
        <v>0</v>
      </c>
      <c r="DI213" s="451"/>
      <c r="DJ213" s="451"/>
      <c r="DK213" s="452"/>
      <c r="DL213" s="451"/>
      <c r="DM213" s="451">
        <f>SUM(DM214:DM216)</f>
        <v>0</v>
      </c>
      <c r="DN213" s="451"/>
      <c r="DO213" s="451"/>
      <c r="DP213" s="452"/>
      <c r="DQ213" s="451"/>
      <c r="DR213" s="451">
        <f>SUM(DR214:DR216)</f>
        <v>0</v>
      </c>
      <c r="DS213" s="451"/>
      <c r="DT213" s="451"/>
      <c r="DU213" s="452"/>
      <c r="DV213" s="451"/>
      <c r="DW213" s="451">
        <f>SUM(DW214:DW216)</f>
        <v>0</v>
      </c>
      <c r="DX213" s="451"/>
      <c r="DY213" s="451"/>
      <c r="DZ213" s="452"/>
      <c r="EA213" s="451"/>
      <c r="EB213" s="451">
        <f>SUM(EB214:EB216)</f>
        <v>0</v>
      </c>
      <c r="EC213" s="451"/>
      <c r="ED213" s="451"/>
      <c r="EE213" s="452"/>
      <c r="EF213" s="451"/>
      <c r="EG213" s="451">
        <f>SUM(EG214:EG216)</f>
        <v>0</v>
      </c>
      <c r="EH213" s="451"/>
      <c r="EI213" s="451"/>
      <c r="EJ213" s="452"/>
      <c r="EK213" s="451"/>
      <c r="EL213" s="451">
        <f>SUM(EL214:EL216)</f>
        <v>975324</v>
      </c>
      <c r="EM213" s="451"/>
      <c r="EN213" s="451"/>
      <c r="EO213" s="13"/>
      <c r="ER213" s="14"/>
      <c r="ES213" s="14"/>
    </row>
    <row r="214" spans="4:149" x14ac:dyDescent="0.2">
      <c r="D214" s="13" t="s">
        <v>347</v>
      </c>
      <c r="F214" s="374"/>
      <c r="G214" s="449">
        <v>0</v>
      </c>
      <c r="H214" s="450"/>
      <c r="I214" s="451"/>
      <c r="J214" s="452"/>
      <c r="K214" s="453"/>
      <c r="L214" s="449">
        <v>0</v>
      </c>
      <c r="M214" s="450"/>
      <c r="N214" s="451"/>
      <c r="O214" s="452"/>
      <c r="P214" s="453"/>
      <c r="Q214" s="449">
        <v>0</v>
      </c>
      <c r="R214" s="450"/>
      <c r="S214" s="451"/>
      <c r="T214" s="452"/>
      <c r="U214" s="453"/>
      <c r="V214" s="449">
        <v>0</v>
      </c>
      <c r="W214" s="450"/>
      <c r="X214" s="451"/>
      <c r="Y214" s="452"/>
      <c r="Z214" s="453"/>
      <c r="AA214" s="449">
        <v>0</v>
      </c>
      <c r="AB214" s="450"/>
      <c r="AC214" s="451"/>
      <c r="AD214" s="452"/>
      <c r="AE214" s="453"/>
      <c r="AF214" s="449">
        <v>0</v>
      </c>
      <c r="AG214" s="450"/>
      <c r="AH214" s="451"/>
      <c r="AI214" s="452"/>
      <c r="AJ214" s="453"/>
      <c r="AK214" s="449">
        <v>0</v>
      </c>
      <c r="AL214" s="450"/>
      <c r="AM214" s="451"/>
      <c r="AN214" s="452"/>
      <c r="AO214" s="453"/>
      <c r="AP214" s="449">
        <v>0</v>
      </c>
      <c r="AQ214" s="450"/>
      <c r="AR214" s="451"/>
      <c r="AS214" s="452"/>
      <c r="AT214" s="453"/>
      <c r="AU214" s="449">
        <v>0</v>
      </c>
      <c r="AV214" s="450"/>
      <c r="AW214" s="451"/>
      <c r="AX214" s="452"/>
      <c r="AY214" s="453"/>
      <c r="AZ214" s="449">
        <v>0</v>
      </c>
      <c r="BA214" s="450"/>
      <c r="BB214" s="451"/>
      <c r="BC214" s="452"/>
      <c r="BD214" s="453"/>
      <c r="BE214" s="449">
        <v>0</v>
      </c>
      <c r="BF214" s="450"/>
      <c r="BG214" s="451"/>
      <c r="BH214" s="452"/>
      <c r="BI214" s="453"/>
      <c r="BJ214" s="449">
        <v>0</v>
      </c>
      <c r="BK214" s="450"/>
      <c r="BL214" s="451"/>
      <c r="BM214" s="452"/>
      <c r="BN214" s="453"/>
      <c r="BO214" s="449">
        <v>0</v>
      </c>
      <c r="BP214" s="450"/>
      <c r="BQ214" s="451"/>
      <c r="BR214" s="452"/>
      <c r="BS214" s="453"/>
      <c r="BT214" s="449">
        <f>SUM(L214:BO214)</f>
        <v>0</v>
      </c>
      <c r="BU214" s="450"/>
      <c r="BV214" s="451"/>
      <c r="BW214" s="452"/>
      <c r="BX214" s="453"/>
      <c r="BY214" s="449">
        <v>878056</v>
      </c>
      <c r="BZ214" s="450"/>
      <c r="CA214" s="451"/>
      <c r="CB214" s="452"/>
      <c r="CC214" s="453"/>
      <c r="CD214" s="449">
        <v>0</v>
      </c>
      <c r="CE214" s="450"/>
      <c r="CF214" s="451"/>
      <c r="CG214" s="452"/>
      <c r="CH214" s="453"/>
      <c r="CI214" s="449">
        <f>975324-97268</f>
        <v>878056</v>
      </c>
      <c r="CJ214" s="450"/>
      <c r="CK214" s="451"/>
      <c r="CL214" s="452"/>
      <c r="CM214" s="453"/>
      <c r="CN214" s="449">
        <v>0</v>
      </c>
      <c r="CO214" s="450"/>
      <c r="CP214" s="451"/>
      <c r="CQ214" s="452"/>
      <c r="CR214" s="453"/>
      <c r="CS214" s="449">
        <v>0</v>
      </c>
      <c r="CT214" s="450"/>
      <c r="CU214" s="451"/>
      <c r="CV214" s="452"/>
      <c r="CW214" s="453"/>
      <c r="CX214" s="449">
        <v>0</v>
      </c>
      <c r="CY214" s="450"/>
      <c r="CZ214" s="451"/>
      <c r="DA214" s="452"/>
      <c r="DB214" s="453"/>
      <c r="DC214" s="449">
        <v>0</v>
      </c>
      <c r="DD214" s="450"/>
      <c r="DE214" s="451"/>
      <c r="DF214" s="452"/>
      <c r="DG214" s="453"/>
      <c r="DH214" s="449">
        <v>0</v>
      </c>
      <c r="DI214" s="450"/>
      <c r="DJ214" s="451"/>
      <c r="DK214" s="452"/>
      <c r="DL214" s="453"/>
      <c r="DM214" s="449">
        <v>0</v>
      </c>
      <c r="DN214" s="450"/>
      <c r="DO214" s="451"/>
      <c r="DP214" s="452"/>
      <c r="DQ214" s="453"/>
      <c r="DR214" s="449">
        <v>0</v>
      </c>
      <c r="DS214" s="450"/>
      <c r="DT214" s="451"/>
      <c r="DU214" s="452"/>
      <c r="DV214" s="453"/>
      <c r="DW214" s="449">
        <v>0</v>
      </c>
      <c r="DX214" s="450"/>
      <c r="DY214" s="451"/>
      <c r="DZ214" s="452"/>
      <c r="EA214" s="453"/>
      <c r="EB214" s="449">
        <v>0</v>
      </c>
      <c r="EC214" s="450"/>
      <c r="ED214" s="451"/>
      <c r="EE214" s="452"/>
      <c r="EF214" s="453"/>
      <c r="EG214" s="449">
        <v>0</v>
      </c>
      <c r="EH214" s="450"/>
      <c r="EI214" s="451"/>
      <c r="EJ214" s="452"/>
      <c r="EK214" s="453"/>
      <c r="EL214" s="449">
        <f>SUM(CD214:DW214)</f>
        <v>878056</v>
      </c>
      <c r="EM214" s="450"/>
      <c r="EN214" s="451"/>
      <c r="EO214" s="13"/>
      <c r="ER214" s="14"/>
      <c r="ES214" s="14"/>
    </row>
    <row r="215" spans="4:149" x14ac:dyDescent="0.2">
      <c r="D215" s="13" t="s">
        <v>349</v>
      </c>
      <c r="F215" s="198"/>
      <c r="G215" s="451">
        <v>0</v>
      </c>
      <c r="H215" s="455"/>
      <c r="I215" s="451"/>
      <c r="J215" s="452"/>
      <c r="K215" s="452"/>
      <c r="L215" s="451">
        <v>0</v>
      </c>
      <c r="M215" s="455"/>
      <c r="N215" s="451"/>
      <c r="O215" s="452"/>
      <c r="P215" s="452"/>
      <c r="Q215" s="451">
        <v>0</v>
      </c>
      <c r="R215" s="455"/>
      <c r="S215" s="451"/>
      <c r="T215" s="452"/>
      <c r="U215" s="452"/>
      <c r="V215" s="451">
        <v>0</v>
      </c>
      <c r="W215" s="455"/>
      <c r="X215" s="451"/>
      <c r="Y215" s="452"/>
      <c r="Z215" s="452"/>
      <c r="AA215" s="451">
        <v>0</v>
      </c>
      <c r="AB215" s="455"/>
      <c r="AC215" s="451"/>
      <c r="AD215" s="452"/>
      <c r="AE215" s="452"/>
      <c r="AF215" s="451">
        <v>0</v>
      </c>
      <c r="AG215" s="455"/>
      <c r="AH215" s="451"/>
      <c r="AI215" s="452"/>
      <c r="AJ215" s="452"/>
      <c r="AK215" s="451">
        <v>0</v>
      </c>
      <c r="AL215" s="455"/>
      <c r="AM215" s="451"/>
      <c r="AN215" s="452"/>
      <c r="AO215" s="452"/>
      <c r="AP215" s="451">
        <v>0</v>
      </c>
      <c r="AQ215" s="455"/>
      <c r="AR215" s="451"/>
      <c r="AS215" s="452"/>
      <c r="AT215" s="452"/>
      <c r="AU215" s="451">
        <v>0</v>
      </c>
      <c r="AV215" s="455"/>
      <c r="AW215" s="451"/>
      <c r="AX215" s="452"/>
      <c r="AY215" s="452"/>
      <c r="AZ215" s="451">
        <v>0</v>
      </c>
      <c r="BA215" s="455"/>
      <c r="BB215" s="451"/>
      <c r="BC215" s="452"/>
      <c r="BD215" s="452"/>
      <c r="BE215" s="451">
        <v>0</v>
      </c>
      <c r="BF215" s="455"/>
      <c r="BG215" s="451"/>
      <c r="BH215" s="452"/>
      <c r="BI215" s="452"/>
      <c r="BJ215" s="451">
        <v>0</v>
      </c>
      <c r="BK215" s="455"/>
      <c r="BL215" s="451"/>
      <c r="BM215" s="452"/>
      <c r="BN215" s="452"/>
      <c r="BO215" s="451">
        <v>0</v>
      </c>
      <c r="BP215" s="455"/>
      <c r="BQ215" s="451"/>
      <c r="BR215" s="452"/>
      <c r="BS215" s="452"/>
      <c r="BT215" s="451">
        <f>SUM(L215:BO215)</f>
        <v>0</v>
      </c>
      <c r="BU215" s="455"/>
      <c r="BV215" s="451"/>
      <c r="BW215" s="452"/>
      <c r="BX215" s="452"/>
      <c r="BY215" s="451">
        <v>97268</v>
      </c>
      <c r="BZ215" s="455"/>
      <c r="CA215" s="451"/>
      <c r="CB215" s="452"/>
      <c r="CC215" s="452"/>
      <c r="CD215" s="451">
        <v>0</v>
      </c>
      <c r="CE215" s="455"/>
      <c r="CF215" s="451"/>
      <c r="CG215" s="452"/>
      <c r="CH215" s="452"/>
      <c r="CI215" s="451">
        <v>97268</v>
      </c>
      <c r="CJ215" s="455"/>
      <c r="CK215" s="451"/>
      <c r="CL215" s="452"/>
      <c r="CM215" s="452"/>
      <c r="CN215" s="451">
        <v>0</v>
      </c>
      <c r="CO215" s="455"/>
      <c r="CP215" s="451"/>
      <c r="CQ215" s="452"/>
      <c r="CR215" s="452"/>
      <c r="CS215" s="451">
        <v>0</v>
      </c>
      <c r="CT215" s="455"/>
      <c r="CU215" s="451"/>
      <c r="CV215" s="452"/>
      <c r="CW215" s="452"/>
      <c r="CX215" s="451">
        <v>0</v>
      </c>
      <c r="CY215" s="455"/>
      <c r="CZ215" s="451"/>
      <c r="DA215" s="452"/>
      <c r="DB215" s="452"/>
      <c r="DC215" s="451">
        <v>0</v>
      </c>
      <c r="DD215" s="455"/>
      <c r="DE215" s="451"/>
      <c r="DF215" s="452"/>
      <c r="DG215" s="452"/>
      <c r="DH215" s="451">
        <v>0</v>
      </c>
      <c r="DI215" s="455"/>
      <c r="DJ215" s="451"/>
      <c r="DK215" s="452"/>
      <c r="DL215" s="452"/>
      <c r="DM215" s="451">
        <v>0</v>
      </c>
      <c r="DN215" s="455"/>
      <c r="DO215" s="451"/>
      <c r="DP215" s="452"/>
      <c r="DQ215" s="452"/>
      <c r="DR215" s="451">
        <v>0</v>
      </c>
      <c r="DS215" s="455"/>
      <c r="DT215" s="451"/>
      <c r="DU215" s="452"/>
      <c r="DV215" s="452"/>
      <c r="DW215" s="451">
        <v>0</v>
      </c>
      <c r="DX215" s="455"/>
      <c r="DY215" s="451"/>
      <c r="DZ215" s="452"/>
      <c r="EA215" s="452"/>
      <c r="EB215" s="451">
        <v>0</v>
      </c>
      <c r="EC215" s="455"/>
      <c r="ED215" s="451"/>
      <c r="EE215" s="452"/>
      <c r="EF215" s="452"/>
      <c r="EG215" s="451">
        <v>0</v>
      </c>
      <c r="EH215" s="455"/>
      <c r="EI215" s="451"/>
      <c r="EJ215" s="452"/>
      <c r="EK215" s="452"/>
      <c r="EL215" s="451">
        <f>SUM(CD215:DW215)</f>
        <v>97268</v>
      </c>
      <c r="EM215" s="455"/>
      <c r="EN215" s="451"/>
      <c r="EO215" s="13"/>
      <c r="ER215" s="14"/>
      <c r="ES215" s="14"/>
    </row>
    <row r="216" spans="4:149" x14ac:dyDescent="0.2">
      <c r="D216" s="13" t="s">
        <v>357</v>
      </c>
      <c r="F216" s="385"/>
      <c r="G216" s="463">
        <v>0</v>
      </c>
      <c r="H216" s="464"/>
      <c r="I216" s="451"/>
      <c r="J216" s="452"/>
      <c r="K216" s="465"/>
      <c r="L216" s="463">
        <v>0</v>
      </c>
      <c r="M216" s="464"/>
      <c r="N216" s="451"/>
      <c r="O216" s="452"/>
      <c r="P216" s="465"/>
      <c r="Q216" s="463">
        <v>0</v>
      </c>
      <c r="R216" s="464"/>
      <c r="S216" s="451"/>
      <c r="T216" s="452"/>
      <c r="U216" s="465"/>
      <c r="V216" s="463">
        <v>0</v>
      </c>
      <c r="W216" s="464"/>
      <c r="X216" s="451"/>
      <c r="Y216" s="452"/>
      <c r="Z216" s="465"/>
      <c r="AA216" s="463">
        <v>0</v>
      </c>
      <c r="AB216" s="464"/>
      <c r="AC216" s="451"/>
      <c r="AD216" s="452"/>
      <c r="AE216" s="465"/>
      <c r="AF216" s="463">
        <v>0</v>
      </c>
      <c r="AG216" s="464"/>
      <c r="AH216" s="451"/>
      <c r="AI216" s="452"/>
      <c r="AJ216" s="465"/>
      <c r="AK216" s="463">
        <v>0</v>
      </c>
      <c r="AL216" s="464"/>
      <c r="AM216" s="451"/>
      <c r="AN216" s="452"/>
      <c r="AO216" s="465"/>
      <c r="AP216" s="463">
        <v>0</v>
      </c>
      <c r="AQ216" s="464"/>
      <c r="AR216" s="451"/>
      <c r="AS216" s="452"/>
      <c r="AT216" s="465"/>
      <c r="AU216" s="463">
        <v>0</v>
      </c>
      <c r="AV216" s="464"/>
      <c r="AW216" s="451"/>
      <c r="AX216" s="452"/>
      <c r="AY216" s="465"/>
      <c r="AZ216" s="463">
        <v>0</v>
      </c>
      <c r="BA216" s="464"/>
      <c r="BB216" s="451"/>
      <c r="BC216" s="452"/>
      <c r="BD216" s="465"/>
      <c r="BE216" s="463">
        <v>0</v>
      </c>
      <c r="BF216" s="464"/>
      <c r="BG216" s="451"/>
      <c r="BH216" s="452"/>
      <c r="BI216" s="465"/>
      <c r="BJ216" s="463">
        <v>0</v>
      </c>
      <c r="BK216" s="464"/>
      <c r="BL216" s="451"/>
      <c r="BM216" s="452"/>
      <c r="BN216" s="465"/>
      <c r="BO216" s="463">
        <v>0</v>
      </c>
      <c r="BP216" s="464"/>
      <c r="BQ216" s="451"/>
      <c r="BR216" s="452"/>
      <c r="BS216" s="465"/>
      <c r="BT216" s="463">
        <f>SUM(L216:BO216)</f>
        <v>0</v>
      </c>
      <c r="BU216" s="464"/>
      <c r="BV216" s="451"/>
      <c r="BW216" s="452"/>
      <c r="BX216" s="465"/>
      <c r="BY216" s="463">
        <v>0</v>
      </c>
      <c r="BZ216" s="464"/>
      <c r="CA216" s="451"/>
      <c r="CB216" s="452"/>
      <c r="CC216" s="465"/>
      <c r="CD216" s="463">
        <v>0</v>
      </c>
      <c r="CE216" s="464"/>
      <c r="CF216" s="451"/>
      <c r="CG216" s="452"/>
      <c r="CH216" s="465"/>
      <c r="CI216" s="463">
        <v>0</v>
      </c>
      <c r="CJ216" s="464"/>
      <c r="CK216" s="451"/>
      <c r="CL216" s="452"/>
      <c r="CM216" s="465"/>
      <c r="CN216" s="463">
        <v>0</v>
      </c>
      <c r="CO216" s="464"/>
      <c r="CP216" s="451"/>
      <c r="CQ216" s="452"/>
      <c r="CR216" s="465"/>
      <c r="CS216" s="463">
        <v>0</v>
      </c>
      <c r="CT216" s="464"/>
      <c r="CU216" s="451"/>
      <c r="CV216" s="452"/>
      <c r="CW216" s="465"/>
      <c r="CX216" s="463">
        <v>0</v>
      </c>
      <c r="CY216" s="464"/>
      <c r="CZ216" s="451"/>
      <c r="DA216" s="452"/>
      <c r="DB216" s="465"/>
      <c r="DC216" s="463">
        <v>0</v>
      </c>
      <c r="DD216" s="464"/>
      <c r="DE216" s="451"/>
      <c r="DF216" s="452"/>
      <c r="DG216" s="465"/>
      <c r="DH216" s="463">
        <v>0</v>
      </c>
      <c r="DI216" s="464"/>
      <c r="DJ216" s="451"/>
      <c r="DK216" s="452"/>
      <c r="DL216" s="465"/>
      <c r="DM216" s="463">
        <v>0</v>
      </c>
      <c r="DN216" s="464"/>
      <c r="DO216" s="451"/>
      <c r="DP216" s="452"/>
      <c r="DQ216" s="465"/>
      <c r="DR216" s="463">
        <v>0</v>
      </c>
      <c r="DS216" s="464"/>
      <c r="DT216" s="451"/>
      <c r="DU216" s="452"/>
      <c r="DV216" s="465"/>
      <c r="DW216" s="463">
        <v>0</v>
      </c>
      <c r="DX216" s="464"/>
      <c r="DY216" s="451"/>
      <c r="DZ216" s="452"/>
      <c r="EA216" s="465"/>
      <c r="EB216" s="463">
        <v>0</v>
      </c>
      <c r="EC216" s="464"/>
      <c r="ED216" s="451"/>
      <c r="EE216" s="452"/>
      <c r="EF216" s="465"/>
      <c r="EG216" s="463">
        <v>0</v>
      </c>
      <c r="EH216" s="464"/>
      <c r="EI216" s="451"/>
      <c r="EJ216" s="452"/>
      <c r="EK216" s="465"/>
      <c r="EL216" s="463">
        <f>SUM(CD216:DW216)</f>
        <v>0</v>
      </c>
      <c r="EM216" s="464"/>
      <c r="EN216" s="451"/>
      <c r="EO216" s="13"/>
      <c r="ER216" s="14"/>
      <c r="ES216" s="14"/>
    </row>
    <row r="217" spans="4:149" x14ac:dyDescent="0.2">
      <c r="D217" s="13"/>
      <c r="G217" s="451"/>
      <c r="H217" s="451"/>
      <c r="I217" s="451"/>
      <c r="J217" s="452"/>
      <c r="K217" s="451"/>
      <c r="L217" s="451"/>
      <c r="M217" s="451"/>
      <c r="N217" s="451"/>
      <c r="O217" s="452"/>
      <c r="P217" s="451"/>
      <c r="Q217" s="451"/>
      <c r="R217" s="451"/>
      <c r="S217" s="451"/>
      <c r="T217" s="452"/>
      <c r="U217" s="451"/>
      <c r="V217" s="451"/>
      <c r="W217" s="451"/>
      <c r="X217" s="451"/>
      <c r="Y217" s="452"/>
      <c r="Z217" s="451"/>
      <c r="AA217" s="451"/>
      <c r="AB217" s="451"/>
      <c r="AC217" s="451"/>
      <c r="AD217" s="452"/>
      <c r="AE217" s="451"/>
      <c r="AF217" s="451"/>
      <c r="AG217" s="451"/>
      <c r="AH217" s="451"/>
      <c r="AI217" s="452"/>
      <c r="AJ217" s="451"/>
      <c r="AK217" s="451"/>
      <c r="AL217" s="451"/>
      <c r="AM217" s="451"/>
      <c r="AN217" s="452"/>
      <c r="AO217" s="451"/>
      <c r="AP217" s="451"/>
      <c r="AQ217" s="451"/>
      <c r="AR217" s="451"/>
      <c r="AS217" s="452"/>
      <c r="AT217" s="451"/>
      <c r="AU217" s="451"/>
      <c r="AV217" s="451"/>
      <c r="AW217" s="451"/>
      <c r="AX217" s="452"/>
      <c r="AY217" s="451"/>
      <c r="AZ217" s="451"/>
      <c r="BA217" s="451"/>
      <c r="BB217" s="451"/>
      <c r="BC217" s="452"/>
      <c r="BD217" s="451"/>
      <c r="BE217" s="451"/>
      <c r="BF217" s="451"/>
      <c r="BG217" s="451"/>
      <c r="BH217" s="452"/>
      <c r="BI217" s="451"/>
      <c r="BJ217" s="451"/>
      <c r="BK217" s="451"/>
      <c r="BL217" s="451"/>
      <c r="BM217" s="452"/>
      <c r="BN217" s="451"/>
      <c r="BO217" s="451"/>
      <c r="BP217" s="451"/>
      <c r="BQ217" s="451"/>
      <c r="BR217" s="452"/>
      <c r="BS217" s="451"/>
      <c r="BT217" s="451"/>
      <c r="BU217" s="451"/>
      <c r="BV217" s="451"/>
      <c r="BW217" s="452"/>
      <c r="BX217" s="451"/>
      <c r="BY217" s="451"/>
      <c r="BZ217" s="451"/>
      <c r="CA217" s="451"/>
      <c r="CB217" s="452"/>
      <c r="CC217" s="451"/>
      <c r="CD217" s="451"/>
      <c r="CE217" s="451"/>
      <c r="CF217" s="451"/>
      <c r="CG217" s="452"/>
      <c r="CH217" s="451"/>
      <c r="CI217" s="451"/>
      <c r="CJ217" s="451"/>
      <c r="CK217" s="451"/>
      <c r="CL217" s="452"/>
      <c r="CM217" s="451"/>
      <c r="CN217" s="451"/>
      <c r="CO217" s="451"/>
      <c r="CP217" s="451"/>
      <c r="CQ217" s="452"/>
      <c r="CR217" s="451"/>
      <c r="CS217" s="451"/>
      <c r="CT217" s="451"/>
      <c r="CU217" s="451"/>
      <c r="CV217" s="452"/>
      <c r="CW217" s="451"/>
      <c r="CX217" s="451"/>
      <c r="CY217" s="451"/>
      <c r="CZ217" s="451"/>
      <c r="DA217" s="452"/>
      <c r="DB217" s="451"/>
      <c r="DC217" s="451"/>
      <c r="DD217" s="451"/>
      <c r="DE217" s="451"/>
      <c r="DF217" s="452"/>
      <c r="DG217" s="451"/>
      <c r="DH217" s="451"/>
      <c r="DI217" s="451"/>
      <c r="DJ217" s="451"/>
      <c r="DK217" s="452"/>
      <c r="DL217" s="451"/>
      <c r="DM217" s="451"/>
      <c r="DN217" s="451"/>
      <c r="DO217" s="451"/>
      <c r="DP217" s="452"/>
      <c r="DQ217" s="451"/>
      <c r="DR217" s="451"/>
      <c r="DS217" s="451"/>
      <c r="DT217" s="451"/>
      <c r="DU217" s="452"/>
      <c r="DV217" s="451"/>
      <c r="DW217" s="451"/>
      <c r="DX217" s="451"/>
      <c r="DY217" s="451"/>
      <c r="DZ217" s="452"/>
      <c r="EA217" s="451"/>
      <c r="EB217" s="451"/>
      <c r="EC217" s="451"/>
      <c r="ED217" s="451"/>
      <c r="EE217" s="452"/>
      <c r="EF217" s="451"/>
      <c r="EG217" s="451"/>
      <c r="EH217" s="451"/>
      <c r="EI217" s="451"/>
      <c r="EJ217" s="452"/>
      <c r="EK217" s="451"/>
      <c r="EL217" s="451"/>
      <c r="EM217" s="451"/>
      <c r="EN217" s="451"/>
      <c r="EO217" s="13"/>
      <c r="ER217" s="14"/>
      <c r="ES217" s="14"/>
    </row>
    <row r="218" spans="4:149" x14ac:dyDescent="0.2">
      <c r="D218" s="13" t="s">
        <v>358</v>
      </c>
      <c r="G218" s="451">
        <f>SUM(G219:G221)</f>
        <v>0</v>
      </c>
      <c r="H218" s="451"/>
      <c r="I218" s="451"/>
      <c r="J218" s="452"/>
      <c r="K218" s="451"/>
      <c r="L218" s="451">
        <f>SUM(L219:L221)</f>
        <v>0</v>
      </c>
      <c r="M218" s="451"/>
      <c r="N218" s="451"/>
      <c r="O218" s="452"/>
      <c r="P218" s="451"/>
      <c r="Q218" s="451">
        <f>SUM(Q219:Q221)</f>
        <v>0</v>
      </c>
      <c r="R218" s="451"/>
      <c r="S218" s="451"/>
      <c r="T218" s="452"/>
      <c r="U218" s="451"/>
      <c r="V218" s="451">
        <f>SUM(V219:V221)</f>
        <v>0</v>
      </c>
      <c r="W218" s="451"/>
      <c r="X218" s="451"/>
      <c r="Y218" s="452"/>
      <c r="Z218" s="451"/>
      <c r="AA218" s="451">
        <f>SUM(AA219:AA221)</f>
        <v>0</v>
      </c>
      <c r="AB218" s="451"/>
      <c r="AC218" s="451"/>
      <c r="AD218" s="452"/>
      <c r="AE218" s="451"/>
      <c r="AF218" s="451">
        <f>SUM(AF219:AF221)</f>
        <v>0</v>
      </c>
      <c r="AG218" s="451"/>
      <c r="AH218" s="451"/>
      <c r="AI218" s="452"/>
      <c r="AJ218" s="451"/>
      <c r="AK218" s="451">
        <f>SUM(AK219:AK221)</f>
        <v>0</v>
      </c>
      <c r="AL218" s="451"/>
      <c r="AM218" s="451"/>
      <c r="AN218" s="452"/>
      <c r="AO218" s="451"/>
      <c r="AP218" s="451">
        <f>SUM(AP219:AP221)</f>
        <v>0</v>
      </c>
      <c r="AQ218" s="451"/>
      <c r="AR218" s="451"/>
      <c r="AS218" s="452"/>
      <c r="AT218" s="451"/>
      <c r="AU218" s="451">
        <f>SUM(AU219:AU221)</f>
        <v>0</v>
      </c>
      <c r="AV218" s="451"/>
      <c r="AW218" s="451"/>
      <c r="AX218" s="452"/>
      <c r="AY218" s="451"/>
      <c r="AZ218" s="451">
        <f>SUM(AZ219:AZ221)</f>
        <v>0</v>
      </c>
      <c r="BA218" s="451"/>
      <c r="BB218" s="451"/>
      <c r="BC218" s="452"/>
      <c r="BD218" s="451"/>
      <c r="BE218" s="451">
        <f>SUM(BE219:BE221)</f>
        <v>0</v>
      </c>
      <c r="BF218" s="451"/>
      <c r="BG218" s="451"/>
      <c r="BH218" s="452"/>
      <c r="BI218" s="451"/>
      <c r="BJ218" s="451">
        <f>SUM(BJ219:BJ221)</f>
        <v>0</v>
      </c>
      <c r="BK218" s="451"/>
      <c r="BL218" s="451"/>
      <c r="BM218" s="452"/>
      <c r="BN218" s="451"/>
      <c r="BO218" s="451">
        <f>SUM(BO219:BO221)</f>
        <v>0</v>
      </c>
      <c r="BP218" s="451"/>
      <c r="BQ218" s="451"/>
      <c r="BR218" s="452"/>
      <c r="BS218" s="451"/>
      <c r="BT218" s="451">
        <f>SUM(BT219:BT221)</f>
        <v>0</v>
      </c>
      <c r="BU218" s="451"/>
      <c r="BV218" s="451"/>
      <c r="BW218" s="452"/>
      <c r="BX218" s="451"/>
      <c r="BY218" s="451">
        <f>SUM(BY219:BY221)</f>
        <v>3591635</v>
      </c>
      <c r="BZ218" s="451"/>
      <c r="CA218" s="451"/>
      <c r="CB218" s="452"/>
      <c r="CC218" s="451"/>
      <c r="CD218" s="451">
        <f>SUM(CD219:CD221)</f>
        <v>0</v>
      </c>
      <c r="CE218" s="451"/>
      <c r="CF218" s="451"/>
      <c r="CG218" s="452"/>
      <c r="CH218" s="451"/>
      <c r="CI218" s="451">
        <f>SUM(CI219:CI221)</f>
        <v>3591635</v>
      </c>
      <c r="CJ218" s="451"/>
      <c r="CK218" s="451"/>
      <c r="CL218" s="452"/>
      <c r="CM218" s="451"/>
      <c r="CN218" s="451">
        <f>SUM(CN219:CN221)</f>
        <v>0</v>
      </c>
      <c r="CO218" s="451"/>
      <c r="CP218" s="451"/>
      <c r="CQ218" s="452"/>
      <c r="CR218" s="451"/>
      <c r="CS218" s="451">
        <f>SUM(CS219:CS221)</f>
        <v>0</v>
      </c>
      <c r="CT218" s="451"/>
      <c r="CU218" s="451"/>
      <c r="CV218" s="452"/>
      <c r="CW218" s="451"/>
      <c r="CX218" s="451">
        <f>SUM(CX219:CX221)</f>
        <v>0</v>
      </c>
      <c r="CY218" s="451"/>
      <c r="CZ218" s="451"/>
      <c r="DA218" s="452"/>
      <c r="DB218" s="451"/>
      <c r="DC218" s="451">
        <f>SUM(DC219:DC221)</f>
        <v>0</v>
      </c>
      <c r="DD218" s="451"/>
      <c r="DE218" s="451"/>
      <c r="DF218" s="452"/>
      <c r="DG218" s="451"/>
      <c r="DH218" s="451">
        <f>SUM(DH219:DH221)</f>
        <v>0</v>
      </c>
      <c r="DI218" s="451"/>
      <c r="DJ218" s="451"/>
      <c r="DK218" s="452"/>
      <c r="DL218" s="451"/>
      <c r="DM218" s="451">
        <f>SUM(DM219:DM221)</f>
        <v>0</v>
      </c>
      <c r="DN218" s="451"/>
      <c r="DO218" s="451"/>
      <c r="DP218" s="452"/>
      <c r="DQ218" s="451"/>
      <c r="DR218" s="451">
        <f>SUM(DR219:DR221)</f>
        <v>0</v>
      </c>
      <c r="DS218" s="451"/>
      <c r="DT218" s="451"/>
      <c r="DU218" s="452"/>
      <c r="DV218" s="451"/>
      <c r="DW218" s="451">
        <f>SUM(DW219:DW221)</f>
        <v>0</v>
      </c>
      <c r="DX218" s="451"/>
      <c r="DY218" s="451"/>
      <c r="DZ218" s="452"/>
      <c r="EA218" s="451"/>
      <c r="EB218" s="451">
        <f>SUM(EB219:EB221)</f>
        <v>0</v>
      </c>
      <c r="EC218" s="451"/>
      <c r="ED218" s="451"/>
      <c r="EE218" s="452"/>
      <c r="EF218" s="451"/>
      <c r="EG218" s="451">
        <f>SUM(EG219:EG221)</f>
        <v>0</v>
      </c>
      <c r="EH218" s="451"/>
      <c r="EI218" s="451"/>
      <c r="EJ218" s="452"/>
      <c r="EK218" s="451"/>
      <c r="EL218" s="451">
        <f>SUM(EL219:EL221)</f>
        <v>3591635</v>
      </c>
      <c r="EM218" s="451"/>
      <c r="EN218" s="451"/>
      <c r="EO218" s="13"/>
      <c r="ER218" s="14"/>
      <c r="ES218" s="14"/>
    </row>
    <row r="219" spans="4:149" x14ac:dyDescent="0.2">
      <c r="D219" s="13" t="s">
        <v>347</v>
      </c>
      <c r="F219" s="374"/>
      <c r="G219" s="449">
        <v>0</v>
      </c>
      <c r="H219" s="450"/>
      <c r="I219" s="451"/>
      <c r="J219" s="452"/>
      <c r="K219" s="453"/>
      <c r="L219" s="449">
        <v>0</v>
      </c>
      <c r="M219" s="450"/>
      <c r="N219" s="451"/>
      <c r="O219" s="452"/>
      <c r="P219" s="453"/>
      <c r="Q219" s="449">
        <v>0</v>
      </c>
      <c r="R219" s="450"/>
      <c r="S219" s="451"/>
      <c r="T219" s="452"/>
      <c r="U219" s="453"/>
      <c r="V219" s="449">
        <v>0</v>
      </c>
      <c r="W219" s="450"/>
      <c r="X219" s="451"/>
      <c r="Y219" s="452"/>
      <c r="Z219" s="453"/>
      <c r="AA219" s="449">
        <v>0</v>
      </c>
      <c r="AB219" s="450"/>
      <c r="AC219" s="451"/>
      <c r="AD219" s="452"/>
      <c r="AE219" s="453"/>
      <c r="AF219" s="449">
        <v>0</v>
      </c>
      <c r="AG219" s="450"/>
      <c r="AH219" s="451"/>
      <c r="AI219" s="452"/>
      <c r="AJ219" s="453"/>
      <c r="AK219" s="449">
        <v>0</v>
      </c>
      <c r="AL219" s="450"/>
      <c r="AM219" s="451"/>
      <c r="AN219" s="452"/>
      <c r="AO219" s="453"/>
      <c r="AP219" s="449">
        <v>0</v>
      </c>
      <c r="AQ219" s="450"/>
      <c r="AR219" s="451"/>
      <c r="AS219" s="452"/>
      <c r="AT219" s="453"/>
      <c r="AU219" s="449">
        <v>0</v>
      </c>
      <c r="AV219" s="450"/>
      <c r="AW219" s="451"/>
      <c r="AX219" s="452"/>
      <c r="AY219" s="453"/>
      <c r="AZ219" s="449">
        <v>0</v>
      </c>
      <c r="BA219" s="450"/>
      <c r="BB219" s="451"/>
      <c r="BC219" s="452"/>
      <c r="BD219" s="453"/>
      <c r="BE219" s="449">
        <v>0</v>
      </c>
      <c r="BF219" s="450"/>
      <c r="BG219" s="451"/>
      <c r="BH219" s="452"/>
      <c r="BI219" s="453"/>
      <c r="BJ219" s="449">
        <v>0</v>
      </c>
      <c r="BK219" s="450"/>
      <c r="BL219" s="451"/>
      <c r="BM219" s="452"/>
      <c r="BN219" s="453"/>
      <c r="BO219" s="449">
        <v>0</v>
      </c>
      <c r="BP219" s="450"/>
      <c r="BQ219" s="451"/>
      <c r="BR219" s="452"/>
      <c r="BS219" s="453"/>
      <c r="BT219" s="449">
        <f>SUM(L219:BO219)</f>
        <v>0</v>
      </c>
      <c r="BU219" s="450"/>
      <c r="BV219" s="451"/>
      <c r="BW219" s="452"/>
      <c r="BX219" s="453"/>
      <c r="BY219" s="449">
        <v>3969713</v>
      </c>
      <c r="BZ219" s="450"/>
      <c r="CA219" s="451"/>
      <c r="CB219" s="452"/>
      <c r="CC219" s="453"/>
      <c r="CD219" s="449">
        <v>0</v>
      </c>
      <c r="CE219" s="450"/>
      <c r="CF219" s="451"/>
      <c r="CG219" s="452"/>
      <c r="CH219" s="453"/>
      <c r="CI219" s="449">
        <f>3591635+378078</f>
        <v>3969713</v>
      </c>
      <c r="CJ219" s="450"/>
      <c r="CK219" s="451"/>
      <c r="CL219" s="452"/>
      <c r="CM219" s="453"/>
      <c r="CN219" s="449">
        <v>0</v>
      </c>
      <c r="CO219" s="450"/>
      <c r="CP219" s="451"/>
      <c r="CQ219" s="452"/>
      <c r="CR219" s="453"/>
      <c r="CS219" s="449">
        <v>0</v>
      </c>
      <c r="CT219" s="450"/>
      <c r="CU219" s="451"/>
      <c r="CV219" s="452"/>
      <c r="CW219" s="453"/>
      <c r="CX219" s="449">
        <v>0</v>
      </c>
      <c r="CY219" s="450"/>
      <c r="CZ219" s="451"/>
      <c r="DA219" s="452"/>
      <c r="DB219" s="453"/>
      <c r="DC219" s="449">
        <v>0</v>
      </c>
      <c r="DD219" s="450"/>
      <c r="DE219" s="451"/>
      <c r="DF219" s="452"/>
      <c r="DG219" s="453"/>
      <c r="DH219" s="449">
        <v>0</v>
      </c>
      <c r="DI219" s="450"/>
      <c r="DJ219" s="451"/>
      <c r="DK219" s="452"/>
      <c r="DL219" s="453"/>
      <c r="DM219" s="449">
        <v>0</v>
      </c>
      <c r="DN219" s="450"/>
      <c r="DO219" s="451"/>
      <c r="DP219" s="452"/>
      <c r="DQ219" s="453"/>
      <c r="DR219" s="449">
        <v>0</v>
      </c>
      <c r="DS219" s="450"/>
      <c r="DT219" s="451"/>
      <c r="DU219" s="452"/>
      <c r="DV219" s="453"/>
      <c r="DW219" s="449">
        <v>0</v>
      </c>
      <c r="DX219" s="450"/>
      <c r="DY219" s="451"/>
      <c r="DZ219" s="452"/>
      <c r="EA219" s="453"/>
      <c r="EB219" s="449">
        <v>0</v>
      </c>
      <c r="EC219" s="450"/>
      <c r="ED219" s="451"/>
      <c r="EE219" s="452"/>
      <c r="EF219" s="453"/>
      <c r="EG219" s="449">
        <v>0</v>
      </c>
      <c r="EH219" s="450"/>
      <c r="EI219" s="451"/>
      <c r="EJ219" s="452"/>
      <c r="EK219" s="453"/>
      <c r="EL219" s="449">
        <f>SUM(CD219:DW219)</f>
        <v>3969713</v>
      </c>
      <c r="EM219" s="450"/>
      <c r="EN219" s="451"/>
      <c r="EO219" s="13"/>
      <c r="ER219" s="14"/>
      <c r="ES219" s="14"/>
    </row>
    <row r="220" spans="4:149" x14ac:dyDescent="0.2">
      <c r="D220" s="13" t="s">
        <v>349</v>
      </c>
      <c r="F220" s="198"/>
      <c r="G220" s="451">
        <v>0</v>
      </c>
      <c r="H220" s="455"/>
      <c r="I220" s="451"/>
      <c r="J220" s="452"/>
      <c r="K220" s="452"/>
      <c r="L220" s="451">
        <v>0</v>
      </c>
      <c r="M220" s="455"/>
      <c r="N220" s="451"/>
      <c r="O220" s="452"/>
      <c r="P220" s="452"/>
      <c r="Q220" s="451">
        <v>0</v>
      </c>
      <c r="R220" s="455"/>
      <c r="S220" s="451"/>
      <c r="T220" s="452"/>
      <c r="U220" s="452"/>
      <c r="V220" s="451">
        <v>0</v>
      </c>
      <c r="W220" s="455"/>
      <c r="X220" s="451"/>
      <c r="Y220" s="452"/>
      <c r="Z220" s="452"/>
      <c r="AA220" s="451">
        <v>0</v>
      </c>
      <c r="AB220" s="455"/>
      <c r="AC220" s="451"/>
      <c r="AD220" s="452"/>
      <c r="AE220" s="452"/>
      <c r="AF220" s="451">
        <v>0</v>
      </c>
      <c r="AG220" s="455"/>
      <c r="AH220" s="451"/>
      <c r="AI220" s="452"/>
      <c r="AJ220" s="452"/>
      <c r="AK220" s="451">
        <v>0</v>
      </c>
      <c r="AL220" s="455"/>
      <c r="AM220" s="451"/>
      <c r="AN220" s="452"/>
      <c r="AO220" s="452"/>
      <c r="AP220" s="451">
        <v>0</v>
      </c>
      <c r="AQ220" s="455"/>
      <c r="AR220" s="451"/>
      <c r="AS220" s="452"/>
      <c r="AT220" s="452"/>
      <c r="AU220" s="451">
        <v>0</v>
      </c>
      <c r="AV220" s="455"/>
      <c r="AW220" s="451"/>
      <c r="AX220" s="452"/>
      <c r="AY220" s="452"/>
      <c r="AZ220" s="451">
        <v>0</v>
      </c>
      <c r="BA220" s="455"/>
      <c r="BB220" s="451"/>
      <c r="BC220" s="452"/>
      <c r="BD220" s="452"/>
      <c r="BE220" s="451">
        <v>0</v>
      </c>
      <c r="BF220" s="455"/>
      <c r="BG220" s="451"/>
      <c r="BH220" s="452"/>
      <c r="BI220" s="452"/>
      <c r="BJ220" s="451">
        <v>0</v>
      </c>
      <c r="BK220" s="455"/>
      <c r="BL220" s="451"/>
      <c r="BM220" s="452"/>
      <c r="BN220" s="452"/>
      <c r="BO220" s="451">
        <v>0</v>
      </c>
      <c r="BP220" s="455"/>
      <c r="BQ220" s="451"/>
      <c r="BR220" s="452"/>
      <c r="BS220" s="452"/>
      <c r="BT220" s="451">
        <f>SUM(L220:BO220)</f>
        <v>0</v>
      </c>
      <c r="BU220" s="455"/>
      <c r="BV220" s="451"/>
      <c r="BW220" s="452"/>
      <c r="BX220" s="452"/>
      <c r="BY220" s="451">
        <v>0</v>
      </c>
      <c r="BZ220" s="455"/>
      <c r="CA220" s="451"/>
      <c r="CB220" s="452"/>
      <c r="CC220" s="452"/>
      <c r="CD220" s="451">
        <v>0</v>
      </c>
      <c r="CE220" s="455"/>
      <c r="CF220" s="451"/>
      <c r="CG220" s="452"/>
      <c r="CH220" s="452"/>
      <c r="CI220" s="451">
        <v>0</v>
      </c>
      <c r="CJ220" s="455"/>
      <c r="CK220" s="451"/>
      <c r="CL220" s="452"/>
      <c r="CM220" s="452"/>
      <c r="CN220" s="451">
        <v>0</v>
      </c>
      <c r="CO220" s="455"/>
      <c r="CP220" s="451"/>
      <c r="CQ220" s="452"/>
      <c r="CR220" s="452"/>
      <c r="CS220" s="451">
        <v>0</v>
      </c>
      <c r="CT220" s="455"/>
      <c r="CU220" s="451"/>
      <c r="CV220" s="452"/>
      <c r="CW220" s="452"/>
      <c r="CX220" s="451">
        <v>0</v>
      </c>
      <c r="CY220" s="455"/>
      <c r="CZ220" s="451"/>
      <c r="DA220" s="452"/>
      <c r="DB220" s="452"/>
      <c r="DC220" s="451">
        <v>0</v>
      </c>
      <c r="DD220" s="455"/>
      <c r="DE220" s="451"/>
      <c r="DF220" s="452"/>
      <c r="DG220" s="452"/>
      <c r="DH220" s="451">
        <v>0</v>
      </c>
      <c r="DI220" s="455"/>
      <c r="DJ220" s="451"/>
      <c r="DK220" s="452"/>
      <c r="DL220" s="452"/>
      <c r="DM220" s="451">
        <v>0</v>
      </c>
      <c r="DN220" s="455"/>
      <c r="DO220" s="451"/>
      <c r="DP220" s="452"/>
      <c r="DQ220" s="452"/>
      <c r="DR220" s="451">
        <v>0</v>
      </c>
      <c r="DS220" s="455"/>
      <c r="DT220" s="451"/>
      <c r="DU220" s="452"/>
      <c r="DV220" s="452"/>
      <c r="DW220" s="451">
        <v>0</v>
      </c>
      <c r="DX220" s="455"/>
      <c r="DY220" s="451"/>
      <c r="DZ220" s="452"/>
      <c r="EA220" s="452"/>
      <c r="EB220" s="451">
        <v>0</v>
      </c>
      <c r="EC220" s="455"/>
      <c r="ED220" s="451"/>
      <c r="EE220" s="452"/>
      <c r="EF220" s="452"/>
      <c r="EG220" s="451">
        <v>0</v>
      </c>
      <c r="EH220" s="455"/>
      <c r="EI220" s="451"/>
      <c r="EJ220" s="452"/>
      <c r="EK220" s="452"/>
      <c r="EL220" s="451">
        <f>SUM(CD220:DW220)</f>
        <v>0</v>
      </c>
      <c r="EM220" s="455"/>
      <c r="EN220" s="451"/>
      <c r="EO220" s="13"/>
      <c r="ER220" s="14"/>
      <c r="ES220" s="14"/>
    </row>
    <row r="221" spans="4:149" x14ac:dyDescent="0.2">
      <c r="D221" s="13" t="s">
        <v>357</v>
      </c>
      <c r="F221" s="385"/>
      <c r="G221" s="463">
        <v>0</v>
      </c>
      <c r="H221" s="464"/>
      <c r="I221" s="451"/>
      <c r="J221" s="452"/>
      <c r="K221" s="465"/>
      <c r="L221" s="463">
        <v>0</v>
      </c>
      <c r="M221" s="464"/>
      <c r="N221" s="451"/>
      <c r="O221" s="452"/>
      <c r="P221" s="465"/>
      <c r="Q221" s="463">
        <v>0</v>
      </c>
      <c r="R221" s="464"/>
      <c r="S221" s="451"/>
      <c r="T221" s="452"/>
      <c r="U221" s="465"/>
      <c r="V221" s="463">
        <v>0</v>
      </c>
      <c r="W221" s="464"/>
      <c r="X221" s="451"/>
      <c r="Y221" s="452"/>
      <c r="Z221" s="465"/>
      <c r="AA221" s="463">
        <v>0</v>
      </c>
      <c r="AB221" s="464"/>
      <c r="AC221" s="451"/>
      <c r="AD221" s="452"/>
      <c r="AE221" s="465"/>
      <c r="AF221" s="463">
        <v>0</v>
      </c>
      <c r="AG221" s="464"/>
      <c r="AH221" s="451"/>
      <c r="AI221" s="452"/>
      <c r="AJ221" s="465"/>
      <c r="AK221" s="463">
        <v>0</v>
      </c>
      <c r="AL221" s="464"/>
      <c r="AM221" s="451"/>
      <c r="AN221" s="452"/>
      <c r="AO221" s="465"/>
      <c r="AP221" s="463">
        <v>0</v>
      </c>
      <c r="AQ221" s="464"/>
      <c r="AR221" s="451"/>
      <c r="AS221" s="452"/>
      <c r="AT221" s="465"/>
      <c r="AU221" s="463">
        <v>0</v>
      </c>
      <c r="AV221" s="464"/>
      <c r="AW221" s="451"/>
      <c r="AX221" s="452"/>
      <c r="AY221" s="465"/>
      <c r="AZ221" s="463">
        <v>0</v>
      </c>
      <c r="BA221" s="464"/>
      <c r="BB221" s="451"/>
      <c r="BC221" s="452"/>
      <c r="BD221" s="465"/>
      <c r="BE221" s="463">
        <v>0</v>
      </c>
      <c r="BF221" s="464"/>
      <c r="BG221" s="451"/>
      <c r="BH221" s="452"/>
      <c r="BI221" s="465"/>
      <c r="BJ221" s="463">
        <v>0</v>
      </c>
      <c r="BK221" s="464"/>
      <c r="BL221" s="451"/>
      <c r="BM221" s="452"/>
      <c r="BN221" s="465"/>
      <c r="BO221" s="463">
        <v>0</v>
      </c>
      <c r="BP221" s="464"/>
      <c r="BQ221" s="451"/>
      <c r="BR221" s="452"/>
      <c r="BS221" s="465"/>
      <c r="BT221" s="463">
        <f>SUM(L221:BO221)</f>
        <v>0</v>
      </c>
      <c r="BU221" s="464"/>
      <c r="BV221" s="451"/>
      <c r="BW221" s="452"/>
      <c r="BX221" s="465"/>
      <c r="BY221" s="463">
        <v>-378078</v>
      </c>
      <c r="BZ221" s="464"/>
      <c r="CA221" s="451"/>
      <c r="CB221" s="452"/>
      <c r="CC221" s="465"/>
      <c r="CD221" s="463">
        <v>0</v>
      </c>
      <c r="CE221" s="464"/>
      <c r="CF221" s="451"/>
      <c r="CG221" s="452"/>
      <c r="CH221" s="465"/>
      <c r="CI221" s="463">
        <v>-378078</v>
      </c>
      <c r="CJ221" s="464"/>
      <c r="CK221" s="451"/>
      <c r="CL221" s="452"/>
      <c r="CM221" s="465"/>
      <c r="CN221" s="463">
        <v>0</v>
      </c>
      <c r="CO221" s="464"/>
      <c r="CP221" s="451"/>
      <c r="CQ221" s="452"/>
      <c r="CR221" s="465"/>
      <c r="CS221" s="463">
        <v>0</v>
      </c>
      <c r="CT221" s="464"/>
      <c r="CU221" s="451"/>
      <c r="CV221" s="452"/>
      <c r="CW221" s="465"/>
      <c r="CX221" s="463">
        <v>0</v>
      </c>
      <c r="CY221" s="464"/>
      <c r="CZ221" s="451"/>
      <c r="DA221" s="452"/>
      <c r="DB221" s="465"/>
      <c r="DC221" s="463">
        <v>0</v>
      </c>
      <c r="DD221" s="464"/>
      <c r="DE221" s="451"/>
      <c r="DF221" s="452"/>
      <c r="DG221" s="465"/>
      <c r="DH221" s="463">
        <v>0</v>
      </c>
      <c r="DI221" s="464"/>
      <c r="DJ221" s="451"/>
      <c r="DK221" s="452"/>
      <c r="DL221" s="465"/>
      <c r="DM221" s="463">
        <v>0</v>
      </c>
      <c r="DN221" s="464"/>
      <c r="DO221" s="451"/>
      <c r="DP221" s="452"/>
      <c r="DQ221" s="465"/>
      <c r="DR221" s="463">
        <v>0</v>
      </c>
      <c r="DS221" s="464"/>
      <c r="DT221" s="451"/>
      <c r="DU221" s="452"/>
      <c r="DV221" s="465"/>
      <c r="DW221" s="463">
        <v>0</v>
      </c>
      <c r="DX221" s="464"/>
      <c r="DY221" s="451"/>
      <c r="DZ221" s="452"/>
      <c r="EA221" s="465"/>
      <c r="EB221" s="463">
        <v>0</v>
      </c>
      <c r="EC221" s="464"/>
      <c r="ED221" s="451"/>
      <c r="EE221" s="452"/>
      <c r="EF221" s="465"/>
      <c r="EG221" s="463">
        <v>0</v>
      </c>
      <c r="EH221" s="464"/>
      <c r="EI221" s="451"/>
      <c r="EJ221" s="452"/>
      <c r="EK221" s="465"/>
      <c r="EL221" s="463">
        <f>SUM(CD221:DW221)</f>
        <v>-378078</v>
      </c>
      <c r="EM221" s="464"/>
      <c r="EN221" s="451"/>
      <c r="EO221" s="13"/>
      <c r="ER221" s="14"/>
      <c r="ES221" s="14"/>
    </row>
    <row r="222" spans="4:149" ht="12.75" customHeight="1" x14ac:dyDescent="0.2">
      <c r="D222" s="13"/>
      <c r="E222" s="479"/>
      <c r="F222" s="188"/>
      <c r="G222" s="451"/>
      <c r="H222" s="451"/>
      <c r="I222" s="451"/>
      <c r="J222" s="452"/>
      <c r="K222" s="188"/>
      <c r="L222" s="451"/>
      <c r="M222" s="451"/>
      <c r="N222" s="451"/>
      <c r="O222" s="452"/>
      <c r="P222" s="188"/>
      <c r="Q222" s="451"/>
      <c r="R222" s="451"/>
      <c r="S222" s="451"/>
      <c r="T222" s="452"/>
      <c r="U222" s="188"/>
      <c r="V222" s="451"/>
      <c r="W222" s="451"/>
      <c r="X222" s="451"/>
      <c r="Y222" s="452"/>
      <c r="Z222" s="188"/>
      <c r="AA222" s="451"/>
      <c r="AB222" s="451"/>
      <c r="AC222" s="451"/>
      <c r="AD222" s="452"/>
      <c r="AE222" s="188"/>
      <c r="AF222" s="451"/>
      <c r="AG222" s="451"/>
      <c r="AH222" s="451"/>
      <c r="AI222" s="452"/>
      <c r="AJ222" s="188"/>
      <c r="AK222" s="451"/>
      <c r="AL222" s="451"/>
      <c r="AM222" s="451"/>
      <c r="AN222" s="452"/>
      <c r="AO222" s="188"/>
      <c r="AP222" s="451"/>
      <c r="AQ222" s="451"/>
      <c r="AR222" s="451"/>
      <c r="AS222" s="452"/>
      <c r="AT222" s="188"/>
      <c r="AU222" s="451"/>
      <c r="AV222" s="451"/>
      <c r="AW222" s="451"/>
      <c r="AX222" s="452"/>
      <c r="AY222" s="188"/>
      <c r="AZ222" s="451"/>
      <c r="BA222" s="451"/>
      <c r="BB222" s="451"/>
      <c r="BC222" s="452"/>
      <c r="BD222" s="188"/>
      <c r="BE222" s="451"/>
      <c r="BF222" s="451"/>
      <c r="BG222" s="451"/>
      <c r="BH222" s="452"/>
      <c r="BI222" s="188"/>
      <c r="BJ222" s="451"/>
      <c r="BK222" s="451"/>
      <c r="BL222" s="451"/>
      <c r="BM222" s="452"/>
      <c r="BN222" s="188"/>
      <c r="BO222" s="451"/>
      <c r="BP222" s="451"/>
      <c r="BQ222" s="451"/>
      <c r="BR222" s="452"/>
      <c r="BS222" s="188"/>
      <c r="BT222" s="451"/>
      <c r="BU222" s="451"/>
      <c r="BV222" s="451"/>
      <c r="BW222" s="452"/>
      <c r="BX222" s="188"/>
      <c r="BY222" s="451"/>
      <c r="BZ222" s="451"/>
      <c r="CA222" s="451"/>
      <c r="CB222" s="452"/>
      <c r="CC222" s="188"/>
      <c r="CD222" s="451"/>
      <c r="CE222" s="451"/>
      <c r="CF222" s="451"/>
      <c r="CG222" s="452"/>
      <c r="CH222" s="188"/>
      <c r="CI222" s="451"/>
      <c r="CJ222" s="451"/>
      <c r="CK222" s="451"/>
      <c r="CL222" s="452"/>
      <c r="CM222" s="188"/>
      <c r="CN222" s="451"/>
      <c r="CO222" s="451"/>
      <c r="CP222" s="451"/>
      <c r="CQ222" s="452"/>
      <c r="CR222" s="188"/>
      <c r="CS222" s="451"/>
      <c r="CT222" s="451"/>
      <c r="CU222" s="451"/>
      <c r="CV222" s="452"/>
      <c r="CW222" s="188"/>
      <c r="CX222" s="451"/>
      <c r="CY222" s="451"/>
      <c r="CZ222" s="451"/>
      <c r="DA222" s="452"/>
      <c r="DB222" s="188"/>
      <c r="DC222" s="451"/>
      <c r="DD222" s="451"/>
      <c r="DE222" s="451"/>
      <c r="DF222" s="452"/>
      <c r="DG222" s="188"/>
      <c r="DH222" s="451"/>
      <c r="DI222" s="451"/>
      <c r="DJ222" s="451"/>
      <c r="DK222" s="452"/>
      <c r="DL222" s="188"/>
      <c r="DM222" s="451"/>
      <c r="DN222" s="451"/>
      <c r="DO222" s="451"/>
      <c r="DP222" s="452"/>
      <c r="DQ222" s="188"/>
      <c r="DR222" s="451"/>
      <c r="DS222" s="451"/>
      <c r="DT222" s="451"/>
      <c r="DU222" s="452"/>
      <c r="DV222" s="188"/>
      <c r="DW222" s="451"/>
      <c r="DX222" s="451"/>
      <c r="DY222" s="451"/>
      <c r="DZ222" s="452"/>
      <c r="EA222" s="188"/>
      <c r="EB222" s="451"/>
      <c r="EC222" s="451"/>
      <c r="ED222" s="451"/>
      <c r="EE222" s="452"/>
      <c r="EF222" s="188"/>
      <c r="EG222" s="451"/>
      <c r="EH222" s="451"/>
      <c r="EI222" s="451"/>
      <c r="EJ222" s="452"/>
      <c r="EK222" s="188"/>
      <c r="EL222" s="451"/>
      <c r="EM222" s="451"/>
      <c r="EN222" s="451"/>
      <c r="EO222" s="13"/>
      <c r="ER222" s="14"/>
      <c r="ES222" s="14"/>
    </row>
    <row r="223" spans="4:149" ht="12.75" customHeight="1" x14ac:dyDescent="0.2">
      <c r="D223" s="13" t="str">
        <f>D114</f>
        <v xml:space="preserve">  R2040 (9.00%  2040/09/11)</v>
      </c>
      <c r="E223" s="479"/>
      <c r="F223" s="188"/>
      <c r="G223" s="451">
        <v>0</v>
      </c>
      <c r="H223" s="451"/>
      <c r="I223" s="451"/>
      <c r="J223" s="452"/>
      <c r="K223" s="451"/>
      <c r="L223" s="451">
        <v>0</v>
      </c>
      <c r="M223" s="451"/>
      <c r="N223" s="451"/>
      <c r="O223" s="452"/>
      <c r="P223" s="188"/>
      <c r="Q223" s="451">
        <f>SUM(Q224:Q226)</f>
        <v>0</v>
      </c>
      <c r="R223" s="451"/>
      <c r="S223" s="451"/>
      <c r="T223" s="452"/>
      <c r="U223" s="188"/>
      <c r="V223" s="451">
        <v>0</v>
      </c>
      <c r="W223" s="451"/>
      <c r="X223" s="451"/>
      <c r="Y223" s="452"/>
      <c r="Z223" s="188"/>
      <c r="AA223" s="451">
        <v>0</v>
      </c>
      <c r="AB223" s="451"/>
      <c r="AC223" s="451"/>
      <c r="AD223" s="452"/>
      <c r="AE223" s="188"/>
      <c r="AF223" s="451">
        <f>SUM(AF224:AF226)</f>
        <v>0</v>
      </c>
      <c r="AG223" s="451"/>
      <c r="AH223" s="451"/>
      <c r="AI223" s="452"/>
      <c r="AJ223" s="188"/>
      <c r="AK223" s="451">
        <f>SUM(AK224:AK226)</f>
        <v>0</v>
      </c>
      <c r="AL223" s="451"/>
      <c r="AM223" s="451"/>
      <c r="AN223" s="452"/>
      <c r="AO223" s="188"/>
      <c r="AP223" s="451">
        <v>0</v>
      </c>
      <c r="AQ223" s="451"/>
      <c r="AR223" s="451"/>
      <c r="AS223" s="452"/>
      <c r="AT223" s="188"/>
      <c r="AU223" s="451">
        <f>SUM(AU224:AU227)</f>
        <v>0</v>
      </c>
      <c r="AV223" s="451"/>
      <c r="AW223" s="451"/>
      <c r="AX223" s="452"/>
      <c r="AY223" s="188"/>
      <c r="AZ223" s="451">
        <f>SUM(AZ224:AZ226)</f>
        <v>0</v>
      </c>
      <c r="BA223" s="451"/>
      <c r="BB223" s="451"/>
      <c r="BC223" s="452"/>
      <c r="BD223" s="188"/>
      <c r="BE223" s="451">
        <v>0</v>
      </c>
      <c r="BF223" s="451"/>
      <c r="BG223" s="451"/>
      <c r="BH223" s="452"/>
      <c r="BI223" s="188"/>
      <c r="BJ223" s="451">
        <f>SUM(BJ224:BJ226)</f>
        <v>0</v>
      </c>
      <c r="BK223" s="451"/>
      <c r="BL223" s="451"/>
      <c r="BM223" s="452"/>
      <c r="BN223" s="188"/>
      <c r="BO223" s="451">
        <v>0</v>
      </c>
      <c r="BP223" s="451"/>
      <c r="BQ223" s="451"/>
      <c r="BR223" s="452"/>
      <c r="BS223" s="188"/>
      <c r="BT223" s="451">
        <f>SUM(BT224:BT227)</f>
        <v>0</v>
      </c>
      <c r="BU223" s="451"/>
      <c r="BV223" s="451"/>
      <c r="BW223" s="452"/>
      <c r="BX223" s="188"/>
      <c r="BY223" s="451">
        <f>SUM(BY224:BY227)</f>
        <v>707823</v>
      </c>
      <c r="BZ223" s="451"/>
      <c r="CA223" s="451"/>
      <c r="CB223" s="452"/>
      <c r="CC223" s="451"/>
      <c r="CD223" s="451">
        <v>0</v>
      </c>
      <c r="CE223" s="451"/>
      <c r="CF223" s="451"/>
      <c r="CG223" s="452"/>
      <c r="CH223" s="188"/>
      <c r="CI223" s="451">
        <f>SUM(CI224:CI226)</f>
        <v>707823</v>
      </c>
      <c r="CJ223" s="451"/>
      <c r="CK223" s="451"/>
      <c r="CL223" s="452"/>
      <c r="CM223" s="188"/>
      <c r="CN223" s="451">
        <v>0</v>
      </c>
      <c r="CO223" s="451"/>
      <c r="CP223" s="451"/>
      <c r="CQ223" s="452"/>
      <c r="CR223" s="188"/>
      <c r="CS223" s="451">
        <v>0</v>
      </c>
      <c r="CT223" s="451"/>
      <c r="CU223" s="451"/>
      <c r="CV223" s="452"/>
      <c r="CW223" s="188"/>
      <c r="CX223" s="451">
        <f>SUM(CX224:CX226)</f>
        <v>0</v>
      </c>
      <c r="CY223" s="451"/>
      <c r="CZ223" s="451"/>
      <c r="DA223" s="452"/>
      <c r="DB223" s="188"/>
      <c r="DC223" s="451">
        <f>SUM(DC224:DC226)</f>
        <v>0</v>
      </c>
      <c r="DD223" s="451"/>
      <c r="DE223" s="451"/>
      <c r="DF223" s="452"/>
      <c r="DG223" s="188"/>
      <c r="DH223" s="451">
        <v>0</v>
      </c>
      <c r="DI223" s="451"/>
      <c r="DJ223" s="451"/>
      <c r="DK223" s="452"/>
      <c r="DL223" s="188"/>
      <c r="DM223" s="451">
        <f>SUM(DM224:DM227)</f>
        <v>0</v>
      </c>
      <c r="DN223" s="451"/>
      <c r="DO223" s="451"/>
      <c r="DP223" s="452"/>
      <c r="DQ223" s="188"/>
      <c r="DR223" s="451">
        <f>SUM(DR224:DR226)</f>
        <v>0</v>
      </c>
      <c r="DS223" s="451"/>
      <c r="DT223" s="451"/>
      <c r="DU223" s="452"/>
      <c r="DV223" s="188"/>
      <c r="DW223" s="451">
        <v>0</v>
      </c>
      <c r="DX223" s="451"/>
      <c r="DY223" s="451"/>
      <c r="DZ223" s="452"/>
      <c r="EA223" s="188"/>
      <c r="EB223" s="451">
        <f>SUM(EB224:EB226)</f>
        <v>0</v>
      </c>
      <c r="EC223" s="451"/>
      <c r="ED223" s="451"/>
      <c r="EE223" s="452"/>
      <c r="EF223" s="188"/>
      <c r="EG223" s="451">
        <v>0</v>
      </c>
      <c r="EH223" s="451"/>
      <c r="EI223" s="451"/>
      <c r="EJ223" s="452"/>
      <c r="EK223" s="188"/>
      <c r="EL223" s="451">
        <f>SUM(EL224:EL227)</f>
        <v>707823</v>
      </c>
      <c r="EM223" s="451"/>
      <c r="EN223" s="451"/>
      <c r="EO223" s="13"/>
      <c r="ER223" s="14"/>
      <c r="ES223" s="14"/>
    </row>
    <row r="224" spans="4:149" ht="12.75" customHeight="1" x14ac:dyDescent="0.2">
      <c r="D224" s="13" t="s">
        <v>347</v>
      </c>
      <c r="E224" s="479"/>
      <c r="F224" s="374"/>
      <c r="G224" s="449">
        <v>0</v>
      </c>
      <c r="H224" s="450"/>
      <c r="I224" s="451"/>
      <c r="J224" s="452"/>
      <c r="K224" s="453"/>
      <c r="L224" s="449">
        <v>0</v>
      </c>
      <c r="M224" s="450"/>
      <c r="N224" s="451"/>
      <c r="O224" s="452"/>
      <c r="P224" s="453"/>
      <c r="Q224" s="449">
        <v>0</v>
      </c>
      <c r="R224" s="450"/>
      <c r="S224" s="451"/>
      <c r="T224" s="452"/>
      <c r="U224" s="480"/>
      <c r="V224" s="449">
        <v>0</v>
      </c>
      <c r="W224" s="450"/>
      <c r="X224" s="451"/>
      <c r="Y224" s="452"/>
      <c r="Z224" s="480"/>
      <c r="AA224" s="449">
        <v>0</v>
      </c>
      <c r="AB224" s="450"/>
      <c r="AC224" s="451"/>
      <c r="AD224" s="452"/>
      <c r="AE224" s="480"/>
      <c r="AF224" s="449">
        <v>0</v>
      </c>
      <c r="AG224" s="450"/>
      <c r="AH224" s="451"/>
      <c r="AI224" s="452"/>
      <c r="AJ224" s="480"/>
      <c r="AK224" s="449">
        <v>0</v>
      </c>
      <c r="AL224" s="450"/>
      <c r="AM224" s="451"/>
      <c r="AN224" s="452"/>
      <c r="AO224" s="480"/>
      <c r="AP224" s="449">
        <v>0</v>
      </c>
      <c r="AQ224" s="450"/>
      <c r="AR224" s="451"/>
      <c r="AS224" s="452"/>
      <c r="AT224" s="374"/>
      <c r="AU224" s="449">
        <v>0</v>
      </c>
      <c r="AV224" s="450"/>
      <c r="AW224" s="451"/>
      <c r="AX224" s="452"/>
      <c r="AY224" s="374"/>
      <c r="AZ224" s="449">
        <v>0</v>
      </c>
      <c r="BA224" s="450"/>
      <c r="BB224" s="451"/>
      <c r="BC224" s="452"/>
      <c r="BD224" s="374"/>
      <c r="BE224" s="449">
        <v>0</v>
      </c>
      <c r="BF224" s="450"/>
      <c r="BG224" s="451"/>
      <c r="BH224" s="452"/>
      <c r="BI224" s="374"/>
      <c r="BJ224" s="449">
        <v>0</v>
      </c>
      <c r="BK224" s="450"/>
      <c r="BL224" s="451"/>
      <c r="BM224" s="452"/>
      <c r="BN224" s="374"/>
      <c r="BO224" s="449">
        <v>0</v>
      </c>
      <c r="BP224" s="450"/>
      <c r="BQ224" s="451"/>
      <c r="BR224" s="452"/>
      <c r="BS224" s="374"/>
      <c r="BT224" s="449">
        <f>SUM(L224:BO224)</f>
        <v>0</v>
      </c>
      <c r="BU224" s="450"/>
      <c r="BV224" s="451"/>
      <c r="BW224" s="452"/>
      <c r="BX224" s="374"/>
      <c r="BY224" s="449">
        <v>657332</v>
      </c>
      <c r="BZ224" s="450"/>
      <c r="CA224" s="451"/>
      <c r="CB224" s="452"/>
      <c r="CC224" s="453"/>
      <c r="CD224" s="449">
        <v>0</v>
      </c>
      <c r="CE224" s="450"/>
      <c r="CF224" s="451"/>
      <c r="CG224" s="452"/>
      <c r="CH224" s="453"/>
      <c r="CI224" s="449">
        <f>707823-50491</f>
        <v>657332</v>
      </c>
      <c r="CJ224" s="450"/>
      <c r="CK224" s="451"/>
      <c r="CL224" s="452"/>
      <c r="CM224" s="480"/>
      <c r="CN224" s="449">
        <v>0</v>
      </c>
      <c r="CO224" s="450"/>
      <c r="CP224" s="451"/>
      <c r="CQ224" s="452"/>
      <c r="CR224" s="480"/>
      <c r="CS224" s="449">
        <v>0</v>
      </c>
      <c r="CT224" s="450"/>
      <c r="CU224" s="451"/>
      <c r="CV224" s="452"/>
      <c r="CW224" s="480"/>
      <c r="CX224" s="449">
        <v>0</v>
      </c>
      <c r="CY224" s="450"/>
      <c r="CZ224" s="451"/>
      <c r="DA224" s="452"/>
      <c r="DB224" s="480"/>
      <c r="DC224" s="449">
        <v>0</v>
      </c>
      <c r="DD224" s="450"/>
      <c r="DE224" s="451"/>
      <c r="DF224" s="452"/>
      <c r="DG224" s="480"/>
      <c r="DH224" s="449">
        <v>0</v>
      </c>
      <c r="DI224" s="450"/>
      <c r="DJ224" s="451"/>
      <c r="DK224" s="452"/>
      <c r="DL224" s="374"/>
      <c r="DM224" s="449">
        <v>0</v>
      </c>
      <c r="DN224" s="450"/>
      <c r="DO224" s="451"/>
      <c r="DP224" s="452"/>
      <c r="DQ224" s="374"/>
      <c r="DR224" s="449">
        <v>0</v>
      </c>
      <c r="DS224" s="450"/>
      <c r="DT224" s="451"/>
      <c r="DU224" s="452"/>
      <c r="DV224" s="374"/>
      <c r="DW224" s="449">
        <v>0</v>
      </c>
      <c r="DX224" s="450"/>
      <c r="DY224" s="451"/>
      <c r="DZ224" s="452"/>
      <c r="EA224" s="374"/>
      <c r="EB224" s="449">
        <v>0</v>
      </c>
      <c r="EC224" s="450"/>
      <c r="ED224" s="451"/>
      <c r="EE224" s="452"/>
      <c r="EF224" s="374"/>
      <c r="EG224" s="449">
        <v>0</v>
      </c>
      <c r="EH224" s="450"/>
      <c r="EI224" s="451"/>
      <c r="EJ224" s="452"/>
      <c r="EK224" s="374"/>
      <c r="EL224" s="449">
        <f>SUM(CD224:DW224)</f>
        <v>657332</v>
      </c>
      <c r="EM224" s="450"/>
      <c r="EN224" s="451"/>
      <c r="EO224" s="13"/>
      <c r="ER224" s="14"/>
      <c r="ES224" s="14"/>
    </row>
    <row r="225" spans="4:149" ht="12.75" customHeight="1" x14ac:dyDescent="0.2">
      <c r="D225" s="13" t="s">
        <v>349</v>
      </c>
      <c r="E225" s="479"/>
      <c r="F225" s="198"/>
      <c r="G225" s="451">
        <v>0</v>
      </c>
      <c r="H225" s="455"/>
      <c r="I225" s="451"/>
      <c r="J225" s="452"/>
      <c r="K225" s="452"/>
      <c r="L225" s="451">
        <v>0</v>
      </c>
      <c r="M225" s="455"/>
      <c r="N225" s="451"/>
      <c r="O225" s="452"/>
      <c r="P225" s="452"/>
      <c r="Q225" s="451">
        <v>0</v>
      </c>
      <c r="R225" s="455"/>
      <c r="S225" s="451"/>
      <c r="T225" s="452"/>
      <c r="U225" s="444"/>
      <c r="V225" s="451">
        <v>0</v>
      </c>
      <c r="W225" s="455"/>
      <c r="X225" s="451"/>
      <c r="Y225" s="452"/>
      <c r="Z225" s="444"/>
      <c r="AA225" s="451">
        <v>0</v>
      </c>
      <c r="AB225" s="455"/>
      <c r="AC225" s="451"/>
      <c r="AD225" s="452"/>
      <c r="AE225" s="444"/>
      <c r="AF225" s="451">
        <v>0</v>
      </c>
      <c r="AG225" s="455"/>
      <c r="AH225" s="451"/>
      <c r="AI225" s="452"/>
      <c r="AJ225" s="444"/>
      <c r="AK225" s="451">
        <v>0</v>
      </c>
      <c r="AL225" s="455"/>
      <c r="AM225" s="451"/>
      <c r="AN225" s="452"/>
      <c r="AO225" s="444"/>
      <c r="AP225" s="451">
        <v>0</v>
      </c>
      <c r="AQ225" s="455"/>
      <c r="AR225" s="451"/>
      <c r="AS225" s="452"/>
      <c r="AT225" s="198"/>
      <c r="AU225" s="451">
        <v>0</v>
      </c>
      <c r="AV225" s="455"/>
      <c r="AW225" s="451"/>
      <c r="AX225" s="452"/>
      <c r="AY225" s="198"/>
      <c r="AZ225" s="451">
        <v>0</v>
      </c>
      <c r="BA225" s="455"/>
      <c r="BB225" s="451"/>
      <c r="BC225" s="452"/>
      <c r="BD225" s="198"/>
      <c r="BE225" s="451">
        <v>0</v>
      </c>
      <c r="BF225" s="455"/>
      <c r="BG225" s="451"/>
      <c r="BH225" s="452"/>
      <c r="BI225" s="198"/>
      <c r="BJ225" s="451">
        <v>0</v>
      </c>
      <c r="BK225" s="455"/>
      <c r="BL225" s="451"/>
      <c r="BM225" s="452"/>
      <c r="BN225" s="198"/>
      <c r="BO225" s="451">
        <v>0</v>
      </c>
      <c r="BP225" s="455"/>
      <c r="BQ225" s="451"/>
      <c r="BR225" s="452"/>
      <c r="BS225" s="198"/>
      <c r="BT225" s="451">
        <f>SUM(L225:BO225)</f>
        <v>0</v>
      </c>
      <c r="BU225" s="455"/>
      <c r="BV225" s="451"/>
      <c r="BW225" s="452"/>
      <c r="BX225" s="198"/>
      <c r="BY225" s="451">
        <v>50491</v>
      </c>
      <c r="BZ225" s="455"/>
      <c r="CA225" s="451"/>
      <c r="CB225" s="452"/>
      <c r="CC225" s="452"/>
      <c r="CD225" s="451">
        <v>0</v>
      </c>
      <c r="CE225" s="455"/>
      <c r="CF225" s="451"/>
      <c r="CG225" s="452"/>
      <c r="CH225" s="452"/>
      <c r="CI225" s="451">
        <v>50491</v>
      </c>
      <c r="CJ225" s="455"/>
      <c r="CK225" s="451"/>
      <c r="CL225" s="452"/>
      <c r="CM225" s="444"/>
      <c r="CN225" s="451">
        <v>0</v>
      </c>
      <c r="CO225" s="455"/>
      <c r="CP225" s="451"/>
      <c r="CQ225" s="452"/>
      <c r="CR225" s="444"/>
      <c r="CS225" s="451">
        <v>0</v>
      </c>
      <c r="CT225" s="455"/>
      <c r="CU225" s="451"/>
      <c r="CV225" s="452"/>
      <c r="CW225" s="444"/>
      <c r="CX225" s="451">
        <v>0</v>
      </c>
      <c r="CY225" s="455"/>
      <c r="CZ225" s="451"/>
      <c r="DA225" s="452"/>
      <c r="DB225" s="444"/>
      <c r="DC225" s="451">
        <v>0</v>
      </c>
      <c r="DD225" s="455"/>
      <c r="DE225" s="451"/>
      <c r="DF225" s="452"/>
      <c r="DG225" s="444"/>
      <c r="DH225" s="451">
        <v>0</v>
      </c>
      <c r="DI225" s="455"/>
      <c r="DJ225" s="451"/>
      <c r="DK225" s="452"/>
      <c r="DL225" s="198"/>
      <c r="DM225" s="451">
        <v>0</v>
      </c>
      <c r="DN225" s="455"/>
      <c r="DO225" s="451"/>
      <c r="DP225" s="452"/>
      <c r="DQ225" s="198"/>
      <c r="DR225" s="451">
        <v>0</v>
      </c>
      <c r="DS225" s="455"/>
      <c r="DT225" s="451"/>
      <c r="DU225" s="452"/>
      <c r="DV225" s="198"/>
      <c r="DW225" s="451">
        <v>0</v>
      </c>
      <c r="DX225" s="455"/>
      <c r="DY225" s="451"/>
      <c r="DZ225" s="452"/>
      <c r="EA225" s="198"/>
      <c r="EB225" s="451">
        <v>0</v>
      </c>
      <c r="EC225" s="455"/>
      <c r="ED225" s="451"/>
      <c r="EE225" s="452"/>
      <c r="EF225" s="198"/>
      <c r="EG225" s="451">
        <v>0</v>
      </c>
      <c r="EH225" s="455"/>
      <c r="EI225" s="451"/>
      <c r="EJ225" s="452"/>
      <c r="EK225" s="198"/>
      <c r="EL225" s="451">
        <f>SUM(CD225:DW225)</f>
        <v>50491</v>
      </c>
      <c r="EM225" s="455"/>
      <c r="EN225" s="451"/>
      <c r="EO225" s="13"/>
      <c r="ER225" s="14"/>
      <c r="ES225" s="14"/>
    </row>
    <row r="226" spans="4:149" ht="12.75" customHeight="1" x14ac:dyDescent="0.2">
      <c r="D226" s="13" t="s">
        <v>357</v>
      </c>
      <c r="E226" s="479"/>
      <c r="F226" s="385"/>
      <c r="G226" s="463">
        <v>0</v>
      </c>
      <c r="H226" s="464"/>
      <c r="I226" s="451"/>
      <c r="J226" s="452"/>
      <c r="K226" s="465"/>
      <c r="L226" s="463">
        <v>0</v>
      </c>
      <c r="M226" s="464"/>
      <c r="N226" s="451"/>
      <c r="O226" s="452"/>
      <c r="P226" s="465"/>
      <c r="Q226" s="463">
        <v>0</v>
      </c>
      <c r="R226" s="464"/>
      <c r="S226" s="451"/>
      <c r="T226" s="452"/>
      <c r="U226" s="385"/>
      <c r="V226" s="463">
        <v>0</v>
      </c>
      <c r="W226" s="464"/>
      <c r="X226" s="451"/>
      <c r="Y226" s="452"/>
      <c r="Z226" s="385"/>
      <c r="AA226" s="463">
        <v>0</v>
      </c>
      <c r="AB226" s="464"/>
      <c r="AC226" s="451"/>
      <c r="AD226" s="452"/>
      <c r="AE226" s="385"/>
      <c r="AF226" s="463">
        <v>0</v>
      </c>
      <c r="AG226" s="464"/>
      <c r="AH226" s="451"/>
      <c r="AI226" s="452"/>
      <c r="AJ226" s="385"/>
      <c r="AK226" s="463">
        <v>0</v>
      </c>
      <c r="AL226" s="464"/>
      <c r="AM226" s="451"/>
      <c r="AN226" s="452"/>
      <c r="AO226" s="385"/>
      <c r="AP226" s="463">
        <v>0</v>
      </c>
      <c r="AQ226" s="464"/>
      <c r="AR226" s="451"/>
      <c r="AS226" s="452"/>
      <c r="AT226" s="385"/>
      <c r="AU226" s="463">
        <v>0</v>
      </c>
      <c r="AV226" s="464"/>
      <c r="AW226" s="451"/>
      <c r="AX226" s="452"/>
      <c r="AY226" s="385"/>
      <c r="AZ226" s="463">
        <v>0</v>
      </c>
      <c r="BA226" s="464"/>
      <c r="BB226" s="451"/>
      <c r="BC226" s="452"/>
      <c r="BD226" s="385"/>
      <c r="BE226" s="463">
        <v>0</v>
      </c>
      <c r="BF226" s="464"/>
      <c r="BG226" s="451"/>
      <c r="BH226" s="452"/>
      <c r="BI226" s="385"/>
      <c r="BJ226" s="463">
        <v>0</v>
      </c>
      <c r="BK226" s="464"/>
      <c r="BL226" s="451"/>
      <c r="BM226" s="452"/>
      <c r="BN226" s="385"/>
      <c r="BO226" s="463">
        <v>0</v>
      </c>
      <c r="BP226" s="464"/>
      <c r="BQ226" s="451"/>
      <c r="BR226" s="452"/>
      <c r="BS226" s="385"/>
      <c r="BT226" s="463">
        <f>SUM(L226:BO226)</f>
        <v>0</v>
      </c>
      <c r="BU226" s="464"/>
      <c r="BV226" s="451"/>
      <c r="BW226" s="452"/>
      <c r="BX226" s="385"/>
      <c r="BY226" s="463">
        <v>0</v>
      </c>
      <c r="BZ226" s="464"/>
      <c r="CA226" s="451"/>
      <c r="CB226" s="452"/>
      <c r="CC226" s="465"/>
      <c r="CD226" s="463">
        <v>0</v>
      </c>
      <c r="CE226" s="464"/>
      <c r="CF226" s="451"/>
      <c r="CG226" s="452"/>
      <c r="CH226" s="465"/>
      <c r="CI226" s="463">
        <v>0</v>
      </c>
      <c r="CJ226" s="464"/>
      <c r="CK226" s="451"/>
      <c r="CL226" s="452"/>
      <c r="CM226" s="385"/>
      <c r="CN226" s="463">
        <v>0</v>
      </c>
      <c r="CO226" s="464"/>
      <c r="CP226" s="451"/>
      <c r="CQ226" s="452"/>
      <c r="CR226" s="385"/>
      <c r="CS226" s="463">
        <v>0</v>
      </c>
      <c r="CT226" s="464"/>
      <c r="CU226" s="451"/>
      <c r="CV226" s="452"/>
      <c r="CW226" s="385"/>
      <c r="CX226" s="463">
        <v>0</v>
      </c>
      <c r="CY226" s="464"/>
      <c r="CZ226" s="451"/>
      <c r="DA226" s="452"/>
      <c r="DB226" s="385"/>
      <c r="DC226" s="463">
        <v>0</v>
      </c>
      <c r="DD226" s="464"/>
      <c r="DE226" s="451"/>
      <c r="DF226" s="452"/>
      <c r="DG226" s="385"/>
      <c r="DH226" s="463">
        <v>0</v>
      </c>
      <c r="DI226" s="464"/>
      <c r="DJ226" s="451"/>
      <c r="DK226" s="452"/>
      <c r="DL226" s="385"/>
      <c r="DM226" s="463">
        <v>0</v>
      </c>
      <c r="DN226" s="464"/>
      <c r="DO226" s="451"/>
      <c r="DP226" s="452"/>
      <c r="DQ226" s="385"/>
      <c r="DR226" s="463">
        <v>0</v>
      </c>
      <c r="DS226" s="464"/>
      <c r="DT226" s="451"/>
      <c r="DU226" s="452"/>
      <c r="DV226" s="385"/>
      <c r="DW226" s="463">
        <v>0</v>
      </c>
      <c r="DX226" s="464"/>
      <c r="DY226" s="451"/>
      <c r="DZ226" s="452"/>
      <c r="EA226" s="385"/>
      <c r="EB226" s="463">
        <v>0</v>
      </c>
      <c r="EC226" s="464"/>
      <c r="ED226" s="451"/>
      <c r="EE226" s="452"/>
      <c r="EF226" s="385"/>
      <c r="EG226" s="463">
        <v>0</v>
      </c>
      <c r="EH226" s="464"/>
      <c r="EI226" s="451"/>
      <c r="EJ226" s="452"/>
      <c r="EK226" s="385"/>
      <c r="EL226" s="463">
        <f>SUM(CD226:DW226)</f>
        <v>0</v>
      </c>
      <c r="EM226" s="464"/>
      <c r="EN226" s="451"/>
      <c r="EO226" s="13"/>
      <c r="ER226" s="14"/>
      <c r="ES226" s="14"/>
    </row>
    <row r="227" spans="4:149" ht="12.75" hidden="1" customHeight="1" x14ac:dyDescent="0.2">
      <c r="D227" s="13" t="s">
        <v>351</v>
      </c>
      <c r="E227" s="479"/>
      <c r="F227" s="482"/>
      <c r="G227" s="463">
        <v>0</v>
      </c>
      <c r="H227" s="464"/>
      <c r="I227" s="451"/>
      <c r="J227" s="452"/>
      <c r="K227" s="482"/>
      <c r="L227" s="463">
        <v>0</v>
      </c>
      <c r="M227" s="464"/>
      <c r="N227" s="451"/>
      <c r="O227" s="452"/>
      <c r="P227" s="482"/>
      <c r="Q227" s="463">
        <v>0</v>
      </c>
      <c r="R227" s="464"/>
      <c r="S227" s="451"/>
      <c r="T227" s="452"/>
      <c r="U227" s="482"/>
      <c r="V227" s="463">
        <v>0</v>
      </c>
      <c r="W227" s="464"/>
      <c r="X227" s="451"/>
      <c r="Y227" s="452"/>
      <c r="Z227" s="482"/>
      <c r="AA227" s="463">
        <v>0</v>
      </c>
      <c r="AB227" s="464"/>
      <c r="AC227" s="451"/>
      <c r="AD227" s="452"/>
      <c r="AE227" s="482"/>
      <c r="AF227" s="463">
        <v>0</v>
      </c>
      <c r="AG227" s="464"/>
      <c r="AH227" s="451"/>
      <c r="AI227" s="452"/>
      <c r="AJ227" s="482"/>
      <c r="AK227" s="463">
        <v>0</v>
      </c>
      <c r="AL227" s="464"/>
      <c r="AM227" s="451"/>
      <c r="AN227" s="452"/>
      <c r="AO227" s="482"/>
      <c r="AP227" s="463">
        <v>0</v>
      </c>
      <c r="AQ227" s="464"/>
      <c r="AR227" s="451"/>
      <c r="AS227" s="452"/>
      <c r="AT227" s="482"/>
      <c r="AU227" s="463">
        <v>0</v>
      </c>
      <c r="AV227" s="464"/>
      <c r="AW227" s="451"/>
      <c r="AX227" s="452"/>
      <c r="AY227" s="482"/>
      <c r="AZ227" s="463">
        <v>0</v>
      </c>
      <c r="BA227" s="464"/>
      <c r="BB227" s="451"/>
      <c r="BC227" s="452"/>
      <c r="BD227" s="482"/>
      <c r="BE227" s="463">
        <v>0</v>
      </c>
      <c r="BF227" s="464"/>
      <c r="BG227" s="451"/>
      <c r="BH227" s="452"/>
      <c r="BI227" s="482"/>
      <c r="BJ227" s="463">
        <v>0</v>
      </c>
      <c r="BK227" s="464"/>
      <c r="BL227" s="451"/>
      <c r="BM227" s="452"/>
      <c r="BN227" s="482"/>
      <c r="BO227" s="463">
        <v>0</v>
      </c>
      <c r="BP227" s="464"/>
      <c r="BQ227" s="451"/>
      <c r="BR227" s="452"/>
      <c r="BS227" s="482"/>
      <c r="BT227" s="463">
        <f>SUM(L227:BO227)</f>
        <v>0</v>
      </c>
      <c r="BU227" s="464"/>
      <c r="BV227" s="451"/>
      <c r="BW227" s="452"/>
      <c r="BX227" s="482"/>
      <c r="BY227" s="463">
        <f>SUM(Q227:BT227)</f>
        <v>0</v>
      </c>
      <c r="BZ227" s="464"/>
      <c r="CA227" s="451"/>
      <c r="CB227" s="452"/>
      <c r="CC227" s="482"/>
      <c r="CD227" s="463">
        <v>0</v>
      </c>
      <c r="CE227" s="464"/>
      <c r="CF227" s="451"/>
      <c r="CG227" s="452"/>
      <c r="CH227" s="482"/>
      <c r="CI227" s="463">
        <v>0</v>
      </c>
      <c r="CJ227" s="464"/>
      <c r="CK227" s="451"/>
      <c r="CL227" s="452"/>
      <c r="CM227" s="482"/>
      <c r="CN227" s="463">
        <v>0</v>
      </c>
      <c r="CO227" s="464"/>
      <c r="CP227" s="451"/>
      <c r="CQ227" s="452"/>
      <c r="CR227" s="482"/>
      <c r="CS227" s="463">
        <v>0</v>
      </c>
      <c r="CT227" s="464"/>
      <c r="CU227" s="451"/>
      <c r="CV227" s="452"/>
      <c r="CW227" s="482"/>
      <c r="CX227" s="463">
        <v>0</v>
      </c>
      <c r="CY227" s="464"/>
      <c r="CZ227" s="451"/>
      <c r="DA227" s="452"/>
      <c r="DB227" s="482"/>
      <c r="DC227" s="463">
        <v>0</v>
      </c>
      <c r="DD227" s="464"/>
      <c r="DE227" s="451"/>
      <c r="DF227" s="452"/>
      <c r="DG227" s="482"/>
      <c r="DH227" s="463">
        <v>0</v>
      </c>
      <c r="DI227" s="464"/>
      <c r="DJ227" s="451"/>
      <c r="DK227" s="452"/>
      <c r="DL227" s="482"/>
      <c r="DM227" s="463">
        <v>0</v>
      </c>
      <c r="DN227" s="464"/>
      <c r="DO227" s="451"/>
      <c r="DP227" s="452"/>
      <c r="DQ227" s="482"/>
      <c r="DR227" s="463">
        <v>0</v>
      </c>
      <c r="DS227" s="464"/>
      <c r="DT227" s="451"/>
      <c r="DU227" s="452"/>
      <c r="DV227" s="482"/>
      <c r="DW227" s="463">
        <v>0</v>
      </c>
      <c r="DX227" s="464"/>
      <c r="DY227" s="451"/>
      <c r="DZ227" s="452"/>
      <c r="EA227" s="482"/>
      <c r="EB227" s="463">
        <v>0</v>
      </c>
      <c r="EC227" s="464"/>
      <c r="ED227" s="451"/>
      <c r="EE227" s="452"/>
      <c r="EF227" s="482"/>
      <c r="EG227" s="463">
        <v>0</v>
      </c>
      <c r="EH227" s="464"/>
      <c r="EI227" s="451"/>
      <c r="EJ227" s="452"/>
      <c r="EK227" s="482"/>
      <c r="EL227" s="463">
        <f>SUM(CD227:EG227)</f>
        <v>0</v>
      </c>
      <c r="EM227" s="464"/>
      <c r="EN227" s="451"/>
      <c r="EO227" s="13"/>
      <c r="ER227" s="14"/>
      <c r="ES227" s="14"/>
    </row>
    <row r="228" spans="4:149" ht="12.75" customHeight="1" x14ac:dyDescent="0.2">
      <c r="D228" s="13"/>
      <c r="E228" s="479"/>
      <c r="F228" s="188"/>
      <c r="G228" s="451"/>
      <c r="H228" s="451"/>
      <c r="I228" s="451"/>
      <c r="J228" s="452"/>
      <c r="K228" s="188"/>
      <c r="L228" s="451"/>
      <c r="M228" s="451"/>
      <c r="N228" s="451"/>
      <c r="O228" s="452"/>
      <c r="P228" s="188"/>
      <c r="Q228" s="451"/>
      <c r="R228" s="451"/>
      <c r="S228" s="451"/>
      <c r="T228" s="452"/>
      <c r="U228" s="188"/>
      <c r="V228" s="451"/>
      <c r="W228" s="451"/>
      <c r="X228" s="451"/>
      <c r="Y228" s="452"/>
      <c r="Z228" s="188"/>
      <c r="AA228" s="451"/>
      <c r="AB228" s="451"/>
      <c r="AC228" s="451"/>
      <c r="AD228" s="452"/>
      <c r="AE228" s="188"/>
      <c r="AF228" s="451"/>
      <c r="AG228" s="451"/>
      <c r="AH228" s="451"/>
      <c r="AI228" s="452"/>
      <c r="AJ228" s="188"/>
      <c r="AK228" s="451"/>
      <c r="AL228" s="451"/>
      <c r="AM228" s="451"/>
      <c r="AN228" s="452"/>
      <c r="AO228" s="188"/>
      <c r="AP228" s="451"/>
      <c r="AQ228" s="451"/>
      <c r="AR228" s="451"/>
      <c r="AS228" s="452"/>
      <c r="AT228" s="188"/>
      <c r="AU228" s="451"/>
      <c r="AV228" s="451"/>
      <c r="AW228" s="451"/>
      <c r="AX228" s="452"/>
      <c r="AY228" s="188"/>
      <c r="AZ228" s="451"/>
      <c r="BA228" s="451"/>
      <c r="BB228" s="451"/>
      <c r="BC228" s="452"/>
      <c r="BD228" s="188"/>
      <c r="BE228" s="451"/>
      <c r="BF228" s="451"/>
      <c r="BG228" s="451"/>
      <c r="BH228" s="452"/>
      <c r="BI228" s="188"/>
      <c r="BJ228" s="451"/>
      <c r="BK228" s="451"/>
      <c r="BL228" s="451"/>
      <c r="BM228" s="452"/>
      <c r="BN228" s="188"/>
      <c r="BO228" s="451"/>
      <c r="BP228" s="451"/>
      <c r="BQ228" s="451"/>
      <c r="BR228" s="452"/>
      <c r="BS228" s="188"/>
      <c r="BT228" s="451"/>
      <c r="BU228" s="451"/>
      <c r="BV228" s="451"/>
      <c r="BW228" s="452"/>
      <c r="BX228" s="188"/>
      <c r="BY228" s="451"/>
      <c r="BZ228" s="451"/>
      <c r="CA228" s="451"/>
      <c r="CB228" s="452"/>
      <c r="CC228" s="188"/>
      <c r="CD228" s="451"/>
      <c r="CE228" s="451"/>
      <c r="CF228" s="451"/>
      <c r="CG228" s="452"/>
      <c r="CH228" s="188"/>
      <c r="CI228" s="451"/>
      <c r="CJ228" s="451"/>
      <c r="CK228" s="451"/>
      <c r="CL228" s="452"/>
      <c r="CM228" s="188"/>
      <c r="CN228" s="451"/>
      <c r="CO228" s="451"/>
      <c r="CP228" s="451"/>
      <c r="CQ228" s="452"/>
      <c r="CR228" s="188"/>
      <c r="CS228" s="451"/>
      <c r="CT228" s="451"/>
      <c r="CU228" s="451"/>
      <c r="CV228" s="452"/>
      <c r="CW228" s="188"/>
      <c r="CX228" s="451"/>
      <c r="CY228" s="451"/>
      <c r="CZ228" s="451"/>
      <c r="DA228" s="452"/>
      <c r="DB228" s="188"/>
      <c r="DC228" s="451"/>
      <c r="DD228" s="451"/>
      <c r="DE228" s="451"/>
      <c r="DF228" s="452"/>
      <c r="DG228" s="188"/>
      <c r="DH228" s="451"/>
      <c r="DI228" s="451"/>
      <c r="DJ228" s="451"/>
      <c r="DK228" s="452"/>
      <c r="DL228" s="188"/>
      <c r="DM228" s="451"/>
      <c r="DN228" s="451"/>
      <c r="DO228" s="451"/>
      <c r="DP228" s="452"/>
      <c r="DQ228" s="188"/>
      <c r="DR228" s="451"/>
      <c r="DS228" s="451"/>
      <c r="DT228" s="451"/>
      <c r="DU228" s="452"/>
      <c r="DV228" s="188"/>
      <c r="DW228" s="451"/>
      <c r="DX228" s="451"/>
      <c r="DY228" s="451"/>
      <c r="DZ228" s="452"/>
      <c r="EA228" s="188"/>
      <c r="EB228" s="451"/>
      <c r="EC228" s="451"/>
      <c r="ED228" s="451"/>
      <c r="EE228" s="452"/>
      <c r="EF228" s="188"/>
      <c r="EG228" s="451"/>
      <c r="EH228" s="451"/>
      <c r="EI228" s="451"/>
      <c r="EJ228" s="452"/>
      <c r="EK228" s="188"/>
      <c r="EL228" s="451"/>
      <c r="EM228" s="451"/>
      <c r="EN228" s="451"/>
      <c r="EO228" s="13"/>
      <c r="ER228" s="14"/>
      <c r="ES228" s="14"/>
    </row>
    <row r="229" spans="4:149" ht="12.75" customHeight="1" x14ac:dyDescent="0.2">
      <c r="D229" s="13" t="s">
        <v>378</v>
      </c>
      <c r="E229" s="479"/>
      <c r="G229" s="451">
        <f>SUM(G230:G232)</f>
        <v>0</v>
      </c>
      <c r="H229" s="451"/>
      <c r="I229" s="451"/>
      <c r="J229" s="452"/>
      <c r="L229" s="451">
        <f>SUM(L230:L232)</f>
        <v>0</v>
      </c>
      <c r="M229" s="451"/>
      <c r="N229" s="451"/>
      <c r="O229" s="452"/>
      <c r="Q229" s="451">
        <f>SUM(Q230:Q232)</f>
        <v>0</v>
      </c>
      <c r="R229" s="451"/>
      <c r="S229" s="451"/>
      <c r="T229" s="452"/>
      <c r="V229" s="451">
        <f>SUM(V230:V232)</f>
        <v>0</v>
      </c>
      <c r="W229" s="451"/>
      <c r="X229" s="451"/>
      <c r="Y229" s="452"/>
      <c r="AA229" s="451">
        <f>SUM(AA230:AA232)</f>
        <v>0</v>
      </c>
      <c r="AB229" s="451"/>
      <c r="AC229" s="451"/>
      <c r="AD229" s="452"/>
      <c r="AF229" s="451">
        <f>SUM(AF230:AF232)</f>
        <v>0</v>
      </c>
      <c r="AG229" s="451"/>
      <c r="AH229" s="451"/>
      <c r="AI229" s="452"/>
      <c r="AK229" s="451">
        <f>SUM(AK230:AK232)</f>
        <v>0</v>
      </c>
      <c r="AL229" s="451"/>
      <c r="AM229" s="451"/>
      <c r="AN229" s="452"/>
      <c r="AP229" s="451">
        <f>SUM(AP230:AP232)</f>
        <v>0</v>
      </c>
      <c r="AQ229" s="451"/>
      <c r="AR229" s="451"/>
      <c r="AS229" s="452"/>
      <c r="AU229" s="451">
        <f>SUM(AU230:AU232)</f>
        <v>0</v>
      </c>
      <c r="AV229" s="451"/>
      <c r="AW229" s="451"/>
      <c r="AX229" s="452"/>
      <c r="AZ229" s="451">
        <f>SUM(AZ230:AZ232)</f>
        <v>0</v>
      </c>
      <c r="BA229" s="451"/>
      <c r="BB229" s="451"/>
      <c r="BC229" s="452"/>
      <c r="BE229" s="451">
        <f>SUM(BE230:BE232)</f>
        <v>0</v>
      </c>
      <c r="BF229" s="451"/>
      <c r="BG229" s="451"/>
      <c r="BH229" s="452"/>
      <c r="BJ229" s="451">
        <f>SUM(BJ230:BJ232)</f>
        <v>0</v>
      </c>
      <c r="BK229" s="451"/>
      <c r="BL229" s="451"/>
      <c r="BM229" s="452"/>
      <c r="BO229" s="451">
        <f>SUM(BO230:BO232)</f>
        <v>0</v>
      </c>
      <c r="BP229" s="451"/>
      <c r="BQ229" s="451"/>
      <c r="BR229" s="452"/>
      <c r="BT229" s="451">
        <f>SUM(BT230:BT232)</f>
        <v>0</v>
      </c>
      <c r="BU229" s="451"/>
      <c r="BV229" s="451"/>
      <c r="BW229" s="452"/>
      <c r="BY229" s="451">
        <f>SUM(BY230:BY232)</f>
        <v>145532</v>
      </c>
      <c r="BZ229" s="451"/>
      <c r="CA229" s="451"/>
      <c r="CB229" s="452"/>
      <c r="CD229" s="451">
        <f>SUM(CD230:CD232)</f>
        <v>0</v>
      </c>
      <c r="CE229" s="451"/>
      <c r="CF229" s="451"/>
      <c r="CG229" s="452"/>
      <c r="CI229" s="451">
        <f>SUM(CI230:CI232)</f>
        <v>145532</v>
      </c>
      <c r="CJ229" s="451"/>
      <c r="CK229" s="451"/>
      <c r="CL229" s="452"/>
      <c r="CN229" s="451">
        <f>SUM(CN230:CN232)</f>
        <v>0</v>
      </c>
      <c r="CO229" s="451"/>
      <c r="CP229" s="451"/>
      <c r="CQ229" s="452"/>
      <c r="CS229" s="451">
        <f>SUM(CS230:CS232)</f>
        <v>0</v>
      </c>
      <c r="CT229" s="451"/>
      <c r="CU229" s="451"/>
      <c r="CV229" s="452"/>
      <c r="CX229" s="451">
        <f>SUM(CX230:CX232)</f>
        <v>0</v>
      </c>
      <c r="CY229" s="451"/>
      <c r="CZ229" s="451"/>
      <c r="DA229" s="452"/>
      <c r="DC229" s="451">
        <f>SUM(DC230:DC232)</f>
        <v>0</v>
      </c>
      <c r="DD229" s="451"/>
      <c r="DE229" s="451"/>
      <c r="DF229" s="452"/>
      <c r="DH229" s="451">
        <f>SUM(DH230:DH232)</f>
        <v>0</v>
      </c>
      <c r="DI229" s="451"/>
      <c r="DJ229" s="451"/>
      <c r="DK229" s="452"/>
      <c r="DM229" s="451">
        <f>SUM(DM230:DM232)</f>
        <v>0</v>
      </c>
      <c r="DN229" s="451"/>
      <c r="DO229" s="451"/>
      <c r="DP229" s="452"/>
      <c r="DR229" s="451">
        <f>SUM(DR230:DR232)</f>
        <v>0</v>
      </c>
      <c r="DS229" s="451"/>
      <c r="DT229" s="451"/>
      <c r="DU229" s="452"/>
      <c r="DW229" s="451">
        <f>SUM(DW230:DW232)</f>
        <v>0</v>
      </c>
      <c r="DX229" s="451"/>
      <c r="DY229" s="451"/>
      <c r="DZ229" s="452"/>
      <c r="EB229" s="451">
        <f>SUM(EB230:EB232)</f>
        <v>0</v>
      </c>
      <c r="EC229" s="451"/>
      <c r="ED229" s="451"/>
      <c r="EE229" s="452"/>
      <c r="EG229" s="451">
        <f>SUM(EG230:EG232)</f>
        <v>0</v>
      </c>
      <c r="EH229" s="451"/>
      <c r="EI229" s="451"/>
      <c r="EJ229" s="452"/>
      <c r="EL229" s="451">
        <f>SUM(EL230:EL232)</f>
        <v>145532</v>
      </c>
      <c r="EM229" s="451"/>
      <c r="EN229" s="451"/>
      <c r="EO229" s="13"/>
      <c r="ER229" s="14"/>
      <c r="ES229" s="14"/>
    </row>
    <row r="230" spans="4:149" ht="12.75" customHeight="1" x14ac:dyDescent="0.2">
      <c r="D230" s="13" t="s">
        <v>347</v>
      </c>
      <c r="E230" s="479"/>
      <c r="F230" s="374"/>
      <c r="G230" s="449">
        <v>0</v>
      </c>
      <c r="H230" s="450"/>
      <c r="I230" s="451"/>
      <c r="J230" s="452"/>
      <c r="K230" s="374"/>
      <c r="L230" s="449">
        <v>0</v>
      </c>
      <c r="M230" s="450"/>
      <c r="N230" s="451"/>
      <c r="O230" s="452"/>
      <c r="P230" s="374"/>
      <c r="Q230" s="449">
        <v>0</v>
      </c>
      <c r="R230" s="450"/>
      <c r="S230" s="451"/>
      <c r="T230" s="452"/>
      <c r="U230" s="374"/>
      <c r="V230" s="449">
        <v>0</v>
      </c>
      <c r="W230" s="450"/>
      <c r="X230" s="451"/>
      <c r="Y230" s="452"/>
      <c r="Z230" s="374"/>
      <c r="AA230" s="449">
        <v>0</v>
      </c>
      <c r="AB230" s="450"/>
      <c r="AC230" s="451"/>
      <c r="AD230" s="452"/>
      <c r="AE230" s="374"/>
      <c r="AF230" s="449">
        <v>0</v>
      </c>
      <c r="AG230" s="450"/>
      <c r="AH230" s="451"/>
      <c r="AI230" s="452"/>
      <c r="AJ230" s="374"/>
      <c r="AK230" s="449">
        <v>0</v>
      </c>
      <c r="AL230" s="450"/>
      <c r="AM230" s="451"/>
      <c r="AN230" s="452"/>
      <c r="AO230" s="374"/>
      <c r="AP230" s="449">
        <v>0</v>
      </c>
      <c r="AQ230" s="450"/>
      <c r="AR230" s="451"/>
      <c r="AS230" s="452"/>
      <c r="AT230" s="374"/>
      <c r="AU230" s="449">
        <v>0</v>
      </c>
      <c r="AV230" s="450"/>
      <c r="AW230" s="451"/>
      <c r="AX230" s="452"/>
      <c r="AY230" s="374"/>
      <c r="AZ230" s="449">
        <v>0</v>
      </c>
      <c r="BA230" s="450"/>
      <c r="BB230" s="451"/>
      <c r="BC230" s="452"/>
      <c r="BD230" s="374"/>
      <c r="BE230" s="449">
        <v>0</v>
      </c>
      <c r="BF230" s="450"/>
      <c r="BG230" s="451"/>
      <c r="BH230" s="452"/>
      <c r="BI230" s="374"/>
      <c r="BJ230" s="449">
        <v>0</v>
      </c>
      <c r="BK230" s="450"/>
      <c r="BL230" s="451"/>
      <c r="BM230" s="452"/>
      <c r="BN230" s="374"/>
      <c r="BO230" s="449">
        <v>0</v>
      </c>
      <c r="BP230" s="450"/>
      <c r="BQ230" s="451"/>
      <c r="BR230" s="452"/>
      <c r="BS230" s="374"/>
      <c r="BT230" s="449">
        <f>SUM(L230:BO230)</f>
        <v>0</v>
      </c>
      <c r="BU230" s="450"/>
      <c r="BV230" s="451"/>
      <c r="BW230" s="452"/>
      <c r="BX230" s="374"/>
      <c r="BY230" s="449">
        <v>130531</v>
      </c>
      <c r="BZ230" s="450"/>
      <c r="CA230" s="451"/>
      <c r="CB230" s="452"/>
      <c r="CC230" s="374"/>
      <c r="CD230" s="449">
        <v>0</v>
      </c>
      <c r="CE230" s="450"/>
      <c r="CF230" s="451"/>
      <c r="CG230" s="452"/>
      <c r="CH230" s="374"/>
      <c r="CI230" s="449">
        <f>145532-15001</f>
        <v>130531</v>
      </c>
      <c r="CJ230" s="450"/>
      <c r="CK230" s="451"/>
      <c r="CL230" s="452"/>
      <c r="CM230" s="374"/>
      <c r="CN230" s="449">
        <v>0</v>
      </c>
      <c r="CO230" s="450"/>
      <c r="CP230" s="451"/>
      <c r="CQ230" s="452"/>
      <c r="CR230" s="374"/>
      <c r="CS230" s="449">
        <v>0</v>
      </c>
      <c r="CT230" s="450"/>
      <c r="CU230" s="451"/>
      <c r="CV230" s="452"/>
      <c r="CW230" s="374"/>
      <c r="CX230" s="449">
        <v>0</v>
      </c>
      <c r="CY230" s="450"/>
      <c r="CZ230" s="451"/>
      <c r="DA230" s="452"/>
      <c r="DB230" s="374"/>
      <c r="DC230" s="449">
        <v>0</v>
      </c>
      <c r="DD230" s="450"/>
      <c r="DE230" s="451"/>
      <c r="DF230" s="452"/>
      <c r="DG230" s="374"/>
      <c r="DH230" s="449">
        <v>0</v>
      </c>
      <c r="DI230" s="450"/>
      <c r="DJ230" s="451"/>
      <c r="DK230" s="452"/>
      <c r="DL230" s="374"/>
      <c r="DM230" s="449">
        <v>0</v>
      </c>
      <c r="DN230" s="450"/>
      <c r="DO230" s="451"/>
      <c r="DP230" s="452"/>
      <c r="DQ230" s="374"/>
      <c r="DR230" s="449">
        <v>0</v>
      </c>
      <c r="DS230" s="450"/>
      <c r="DT230" s="451"/>
      <c r="DU230" s="452"/>
      <c r="DV230" s="374"/>
      <c r="DW230" s="449">
        <v>0</v>
      </c>
      <c r="DX230" s="450"/>
      <c r="DY230" s="451"/>
      <c r="DZ230" s="452"/>
      <c r="EA230" s="374"/>
      <c r="EB230" s="449">
        <v>0</v>
      </c>
      <c r="EC230" s="450"/>
      <c r="ED230" s="451"/>
      <c r="EE230" s="452"/>
      <c r="EF230" s="374"/>
      <c r="EG230" s="449">
        <v>0</v>
      </c>
      <c r="EH230" s="450"/>
      <c r="EI230" s="451"/>
      <c r="EJ230" s="452"/>
      <c r="EK230" s="374"/>
      <c r="EL230" s="449">
        <f>SUM(CD230:DW230)</f>
        <v>130531</v>
      </c>
      <c r="EM230" s="450"/>
      <c r="EN230" s="451"/>
      <c r="EO230" s="13"/>
      <c r="ER230" s="14"/>
      <c r="ES230" s="14"/>
    </row>
    <row r="231" spans="4:149" ht="12.75" customHeight="1" x14ac:dyDescent="0.2">
      <c r="D231" s="13" t="s">
        <v>349</v>
      </c>
      <c r="E231" s="479"/>
      <c r="F231" s="198"/>
      <c r="G231" s="451">
        <v>0</v>
      </c>
      <c r="H231" s="455"/>
      <c r="I231" s="451"/>
      <c r="J231" s="452"/>
      <c r="K231" s="198"/>
      <c r="L231" s="451">
        <v>0</v>
      </c>
      <c r="M231" s="455"/>
      <c r="N231" s="451"/>
      <c r="O231" s="452"/>
      <c r="P231" s="198"/>
      <c r="Q231" s="451">
        <v>0</v>
      </c>
      <c r="R231" s="455"/>
      <c r="S231" s="451"/>
      <c r="T231" s="452"/>
      <c r="U231" s="198"/>
      <c r="V231" s="451">
        <v>0</v>
      </c>
      <c r="W231" s="455"/>
      <c r="X231" s="451"/>
      <c r="Y231" s="452"/>
      <c r="Z231" s="198"/>
      <c r="AA231" s="451">
        <v>0</v>
      </c>
      <c r="AB231" s="455"/>
      <c r="AC231" s="451"/>
      <c r="AD231" s="452"/>
      <c r="AE231" s="198"/>
      <c r="AF231" s="451">
        <v>0</v>
      </c>
      <c r="AG231" s="455"/>
      <c r="AH231" s="451"/>
      <c r="AI231" s="452"/>
      <c r="AJ231" s="198"/>
      <c r="AK231" s="451">
        <v>0</v>
      </c>
      <c r="AL231" s="455"/>
      <c r="AM231" s="451"/>
      <c r="AN231" s="452"/>
      <c r="AO231" s="198"/>
      <c r="AP231" s="451">
        <v>0</v>
      </c>
      <c r="AQ231" s="455"/>
      <c r="AR231" s="451"/>
      <c r="AS231" s="452"/>
      <c r="AT231" s="198"/>
      <c r="AU231" s="451">
        <v>0</v>
      </c>
      <c r="AV231" s="455"/>
      <c r="AW231" s="451"/>
      <c r="AX231" s="452"/>
      <c r="AY231" s="198"/>
      <c r="AZ231" s="451">
        <v>0</v>
      </c>
      <c r="BA231" s="455"/>
      <c r="BB231" s="451"/>
      <c r="BC231" s="452"/>
      <c r="BD231" s="198"/>
      <c r="BE231" s="451">
        <v>0</v>
      </c>
      <c r="BF231" s="455"/>
      <c r="BG231" s="451"/>
      <c r="BH231" s="452"/>
      <c r="BI231" s="198"/>
      <c r="BJ231" s="451">
        <v>0</v>
      </c>
      <c r="BK231" s="455"/>
      <c r="BL231" s="451"/>
      <c r="BM231" s="452"/>
      <c r="BN231" s="198"/>
      <c r="BO231" s="451">
        <v>0</v>
      </c>
      <c r="BP231" s="455"/>
      <c r="BQ231" s="451"/>
      <c r="BR231" s="452"/>
      <c r="BS231" s="198"/>
      <c r="BT231" s="451">
        <f>SUM(L231:BO231)</f>
        <v>0</v>
      </c>
      <c r="BU231" s="455"/>
      <c r="BV231" s="451"/>
      <c r="BW231" s="452"/>
      <c r="BX231" s="198"/>
      <c r="BY231" s="451">
        <v>15001</v>
      </c>
      <c r="BZ231" s="455"/>
      <c r="CA231" s="451"/>
      <c r="CB231" s="452"/>
      <c r="CC231" s="198"/>
      <c r="CD231" s="451">
        <v>0</v>
      </c>
      <c r="CE231" s="455"/>
      <c r="CF231" s="451"/>
      <c r="CG231" s="452"/>
      <c r="CH231" s="198"/>
      <c r="CI231" s="451">
        <v>15001</v>
      </c>
      <c r="CJ231" s="455"/>
      <c r="CK231" s="451"/>
      <c r="CL231" s="452"/>
      <c r="CM231" s="198"/>
      <c r="CN231" s="451">
        <v>0</v>
      </c>
      <c r="CO231" s="455"/>
      <c r="CP231" s="451"/>
      <c r="CQ231" s="452"/>
      <c r="CR231" s="198"/>
      <c r="CS231" s="451">
        <v>0</v>
      </c>
      <c r="CT231" s="455"/>
      <c r="CU231" s="451"/>
      <c r="CV231" s="452"/>
      <c r="CW231" s="198"/>
      <c r="CX231" s="451">
        <v>0</v>
      </c>
      <c r="CY231" s="455"/>
      <c r="CZ231" s="451"/>
      <c r="DA231" s="452"/>
      <c r="DB231" s="198"/>
      <c r="DC231" s="451">
        <v>0</v>
      </c>
      <c r="DD231" s="455"/>
      <c r="DE231" s="451"/>
      <c r="DF231" s="452"/>
      <c r="DG231" s="198"/>
      <c r="DH231" s="451">
        <v>0</v>
      </c>
      <c r="DI231" s="455"/>
      <c r="DJ231" s="451"/>
      <c r="DK231" s="452"/>
      <c r="DL231" s="198"/>
      <c r="DM231" s="451">
        <v>0</v>
      </c>
      <c r="DN231" s="455"/>
      <c r="DO231" s="451"/>
      <c r="DP231" s="452"/>
      <c r="DQ231" s="198"/>
      <c r="DR231" s="451">
        <v>0</v>
      </c>
      <c r="DS231" s="455"/>
      <c r="DT231" s="451"/>
      <c r="DU231" s="452"/>
      <c r="DV231" s="198"/>
      <c r="DW231" s="451">
        <v>0</v>
      </c>
      <c r="DX231" s="455"/>
      <c r="DY231" s="451"/>
      <c r="DZ231" s="452"/>
      <c r="EA231" s="198"/>
      <c r="EB231" s="451">
        <v>0</v>
      </c>
      <c r="EC231" s="455"/>
      <c r="ED231" s="451"/>
      <c r="EE231" s="452"/>
      <c r="EF231" s="198"/>
      <c r="EG231" s="451">
        <v>0</v>
      </c>
      <c r="EH231" s="455"/>
      <c r="EI231" s="451"/>
      <c r="EJ231" s="452"/>
      <c r="EK231" s="198"/>
      <c r="EL231" s="451">
        <f>SUM(CD231:DW231)</f>
        <v>15001</v>
      </c>
      <c r="EM231" s="455"/>
      <c r="EN231" s="451"/>
      <c r="EO231" s="13"/>
      <c r="ER231" s="14"/>
      <c r="ES231" s="14"/>
    </row>
    <row r="232" spans="4:149" ht="12.75" customHeight="1" x14ac:dyDescent="0.2">
      <c r="D232" s="13" t="s">
        <v>357</v>
      </c>
      <c r="E232" s="479"/>
      <c r="F232" s="385"/>
      <c r="G232" s="463">
        <v>0</v>
      </c>
      <c r="H232" s="464"/>
      <c r="I232" s="451"/>
      <c r="J232" s="452"/>
      <c r="K232" s="385"/>
      <c r="L232" s="463">
        <v>0</v>
      </c>
      <c r="M232" s="464"/>
      <c r="N232" s="451"/>
      <c r="O232" s="452"/>
      <c r="P232" s="385"/>
      <c r="Q232" s="463">
        <v>0</v>
      </c>
      <c r="R232" s="464"/>
      <c r="S232" s="451"/>
      <c r="T232" s="452"/>
      <c r="U232" s="385"/>
      <c r="V232" s="463">
        <v>0</v>
      </c>
      <c r="W232" s="464"/>
      <c r="X232" s="451"/>
      <c r="Y232" s="452"/>
      <c r="Z232" s="385"/>
      <c r="AA232" s="463">
        <v>0</v>
      </c>
      <c r="AB232" s="464"/>
      <c r="AC232" s="451"/>
      <c r="AD232" s="452"/>
      <c r="AE232" s="385"/>
      <c r="AF232" s="463">
        <v>0</v>
      </c>
      <c r="AG232" s="464"/>
      <c r="AH232" s="451"/>
      <c r="AI232" s="452"/>
      <c r="AJ232" s="385"/>
      <c r="AK232" s="463">
        <v>0</v>
      </c>
      <c r="AL232" s="464"/>
      <c r="AM232" s="451"/>
      <c r="AN232" s="452"/>
      <c r="AO232" s="385"/>
      <c r="AP232" s="463">
        <v>0</v>
      </c>
      <c r="AQ232" s="464"/>
      <c r="AR232" s="451"/>
      <c r="AS232" s="452"/>
      <c r="AT232" s="385"/>
      <c r="AU232" s="463">
        <v>0</v>
      </c>
      <c r="AV232" s="464"/>
      <c r="AW232" s="451"/>
      <c r="AX232" s="452"/>
      <c r="AY232" s="385"/>
      <c r="AZ232" s="463">
        <v>0</v>
      </c>
      <c r="BA232" s="464"/>
      <c r="BB232" s="451"/>
      <c r="BC232" s="452"/>
      <c r="BD232" s="385"/>
      <c r="BE232" s="463">
        <v>0</v>
      </c>
      <c r="BF232" s="464"/>
      <c r="BG232" s="451"/>
      <c r="BH232" s="452"/>
      <c r="BI232" s="385"/>
      <c r="BJ232" s="463">
        <v>0</v>
      </c>
      <c r="BK232" s="464"/>
      <c r="BL232" s="451"/>
      <c r="BM232" s="452"/>
      <c r="BN232" s="385"/>
      <c r="BO232" s="463">
        <v>0</v>
      </c>
      <c r="BP232" s="464"/>
      <c r="BQ232" s="451"/>
      <c r="BR232" s="452"/>
      <c r="BS232" s="385"/>
      <c r="BT232" s="463">
        <f>SUM(L232:BO232)</f>
        <v>0</v>
      </c>
      <c r="BU232" s="464"/>
      <c r="BV232" s="451"/>
      <c r="BW232" s="452"/>
      <c r="BX232" s="385"/>
      <c r="BY232" s="463">
        <v>0</v>
      </c>
      <c r="BZ232" s="464"/>
      <c r="CA232" s="451"/>
      <c r="CB232" s="452"/>
      <c r="CC232" s="385"/>
      <c r="CD232" s="463">
        <v>0</v>
      </c>
      <c r="CE232" s="464"/>
      <c r="CF232" s="451"/>
      <c r="CG232" s="452"/>
      <c r="CH232" s="385"/>
      <c r="CI232" s="463">
        <v>0</v>
      </c>
      <c r="CJ232" s="464"/>
      <c r="CK232" s="451"/>
      <c r="CL232" s="452"/>
      <c r="CM232" s="385"/>
      <c r="CN232" s="463">
        <v>0</v>
      </c>
      <c r="CO232" s="464"/>
      <c r="CP232" s="451"/>
      <c r="CQ232" s="452"/>
      <c r="CR232" s="385"/>
      <c r="CS232" s="463">
        <v>0</v>
      </c>
      <c r="CT232" s="464"/>
      <c r="CU232" s="451"/>
      <c r="CV232" s="452"/>
      <c r="CW232" s="385"/>
      <c r="CX232" s="463">
        <v>0</v>
      </c>
      <c r="CY232" s="464"/>
      <c r="CZ232" s="451"/>
      <c r="DA232" s="452"/>
      <c r="DB232" s="385"/>
      <c r="DC232" s="463">
        <v>0</v>
      </c>
      <c r="DD232" s="464"/>
      <c r="DE232" s="451"/>
      <c r="DF232" s="452"/>
      <c r="DG232" s="385"/>
      <c r="DH232" s="463">
        <v>0</v>
      </c>
      <c r="DI232" s="464"/>
      <c r="DJ232" s="451"/>
      <c r="DK232" s="452"/>
      <c r="DL232" s="385"/>
      <c r="DM232" s="463">
        <v>0</v>
      </c>
      <c r="DN232" s="464"/>
      <c r="DO232" s="451"/>
      <c r="DP232" s="452"/>
      <c r="DQ232" s="385"/>
      <c r="DR232" s="463">
        <v>0</v>
      </c>
      <c r="DS232" s="464"/>
      <c r="DT232" s="451"/>
      <c r="DU232" s="452"/>
      <c r="DV232" s="385"/>
      <c r="DW232" s="463">
        <v>0</v>
      </c>
      <c r="DX232" s="464"/>
      <c r="DY232" s="451"/>
      <c r="DZ232" s="452"/>
      <c r="EA232" s="385"/>
      <c r="EB232" s="463">
        <v>0</v>
      </c>
      <c r="EC232" s="464"/>
      <c r="ED232" s="451"/>
      <c r="EE232" s="452"/>
      <c r="EF232" s="385"/>
      <c r="EG232" s="463">
        <v>0</v>
      </c>
      <c r="EH232" s="464"/>
      <c r="EI232" s="451"/>
      <c r="EJ232" s="452"/>
      <c r="EK232" s="385"/>
      <c r="EL232" s="463">
        <f>SUM(CD232:DW232)</f>
        <v>0</v>
      </c>
      <c r="EM232" s="464"/>
      <c r="EN232" s="451"/>
      <c r="EO232" s="13"/>
      <c r="ER232" s="14"/>
      <c r="ES232" s="14"/>
    </row>
    <row r="233" spans="4:149" ht="12.75" customHeight="1" x14ac:dyDescent="0.2">
      <c r="D233" s="13"/>
      <c r="E233" s="479"/>
      <c r="G233" s="451"/>
      <c r="H233" s="451"/>
      <c r="I233" s="451"/>
      <c r="J233" s="452"/>
      <c r="L233" s="451"/>
      <c r="M233" s="451"/>
      <c r="N233" s="451"/>
      <c r="O233" s="452"/>
      <c r="Q233" s="451"/>
      <c r="R233" s="451"/>
      <c r="S233" s="451"/>
      <c r="T233" s="452"/>
      <c r="V233" s="451"/>
      <c r="W233" s="451"/>
      <c r="X233" s="451"/>
      <c r="Y233" s="452"/>
      <c r="AA233" s="451"/>
      <c r="AB233" s="451"/>
      <c r="AC233" s="451"/>
      <c r="AD233" s="452"/>
      <c r="AF233" s="451"/>
      <c r="AG233" s="451"/>
      <c r="AH233" s="451"/>
      <c r="AI233" s="452"/>
      <c r="AK233" s="451"/>
      <c r="AL233" s="451"/>
      <c r="AM233" s="451"/>
      <c r="AN233" s="452"/>
      <c r="AP233" s="451"/>
      <c r="AQ233" s="451"/>
      <c r="AR233" s="451"/>
      <c r="AS233" s="452"/>
      <c r="AU233" s="451"/>
      <c r="AV233" s="451"/>
      <c r="AW233" s="451"/>
      <c r="AX233" s="452"/>
      <c r="AZ233" s="451"/>
      <c r="BA233" s="451"/>
      <c r="BB233" s="451"/>
      <c r="BC233" s="452"/>
      <c r="BE233" s="451"/>
      <c r="BF233" s="451"/>
      <c r="BG233" s="451"/>
      <c r="BH233" s="452"/>
      <c r="BJ233" s="451"/>
      <c r="BK233" s="451"/>
      <c r="BL233" s="451"/>
      <c r="BM233" s="452"/>
      <c r="BO233" s="451"/>
      <c r="BP233" s="451"/>
      <c r="BQ233" s="451"/>
      <c r="BR233" s="452"/>
      <c r="BT233" s="451"/>
      <c r="BU233" s="451"/>
      <c r="BV233" s="451"/>
      <c r="BW233" s="452"/>
      <c r="BY233" s="451"/>
      <c r="BZ233" s="451"/>
      <c r="CA233" s="451"/>
      <c r="CB233" s="452"/>
      <c r="CD233" s="451"/>
      <c r="CE233" s="451"/>
      <c r="CF233" s="451"/>
      <c r="CG233" s="452"/>
      <c r="CI233" s="451"/>
      <c r="CJ233" s="451"/>
      <c r="CK233" s="451"/>
      <c r="CL233" s="452"/>
      <c r="CN233" s="451"/>
      <c r="CO233" s="451"/>
      <c r="CP233" s="451"/>
      <c r="CQ233" s="452"/>
      <c r="CS233" s="451"/>
      <c r="CT233" s="451"/>
      <c r="CU233" s="451"/>
      <c r="CV233" s="452"/>
      <c r="CX233" s="451"/>
      <c r="CY233" s="451"/>
      <c r="CZ233" s="451"/>
      <c r="DA233" s="452"/>
      <c r="DC233" s="451"/>
      <c r="DD233" s="451"/>
      <c r="DE233" s="451"/>
      <c r="DF233" s="452"/>
      <c r="DH233" s="451"/>
      <c r="DI233" s="451"/>
      <c r="DJ233" s="451"/>
      <c r="DK233" s="452"/>
      <c r="DM233" s="451"/>
      <c r="DN233" s="451"/>
      <c r="DO233" s="451"/>
      <c r="DP233" s="452"/>
      <c r="DR233" s="451"/>
      <c r="DS233" s="451"/>
      <c r="DT233" s="451"/>
      <c r="DU233" s="452"/>
      <c r="DW233" s="451"/>
      <c r="DX233" s="451"/>
      <c r="DY233" s="451"/>
      <c r="DZ233" s="452"/>
      <c r="EB233" s="451"/>
      <c r="EC233" s="451"/>
      <c r="ED233" s="451"/>
      <c r="EE233" s="452"/>
      <c r="EG233" s="451"/>
      <c r="EH233" s="451"/>
      <c r="EI233" s="451"/>
      <c r="EJ233" s="452"/>
      <c r="EL233" s="451"/>
      <c r="EM233" s="451"/>
      <c r="EN233" s="451"/>
      <c r="EO233" s="13"/>
      <c r="ER233" s="14"/>
      <c r="ES233" s="14"/>
    </row>
    <row r="234" spans="4:149" ht="12.75" customHeight="1" x14ac:dyDescent="0.2">
      <c r="D234" s="13" t="s">
        <v>356</v>
      </c>
      <c r="G234" s="451">
        <f>SUM(G235:G237)</f>
        <v>0</v>
      </c>
      <c r="H234" s="451"/>
      <c r="I234" s="451"/>
      <c r="J234" s="452"/>
      <c r="K234" s="451"/>
      <c r="L234" s="451">
        <f>SUM(L235:L237)</f>
        <v>0</v>
      </c>
      <c r="M234" s="451"/>
      <c r="N234" s="451"/>
      <c r="O234" s="452"/>
      <c r="P234" s="451"/>
      <c r="Q234" s="451">
        <f>SUM(Q235:Q237)</f>
        <v>0</v>
      </c>
      <c r="R234" s="451"/>
      <c r="S234" s="451"/>
      <c r="T234" s="452"/>
      <c r="U234" s="451"/>
      <c r="V234" s="451">
        <f>SUM(V235:V237)</f>
        <v>0</v>
      </c>
      <c r="W234" s="451"/>
      <c r="X234" s="451"/>
      <c r="Y234" s="452"/>
      <c r="Z234" s="451"/>
      <c r="AA234" s="451">
        <f>SUM(AA235:AA237)</f>
        <v>0</v>
      </c>
      <c r="AB234" s="451"/>
      <c r="AC234" s="451"/>
      <c r="AD234" s="452"/>
      <c r="AE234" s="451"/>
      <c r="AF234" s="451">
        <f>SUM(AF235:AF237)</f>
        <v>0</v>
      </c>
      <c r="AG234" s="451"/>
      <c r="AH234" s="451"/>
      <c r="AI234" s="452"/>
      <c r="AJ234" s="451"/>
      <c r="AK234" s="451">
        <f>SUM(AK235:AK237)</f>
        <v>0</v>
      </c>
      <c r="AL234" s="451"/>
      <c r="AM234" s="451"/>
      <c r="AN234" s="452"/>
      <c r="AO234" s="451"/>
      <c r="AP234" s="451">
        <f>SUM(AP235:AP237)</f>
        <v>0</v>
      </c>
      <c r="AQ234" s="451"/>
      <c r="AR234" s="451"/>
      <c r="AS234" s="452"/>
      <c r="AT234" s="451"/>
      <c r="AU234" s="451">
        <f>SUM(AU235:AU237)</f>
        <v>0</v>
      </c>
      <c r="AV234" s="451"/>
      <c r="AW234" s="451"/>
      <c r="AX234" s="452"/>
      <c r="AY234" s="451"/>
      <c r="AZ234" s="451">
        <f>SUM(AZ235:AZ237)</f>
        <v>0</v>
      </c>
      <c r="BA234" s="451"/>
      <c r="BB234" s="451"/>
      <c r="BC234" s="452"/>
      <c r="BD234" s="451"/>
      <c r="BE234" s="451">
        <f>SUM(BE235:BE237)</f>
        <v>0</v>
      </c>
      <c r="BF234" s="451"/>
      <c r="BG234" s="451"/>
      <c r="BH234" s="452"/>
      <c r="BI234" s="451"/>
      <c r="BJ234" s="451">
        <f>SUM(BJ235:BJ237)</f>
        <v>0</v>
      </c>
      <c r="BK234" s="451"/>
      <c r="BL234" s="451"/>
      <c r="BM234" s="452"/>
      <c r="BN234" s="451"/>
      <c r="BO234" s="451">
        <f>SUM(BO235:BO237)</f>
        <v>0</v>
      </c>
      <c r="BP234" s="451"/>
      <c r="BQ234" s="451"/>
      <c r="BR234" s="452"/>
      <c r="BS234" s="451"/>
      <c r="BT234" s="451">
        <f>SUM(BT235:BT237)</f>
        <v>0</v>
      </c>
      <c r="BU234" s="451"/>
      <c r="BV234" s="451"/>
      <c r="BW234" s="452"/>
      <c r="BX234" s="451"/>
      <c r="BY234" s="451">
        <f>SUM(BY235:BY237)</f>
        <v>415012</v>
      </c>
      <c r="BZ234" s="451"/>
      <c r="CA234" s="451"/>
      <c r="CB234" s="452"/>
      <c r="CC234" s="451"/>
      <c r="CD234" s="451">
        <f>SUM(CD235:CD237)</f>
        <v>0</v>
      </c>
      <c r="CE234" s="451"/>
      <c r="CF234" s="451"/>
      <c r="CG234" s="452"/>
      <c r="CH234" s="451"/>
      <c r="CI234" s="451">
        <f>SUM(CI235:CI237)</f>
        <v>415012</v>
      </c>
      <c r="CJ234" s="451"/>
      <c r="CK234" s="451"/>
      <c r="CL234" s="452"/>
      <c r="CM234" s="451"/>
      <c r="CN234" s="451">
        <f>SUM(CN235:CN237)</f>
        <v>0</v>
      </c>
      <c r="CO234" s="451"/>
      <c r="CP234" s="451"/>
      <c r="CQ234" s="452"/>
      <c r="CR234" s="451"/>
      <c r="CS234" s="451">
        <f>SUM(CS235:CS237)</f>
        <v>0</v>
      </c>
      <c r="CT234" s="451"/>
      <c r="CU234" s="451"/>
      <c r="CV234" s="452"/>
      <c r="CW234" s="451"/>
      <c r="CX234" s="451">
        <f>SUM(CX235:CX237)</f>
        <v>0</v>
      </c>
      <c r="CY234" s="451"/>
      <c r="CZ234" s="451"/>
      <c r="DA234" s="452"/>
      <c r="DB234" s="451"/>
      <c r="DC234" s="451">
        <f>SUM(DC235:DC237)</f>
        <v>0</v>
      </c>
      <c r="DD234" s="451"/>
      <c r="DE234" s="451"/>
      <c r="DF234" s="452"/>
      <c r="DG234" s="451"/>
      <c r="DH234" s="451">
        <f>SUM(DH235:DH237)</f>
        <v>0</v>
      </c>
      <c r="DI234" s="451"/>
      <c r="DJ234" s="451"/>
      <c r="DK234" s="452"/>
      <c r="DL234" s="451"/>
      <c r="DM234" s="451">
        <f>SUM(DM235:DM237)</f>
        <v>0</v>
      </c>
      <c r="DN234" s="451"/>
      <c r="DO234" s="451"/>
      <c r="DP234" s="452"/>
      <c r="DQ234" s="451"/>
      <c r="DR234" s="451">
        <f>SUM(DR235:DR237)</f>
        <v>0</v>
      </c>
      <c r="DS234" s="451"/>
      <c r="DT234" s="451"/>
      <c r="DU234" s="452"/>
      <c r="DV234" s="451"/>
      <c r="DW234" s="451">
        <f>SUM(DW235:DW237)</f>
        <v>0</v>
      </c>
      <c r="DX234" s="451"/>
      <c r="DY234" s="451"/>
      <c r="DZ234" s="452"/>
      <c r="EA234" s="451"/>
      <c r="EB234" s="451">
        <f>SUM(EB235:EB237)</f>
        <v>0</v>
      </c>
      <c r="EC234" s="451"/>
      <c r="ED234" s="451"/>
      <c r="EE234" s="452"/>
      <c r="EF234" s="451"/>
      <c r="EG234" s="451">
        <f>SUM(EG235:EG237)</f>
        <v>0</v>
      </c>
      <c r="EH234" s="451"/>
      <c r="EI234" s="451"/>
      <c r="EJ234" s="452"/>
      <c r="EK234" s="451"/>
      <c r="EL234" s="451">
        <f>SUM(EL235:EL237)</f>
        <v>415012</v>
      </c>
      <c r="EM234" s="451"/>
      <c r="EN234" s="451"/>
      <c r="EO234" s="13"/>
      <c r="ER234" s="14"/>
      <c r="ES234" s="14"/>
    </row>
    <row r="235" spans="4:149" ht="12.75" customHeight="1" x14ac:dyDescent="0.2">
      <c r="D235" s="13" t="s">
        <v>347</v>
      </c>
      <c r="F235" s="374"/>
      <c r="G235" s="449">
        <v>0</v>
      </c>
      <c r="H235" s="450"/>
      <c r="I235" s="451"/>
      <c r="J235" s="452"/>
      <c r="K235" s="453"/>
      <c r="L235" s="449">
        <v>0</v>
      </c>
      <c r="M235" s="450"/>
      <c r="N235" s="451"/>
      <c r="O235" s="452"/>
      <c r="P235" s="453"/>
      <c r="Q235" s="449">
        <v>0</v>
      </c>
      <c r="R235" s="450"/>
      <c r="S235" s="451"/>
      <c r="T235" s="452"/>
      <c r="U235" s="453"/>
      <c r="V235" s="449">
        <v>0</v>
      </c>
      <c r="W235" s="450"/>
      <c r="X235" s="451"/>
      <c r="Y235" s="452"/>
      <c r="Z235" s="453"/>
      <c r="AA235" s="449">
        <v>0</v>
      </c>
      <c r="AB235" s="450"/>
      <c r="AC235" s="451"/>
      <c r="AD235" s="452"/>
      <c r="AE235" s="453"/>
      <c r="AF235" s="449">
        <v>0</v>
      </c>
      <c r="AG235" s="450"/>
      <c r="AH235" s="451"/>
      <c r="AI235" s="452"/>
      <c r="AJ235" s="453"/>
      <c r="AK235" s="449">
        <v>0</v>
      </c>
      <c r="AL235" s="450"/>
      <c r="AM235" s="451"/>
      <c r="AN235" s="452"/>
      <c r="AO235" s="453"/>
      <c r="AP235" s="449">
        <v>0</v>
      </c>
      <c r="AQ235" s="450"/>
      <c r="AR235" s="451"/>
      <c r="AS235" s="452"/>
      <c r="AT235" s="453"/>
      <c r="AU235" s="449">
        <v>0</v>
      </c>
      <c r="AV235" s="450"/>
      <c r="AW235" s="451"/>
      <c r="AX235" s="452"/>
      <c r="AY235" s="453"/>
      <c r="AZ235" s="449">
        <v>0</v>
      </c>
      <c r="BA235" s="450"/>
      <c r="BB235" s="451"/>
      <c r="BC235" s="452"/>
      <c r="BD235" s="453"/>
      <c r="BE235" s="449">
        <v>0</v>
      </c>
      <c r="BF235" s="450"/>
      <c r="BG235" s="451"/>
      <c r="BH235" s="452"/>
      <c r="BI235" s="453"/>
      <c r="BJ235" s="449">
        <v>0</v>
      </c>
      <c r="BK235" s="450"/>
      <c r="BL235" s="451"/>
      <c r="BM235" s="452"/>
      <c r="BN235" s="453"/>
      <c r="BO235" s="449">
        <v>0</v>
      </c>
      <c r="BP235" s="450"/>
      <c r="BQ235" s="451"/>
      <c r="BR235" s="452"/>
      <c r="BS235" s="453"/>
      <c r="BT235" s="449">
        <f>SUM(L235:BO235)</f>
        <v>0</v>
      </c>
      <c r="BU235" s="450"/>
      <c r="BV235" s="451"/>
      <c r="BW235" s="452"/>
      <c r="BX235" s="453"/>
      <c r="BY235" s="449">
        <v>389349</v>
      </c>
      <c r="BZ235" s="450"/>
      <c r="CA235" s="451"/>
      <c r="CB235" s="452"/>
      <c r="CC235" s="453"/>
      <c r="CD235" s="449">
        <v>0</v>
      </c>
      <c r="CE235" s="450"/>
      <c r="CF235" s="451"/>
      <c r="CG235" s="452"/>
      <c r="CH235" s="453"/>
      <c r="CI235" s="449">
        <f>415012-25663</f>
        <v>389349</v>
      </c>
      <c r="CJ235" s="450"/>
      <c r="CK235" s="451"/>
      <c r="CL235" s="452"/>
      <c r="CM235" s="453"/>
      <c r="CN235" s="449">
        <v>0</v>
      </c>
      <c r="CO235" s="450"/>
      <c r="CP235" s="451"/>
      <c r="CQ235" s="452"/>
      <c r="CR235" s="453"/>
      <c r="CS235" s="449">
        <v>0</v>
      </c>
      <c r="CT235" s="450"/>
      <c r="CU235" s="451"/>
      <c r="CV235" s="452"/>
      <c r="CW235" s="453"/>
      <c r="CX235" s="449">
        <v>0</v>
      </c>
      <c r="CY235" s="450"/>
      <c r="CZ235" s="451"/>
      <c r="DA235" s="452"/>
      <c r="DB235" s="453"/>
      <c r="DC235" s="449">
        <v>0</v>
      </c>
      <c r="DD235" s="450"/>
      <c r="DE235" s="451"/>
      <c r="DF235" s="452"/>
      <c r="DG235" s="453"/>
      <c r="DH235" s="449">
        <v>0</v>
      </c>
      <c r="DI235" s="450"/>
      <c r="DJ235" s="451"/>
      <c r="DK235" s="452"/>
      <c r="DL235" s="453"/>
      <c r="DM235" s="449">
        <v>0</v>
      </c>
      <c r="DN235" s="450"/>
      <c r="DO235" s="451"/>
      <c r="DP235" s="452"/>
      <c r="DQ235" s="453"/>
      <c r="DR235" s="449">
        <v>0</v>
      </c>
      <c r="DS235" s="450"/>
      <c r="DT235" s="451"/>
      <c r="DU235" s="452"/>
      <c r="DV235" s="453"/>
      <c r="DW235" s="449">
        <v>0</v>
      </c>
      <c r="DX235" s="450"/>
      <c r="DY235" s="451"/>
      <c r="DZ235" s="452"/>
      <c r="EA235" s="453"/>
      <c r="EB235" s="449">
        <v>0</v>
      </c>
      <c r="EC235" s="450"/>
      <c r="ED235" s="451"/>
      <c r="EE235" s="452"/>
      <c r="EF235" s="453"/>
      <c r="EG235" s="449">
        <v>0</v>
      </c>
      <c r="EH235" s="450"/>
      <c r="EI235" s="451"/>
      <c r="EJ235" s="452"/>
      <c r="EK235" s="453"/>
      <c r="EL235" s="449">
        <f>SUM(CD235:DW235)</f>
        <v>389349</v>
      </c>
      <c r="EM235" s="450"/>
      <c r="EN235" s="451"/>
      <c r="EO235" s="13"/>
      <c r="ER235" s="14"/>
      <c r="ES235" s="14"/>
    </row>
    <row r="236" spans="4:149" ht="12.75" customHeight="1" x14ac:dyDescent="0.2">
      <c r="D236" s="13" t="s">
        <v>349</v>
      </c>
      <c r="F236" s="198"/>
      <c r="G236" s="451">
        <v>0</v>
      </c>
      <c r="H236" s="455"/>
      <c r="I236" s="451"/>
      <c r="J236" s="452"/>
      <c r="K236" s="452"/>
      <c r="L236" s="451">
        <v>0</v>
      </c>
      <c r="M236" s="455"/>
      <c r="N236" s="451"/>
      <c r="O236" s="452"/>
      <c r="P236" s="452"/>
      <c r="Q236" s="451">
        <v>0</v>
      </c>
      <c r="R236" s="455"/>
      <c r="S236" s="451"/>
      <c r="T236" s="452"/>
      <c r="U236" s="452"/>
      <c r="V236" s="451">
        <v>0</v>
      </c>
      <c r="W236" s="455"/>
      <c r="X236" s="451"/>
      <c r="Y236" s="452"/>
      <c r="Z236" s="452"/>
      <c r="AA236" s="451">
        <v>0</v>
      </c>
      <c r="AB236" s="455"/>
      <c r="AC236" s="451"/>
      <c r="AD236" s="452"/>
      <c r="AE236" s="452"/>
      <c r="AF236" s="451">
        <v>0</v>
      </c>
      <c r="AG236" s="455"/>
      <c r="AH236" s="451"/>
      <c r="AI236" s="452"/>
      <c r="AJ236" s="452"/>
      <c r="AK236" s="451">
        <v>0</v>
      </c>
      <c r="AL236" s="455"/>
      <c r="AM236" s="451"/>
      <c r="AN236" s="452"/>
      <c r="AO236" s="452"/>
      <c r="AP236" s="451">
        <v>0</v>
      </c>
      <c r="AQ236" s="455"/>
      <c r="AR236" s="451"/>
      <c r="AS236" s="452"/>
      <c r="AT236" s="452"/>
      <c r="AU236" s="451">
        <v>0</v>
      </c>
      <c r="AV236" s="455"/>
      <c r="AW236" s="451"/>
      <c r="AX236" s="452"/>
      <c r="AY236" s="452"/>
      <c r="AZ236" s="451">
        <v>0</v>
      </c>
      <c r="BA236" s="455"/>
      <c r="BB236" s="451"/>
      <c r="BC236" s="452"/>
      <c r="BD236" s="452"/>
      <c r="BE236" s="451">
        <v>0</v>
      </c>
      <c r="BF236" s="455"/>
      <c r="BG236" s="451"/>
      <c r="BH236" s="452"/>
      <c r="BI236" s="452"/>
      <c r="BJ236" s="451">
        <v>0</v>
      </c>
      <c r="BK236" s="455"/>
      <c r="BL236" s="451"/>
      <c r="BM236" s="452"/>
      <c r="BN236" s="452"/>
      <c r="BO236" s="451">
        <v>0</v>
      </c>
      <c r="BP236" s="455"/>
      <c r="BQ236" s="451"/>
      <c r="BR236" s="452"/>
      <c r="BS236" s="452"/>
      <c r="BT236" s="451">
        <f>SUM(L236:BO236)</f>
        <v>0</v>
      </c>
      <c r="BU236" s="455"/>
      <c r="BV236" s="451"/>
      <c r="BW236" s="452"/>
      <c r="BX236" s="452"/>
      <c r="BY236" s="451">
        <v>25663</v>
      </c>
      <c r="BZ236" s="455"/>
      <c r="CA236" s="451"/>
      <c r="CB236" s="452"/>
      <c r="CC236" s="452"/>
      <c r="CD236" s="451">
        <v>0</v>
      </c>
      <c r="CE236" s="455"/>
      <c r="CF236" s="451"/>
      <c r="CG236" s="452"/>
      <c r="CH236" s="452"/>
      <c r="CI236" s="451">
        <v>25663</v>
      </c>
      <c r="CJ236" s="455"/>
      <c r="CK236" s="451"/>
      <c r="CL236" s="452"/>
      <c r="CM236" s="452"/>
      <c r="CN236" s="451">
        <v>0</v>
      </c>
      <c r="CO236" s="455"/>
      <c r="CP236" s="451"/>
      <c r="CQ236" s="452"/>
      <c r="CR236" s="452"/>
      <c r="CS236" s="451">
        <v>0</v>
      </c>
      <c r="CT236" s="455"/>
      <c r="CU236" s="451"/>
      <c r="CV236" s="452"/>
      <c r="CW236" s="452"/>
      <c r="CX236" s="451">
        <v>0</v>
      </c>
      <c r="CY236" s="455"/>
      <c r="CZ236" s="451"/>
      <c r="DA236" s="452"/>
      <c r="DB236" s="452"/>
      <c r="DC236" s="451">
        <v>0</v>
      </c>
      <c r="DD236" s="455"/>
      <c r="DE236" s="451"/>
      <c r="DF236" s="452"/>
      <c r="DG236" s="452"/>
      <c r="DH236" s="451">
        <v>0</v>
      </c>
      <c r="DI236" s="455"/>
      <c r="DJ236" s="451"/>
      <c r="DK236" s="452"/>
      <c r="DL236" s="452"/>
      <c r="DM236" s="451">
        <v>0</v>
      </c>
      <c r="DN236" s="455"/>
      <c r="DO236" s="451"/>
      <c r="DP236" s="452"/>
      <c r="DQ236" s="452"/>
      <c r="DR236" s="451">
        <v>0</v>
      </c>
      <c r="DS236" s="455"/>
      <c r="DT236" s="451"/>
      <c r="DU236" s="452"/>
      <c r="DV236" s="452"/>
      <c r="DW236" s="451">
        <v>0</v>
      </c>
      <c r="DX236" s="455"/>
      <c r="DY236" s="451"/>
      <c r="DZ236" s="452"/>
      <c r="EA236" s="452"/>
      <c r="EB236" s="451">
        <v>0</v>
      </c>
      <c r="EC236" s="455"/>
      <c r="ED236" s="451"/>
      <c r="EE236" s="452"/>
      <c r="EF236" s="452"/>
      <c r="EG236" s="451">
        <v>0</v>
      </c>
      <c r="EH236" s="455"/>
      <c r="EI236" s="451"/>
      <c r="EJ236" s="452"/>
      <c r="EK236" s="452"/>
      <c r="EL236" s="451">
        <f>SUM(CD236:DW236)</f>
        <v>25663</v>
      </c>
      <c r="EM236" s="455"/>
      <c r="EN236" s="451"/>
      <c r="EO236" s="13"/>
      <c r="ER236" s="14"/>
      <c r="ES236" s="14"/>
    </row>
    <row r="237" spans="4:149" ht="12.75" customHeight="1" x14ac:dyDescent="0.2">
      <c r="D237" s="13" t="s">
        <v>357</v>
      </c>
      <c r="F237" s="385"/>
      <c r="G237" s="463">
        <v>0</v>
      </c>
      <c r="H237" s="464"/>
      <c r="I237" s="451"/>
      <c r="J237" s="452"/>
      <c r="K237" s="465"/>
      <c r="L237" s="463">
        <v>0</v>
      </c>
      <c r="M237" s="464"/>
      <c r="N237" s="451"/>
      <c r="O237" s="452"/>
      <c r="P237" s="465"/>
      <c r="Q237" s="463">
        <v>0</v>
      </c>
      <c r="R237" s="464"/>
      <c r="S237" s="451"/>
      <c r="T237" s="452"/>
      <c r="U237" s="465"/>
      <c r="V237" s="463">
        <v>0</v>
      </c>
      <c r="W237" s="464"/>
      <c r="X237" s="451"/>
      <c r="Y237" s="452"/>
      <c r="Z237" s="465"/>
      <c r="AA237" s="463">
        <v>0</v>
      </c>
      <c r="AB237" s="464"/>
      <c r="AC237" s="451"/>
      <c r="AD237" s="452"/>
      <c r="AE237" s="465"/>
      <c r="AF237" s="463">
        <v>0</v>
      </c>
      <c r="AG237" s="464"/>
      <c r="AH237" s="451"/>
      <c r="AI237" s="452"/>
      <c r="AJ237" s="465"/>
      <c r="AK237" s="463">
        <v>0</v>
      </c>
      <c r="AL237" s="464"/>
      <c r="AM237" s="451"/>
      <c r="AN237" s="452"/>
      <c r="AO237" s="465"/>
      <c r="AP237" s="463">
        <v>0</v>
      </c>
      <c r="AQ237" s="464"/>
      <c r="AR237" s="451"/>
      <c r="AS237" s="452"/>
      <c r="AT237" s="465"/>
      <c r="AU237" s="463">
        <v>0</v>
      </c>
      <c r="AV237" s="464"/>
      <c r="AW237" s="451"/>
      <c r="AX237" s="452"/>
      <c r="AY237" s="465"/>
      <c r="AZ237" s="463">
        <v>0</v>
      </c>
      <c r="BA237" s="464"/>
      <c r="BB237" s="451"/>
      <c r="BC237" s="452"/>
      <c r="BD237" s="465"/>
      <c r="BE237" s="463">
        <v>0</v>
      </c>
      <c r="BF237" s="464"/>
      <c r="BG237" s="451"/>
      <c r="BH237" s="452"/>
      <c r="BI237" s="465"/>
      <c r="BJ237" s="463">
        <v>0</v>
      </c>
      <c r="BK237" s="464"/>
      <c r="BL237" s="451"/>
      <c r="BM237" s="452"/>
      <c r="BN237" s="465"/>
      <c r="BO237" s="463">
        <v>0</v>
      </c>
      <c r="BP237" s="464"/>
      <c r="BQ237" s="451"/>
      <c r="BR237" s="452"/>
      <c r="BS237" s="465"/>
      <c r="BT237" s="463">
        <f>SUM(L237:BO237)</f>
        <v>0</v>
      </c>
      <c r="BU237" s="464"/>
      <c r="BV237" s="451"/>
      <c r="BW237" s="452"/>
      <c r="BX237" s="465"/>
      <c r="BY237" s="463">
        <v>0</v>
      </c>
      <c r="BZ237" s="464"/>
      <c r="CA237" s="451"/>
      <c r="CB237" s="452"/>
      <c r="CC237" s="465"/>
      <c r="CD237" s="463">
        <v>0</v>
      </c>
      <c r="CE237" s="464"/>
      <c r="CF237" s="451"/>
      <c r="CG237" s="452"/>
      <c r="CH237" s="465"/>
      <c r="CI237" s="463">
        <v>0</v>
      </c>
      <c r="CJ237" s="464"/>
      <c r="CK237" s="451"/>
      <c r="CL237" s="452"/>
      <c r="CM237" s="465"/>
      <c r="CN237" s="463">
        <v>0</v>
      </c>
      <c r="CO237" s="464"/>
      <c r="CP237" s="451"/>
      <c r="CQ237" s="452"/>
      <c r="CR237" s="465"/>
      <c r="CS237" s="463">
        <v>0</v>
      </c>
      <c r="CT237" s="464"/>
      <c r="CU237" s="451"/>
      <c r="CV237" s="452"/>
      <c r="CW237" s="465"/>
      <c r="CX237" s="463">
        <v>0</v>
      </c>
      <c r="CY237" s="464"/>
      <c r="CZ237" s="451"/>
      <c r="DA237" s="452"/>
      <c r="DB237" s="465"/>
      <c r="DC237" s="463">
        <v>0</v>
      </c>
      <c r="DD237" s="464"/>
      <c r="DE237" s="451"/>
      <c r="DF237" s="452"/>
      <c r="DG237" s="465"/>
      <c r="DH237" s="463">
        <v>0</v>
      </c>
      <c r="DI237" s="464"/>
      <c r="DJ237" s="451"/>
      <c r="DK237" s="452"/>
      <c r="DL237" s="465"/>
      <c r="DM237" s="463">
        <v>0</v>
      </c>
      <c r="DN237" s="464"/>
      <c r="DO237" s="451"/>
      <c r="DP237" s="452"/>
      <c r="DQ237" s="465"/>
      <c r="DR237" s="463">
        <v>0</v>
      </c>
      <c r="DS237" s="464"/>
      <c r="DT237" s="451"/>
      <c r="DU237" s="452"/>
      <c r="DV237" s="465"/>
      <c r="DW237" s="463">
        <v>0</v>
      </c>
      <c r="DX237" s="464"/>
      <c r="DY237" s="451"/>
      <c r="DZ237" s="452"/>
      <c r="EA237" s="465"/>
      <c r="EB237" s="463">
        <v>0</v>
      </c>
      <c r="EC237" s="464"/>
      <c r="ED237" s="451"/>
      <c r="EE237" s="452"/>
      <c r="EF237" s="465"/>
      <c r="EG237" s="463">
        <v>0</v>
      </c>
      <c r="EH237" s="464"/>
      <c r="EI237" s="451"/>
      <c r="EJ237" s="452"/>
      <c r="EK237" s="465"/>
      <c r="EL237" s="463">
        <f>SUM(CD237:DW237)</f>
        <v>0</v>
      </c>
      <c r="EM237" s="464"/>
      <c r="EN237" s="451"/>
      <c r="EO237" s="13"/>
      <c r="ER237" s="14"/>
      <c r="ES237" s="14"/>
    </row>
    <row r="238" spans="4:149" ht="12.75" hidden="1" customHeight="1" x14ac:dyDescent="0.2">
      <c r="D238" s="13"/>
      <c r="E238" s="479"/>
      <c r="G238" s="451"/>
      <c r="H238" s="451"/>
      <c r="I238" s="451"/>
      <c r="J238" s="452"/>
      <c r="L238" s="451"/>
      <c r="M238" s="451"/>
      <c r="N238" s="451"/>
      <c r="O238" s="452"/>
      <c r="Q238" s="451"/>
      <c r="R238" s="451"/>
      <c r="S238" s="451"/>
      <c r="T238" s="452"/>
      <c r="V238" s="451"/>
      <c r="W238" s="451"/>
      <c r="X238" s="451"/>
      <c r="Y238" s="452"/>
      <c r="AA238" s="451"/>
      <c r="AB238" s="451"/>
      <c r="AC238" s="451"/>
      <c r="AD238" s="452"/>
      <c r="AF238" s="451"/>
      <c r="AG238" s="451"/>
      <c r="AH238" s="451"/>
      <c r="AI238" s="452"/>
      <c r="AK238" s="451"/>
      <c r="AL238" s="451"/>
      <c r="AM238" s="451"/>
      <c r="AN238" s="452"/>
      <c r="AP238" s="451"/>
      <c r="AQ238" s="451"/>
      <c r="AR238" s="451"/>
      <c r="AS238" s="452"/>
      <c r="AU238" s="451"/>
      <c r="AV238" s="451"/>
      <c r="AW238" s="451"/>
      <c r="AX238" s="452"/>
      <c r="AZ238" s="451"/>
      <c r="BA238" s="451"/>
      <c r="BB238" s="451"/>
      <c r="BC238" s="452"/>
      <c r="BE238" s="451"/>
      <c r="BF238" s="451"/>
      <c r="BG238" s="451"/>
      <c r="BH238" s="452"/>
      <c r="BJ238" s="451"/>
      <c r="BK238" s="451"/>
      <c r="BL238" s="451"/>
      <c r="BM238" s="452"/>
      <c r="BO238" s="451"/>
      <c r="BP238" s="451"/>
      <c r="BQ238" s="451"/>
      <c r="BR238" s="452"/>
      <c r="BT238" s="451"/>
      <c r="BU238" s="451"/>
      <c r="BV238" s="451"/>
      <c r="BW238" s="452"/>
      <c r="BY238" s="451"/>
      <c r="BZ238" s="451"/>
      <c r="CA238" s="451"/>
      <c r="CB238" s="452"/>
      <c r="CD238" s="451"/>
      <c r="CE238" s="451"/>
      <c r="CF238" s="451"/>
      <c r="CG238" s="452"/>
      <c r="CI238" s="451"/>
      <c r="CJ238" s="451"/>
      <c r="CK238" s="451"/>
      <c r="CL238" s="452"/>
      <c r="CN238" s="451"/>
      <c r="CO238" s="451"/>
      <c r="CP238" s="451"/>
      <c r="CQ238" s="452"/>
      <c r="CS238" s="451"/>
      <c r="CT238" s="451"/>
      <c r="CU238" s="451"/>
      <c r="CV238" s="452"/>
      <c r="CX238" s="451"/>
      <c r="CY238" s="451"/>
      <c r="CZ238" s="451"/>
      <c r="DA238" s="452"/>
      <c r="DC238" s="451"/>
      <c r="DD238" s="451"/>
      <c r="DE238" s="451"/>
      <c r="DF238" s="452"/>
      <c r="DH238" s="451"/>
      <c r="DI238" s="451"/>
      <c r="DJ238" s="451"/>
      <c r="DK238" s="452"/>
      <c r="DM238" s="451"/>
      <c r="DN238" s="451"/>
      <c r="DO238" s="451"/>
      <c r="DP238" s="452"/>
      <c r="DR238" s="451"/>
      <c r="DS238" s="451"/>
      <c r="DT238" s="451"/>
      <c r="DU238" s="452"/>
      <c r="DW238" s="451"/>
      <c r="DX238" s="451"/>
      <c r="DY238" s="451"/>
      <c r="DZ238" s="452"/>
      <c r="EB238" s="451"/>
      <c r="EC238" s="451"/>
      <c r="ED238" s="451"/>
      <c r="EE238" s="452"/>
      <c r="EG238" s="451"/>
      <c r="EH238" s="451"/>
      <c r="EI238" s="451"/>
      <c r="EJ238" s="452"/>
      <c r="EL238" s="451"/>
      <c r="EM238" s="451"/>
      <c r="EN238" s="451"/>
      <c r="EO238" s="13"/>
      <c r="ER238" s="14"/>
      <c r="ES238" s="14"/>
    </row>
    <row r="239" spans="4:149" ht="12.75" hidden="1" customHeight="1" x14ac:dyDescent="0.2">
      <c r="D239" s="13" t="s">
        <v>373</v>
      </c>
      <c r="G239" s="451">
        <f>SUM(G240:G242)</f>
        <v>0</v>
      </c>
      <c r="H239" s="451"/>
      <c r="I239" s="451"/>
      <c r="J239" s="452"/>
      <c r="K239" s="451"/>
      <c r="L239" s="451">
        <f>SUM(L240:L242)</f>
        <v>0</v>
      </c>
      <c r="M239" s="451"/>
      <c r="N239" s="451"/>
      <c r="O239" s="452"/>
      <c r="P239" s="451"/>
      <c r="Q239" s="451">
        <f>SUM(Q240:Q242)</f>
        <v>0</v>
      </c>
      <c r="R239" s="451"/>
      <c r="S239" s="451"/>
      <c r="T239" s="452"/>
      <c r="U239" s="451"/>
      <c r="V239" s="451">
        <f>SUM(V240:V242)</f>
        <v>0</v>
      </c>
      <c r="W239" s="451"/>
      <c r="X239" s="451"/>
      <c r="Y239" s="452"/>
      <c r="Z239" s="451"/>
      <c r="AA239" s="451">
        <f>SUM(AA240:AA242)</f>
        <v>0</v>
      </c>
      <c r="AB239" s="451"/>
      <c r="AC239" s="451"/>
      <c r="AD239" s="452"/>
      <c r="AE239" s="451"/>
      <c r="AF239" s="451">
        <f>SUM(AF240:AF242)</f>
        <v>0</v>
      </c>
      <c r="AG239" s="451"/>
      <c r="AH239" s="451"/>
      <c r="AI239" s="452"/>
      <c r="AJ239" s="451"/>
      <c r="AK239" s="451">
        <f>SUM(AK240:AK242)</f>
        <v>0</v>
      </c>
      <c r="AL239" s="451"/>
      <c r="AM239" s="451"/>
      <c r="AN239" s="452"/>
      <c r="AO239" s="451"/>
      <c r="AP239" s="451">
        <f>SUM(AP240:AP242)</f>
        <v>0</v>
      </c>
      <c r="AQ239" s="451"/>
      <c r="AR239" s="451"/>
      <c r="AS239" s="452"/>
      <c r="AT239" s="451"/>
      <c r="AU239" s="451">
        <f>SUM(AU240:AU242)</f>
        <v>0</v>
      </c>
      <c r="AV239" s="451"/>
      <c r="AW239" s="451"/>
      <c r="AX239" s="452"/>
      <c r="AY239" s="451"/>
      <c r="AZ239" s="451">
        <f>SUM(AZ240:AZ242)</f>
        <v>0</v>
      </c>
      <c r="BA239" s="451"/>
      <c r="BB239" s="451"/>
      <c r="BC239" s="452"/>
      <c r="BD239" s="451"/>
      <c r="BE239" s="451">
        <f>SUM(BE240:BE242)</f>
        <v>0</v>
      </c>
      <c r="BF239" s="451"/>
      <c r="BG239" s="451"/>
      <c r="BH239" s="452"/>
      <c r="BI239" s="451"/>
      <c r="BJ239" s="451">
        <f>SUM(BJ240:BJ242)</f>
        <v>0</v>
      </c>
      <c r="BK239" s="451"/>
      <c r="BL239" s="451"/>
      <c r="BM239" s="452"/>
      <c r="BN239" s="451"/>
      <c r="BO239" s="451">
        <f>SUM(BO240:BO242)</f>
        <v>0</v>
      </c>
      <c r="BP239" s="451"/>
      <c r="BQ239" s="451"/>
      <c r="BR239" s="452"/>
      <c r="BS239" s="451"/>
      <c r="BT239" s="451">
        <f>SUM(BT240:BT242)</f>
        <v>0</v>
      </c>
      <c r="BU239" s="451"/>
      <c r="BV239" s="451"/>
      <c r="BW239" s="452"/>
      <c r="BX239" s="451"/>
      <c r="BY239" s="451">
        <f>SUM(BY240:BY242)</f>
        <v>0</v>
      </c>
      <c r="BZ239" s="451"/>
      <c r="CA239" s="451"/>
      <c r="CB239" s="452"/>
      <c r="CC239" s="451"/>
      <c r="CD239" s="451">
        <f>SUM(CD240:CD242)</f>
        <v>0</v>
      </c>
      <c r="CE239" s="451"/>
      <c r="CF239" s="451"/>
      <c r="CG239" s="452"/>
      <c r="CH239" s="451"/>
      <c r="CI239" s="451">
        <f>SUM(CI240:CI242)</f>
        <v>0</v>
      </c>
      <c r="CJ239" s="451"/>
      <c r="CK239" s="451"/>
      <c r="CL239" s="452"/>
      <c r="CM239" s="451"/>
      <c r="CN239" s="451">
        <f>SUM(CN240:CN242)</f>
        <v>0</v>
      </c>
      <c r="CO239" s="451"/>
      <c r="CP239" s="451"/>
      <c r="CQ239" s="452"/>
      <c r="CR239" s="451"/>
      <c r="CS239" s="451">
        <f>SUM(CS240:CS242)</f>
        <v>0</v>
      </c>
      <c r="CT239" s="451"/>
      <c r="CU239" s="451"/>
      <c r="CV239" s="452"/>
      <c r="CW239" s="451"/>
      <c r="CX239" s="451">
        <f>SUM(CX240:CX242)</f>
        <v>0</v>
      </c>
      <c r="CY239" s="451"/>
      <c r="CZ239" s="451"/>
      <c r="DA239" s="452"/>
      <c r="DB239" s="451"/>
      <c r="DC239" s="451">
        <f>SUM(DC240:DC242)</f>
        <v>0</v>
      </c>
      <c r="DD239" s="451"/>
      <c r="DE239" s="451"/>
      <c r="DF239" s="452"/>
      <c r="DG239" s="451"/>
      <c r="DH239" s="451">
        <f>SUM(DH240:DH242)</f>
        <v>0</v>
      </c>
      <c r="DI239" s="451"/>
      <c r="DJ239" s="451"/>
      <c r="DK239" s="452"/>
      <c r="DL239" s="451"/>
      <c r="DM239" s="451">
        <f>SUM(DM240:DM242)</f>
        <v>0</v>
      </c>
      <c r="DN239" s="451"/>
      <c r="DO239" s="451"/>
      <c r="DP239" s="452"/>
      <c r="DQ239" s="451"/>
      <c r="DR239" s="451">
        <f>SUM(DR240:DR242)</f>
        <v>0</v>
      </c>
      <c r="DS239" s="451"/>
      <c r="DT239" s="451"/>
      <c r="DU239" s="452"/>
      <c r="DV239" s="451"/>
      <c r="DW239" s="451">
        <f>SUM(DW240:DW242)</f>
        <v>0</v>
      </c>
      <c r="DX239" s="451"/>
      <c r="DY239" s="451"/>
      <c r="DZ239" s="452"/>
      <c r="EA239" s="451"/>
      <c r="EB239" s="451">
        <f>SUM(EB240:EB242)</f>
        <v>0</v>
      </c>
      <c r="EC239" s="451"/>
      <c r="ED239" s="451"/>
      <c r="EE239" s="452"/>
      <c r="EF239" s="451"/>
      <c r="EG239" s="451">
        <f>SUM(EG240:EG242)</f>
        <v>0</v>
      </c>
      <c r="EH239" s="451"/>
      <c r="EI239" s="451"/>
      <c r="EJ239" s="452"/>
      <c r="EK239" s="451"/>
      <c r="EL239" s="451">
        <f>SUM(EL240:EL242)</f>
        <v>0</v>
      </c>
      <c r="EM239" s="451"/>
      <c r="EN239" s="451"/>
      <c r="EO239" s="13"/>
      <c r="ER239" s="14"/>
      <c r="ES239" s="14"/>
    </row>
    <row r="240" spans="4:149" ht="12.75" hidden="1" customHeight="1" x14ac:dyDescent="0.2">
      <c r="D240" s="13" t="s">
        <v>347</v>
      </c>
      <c r="F240" s="374"/>
      <c r="G240" s="449">
        <v>0</v>
      </c>
      <c r="H240" s="450"/>
      <c r="I240" s="451"/>
      <c r="J240" s="452"/>
      <c r="K240" s="453"/>
      <c r="L240" s="449">
        <v>0</v>
      </c>
      <c r="M240" s="450"/>
      <c r="N240" s="451"/>
      <c r="O240" s="452"/>
      <c r="P240" s="453"/>
      <c r="Q240" s="449">
        <v>0</v>
      </c>
      <c r="R240" s="450"/>
      <c r="S240" s="451"/>
      <c r="T240" s="452"/>
      <c r="U240" s="453"/>
      <c r="V240" s="449">
        <v>0</v>
      </c>
      <c r="W240" s="450"/>
      <c r="X240" s="451"/>
      <c r="Y240" s="452"/>
      <c r="Z240" s="453"/>
      <c r="AA240" s="449">
        <v>0</v>
      </c>
      <c r="AB240" s="450"/>
      <c r="AC240" s="451"/>
      <c r="AD240" s="452"/>
      <c r="AE240" s="453"/>
      <c r="AF240" s="449">
        <v>0</v>
      </c>
      <c r="AG240" s="450"/>
      <c r="AH240" s="451"/>
      <c r="AI240" s="452"/>
      <c r="AJ240" s="453"/>
      <c r="AK240" s="449">
        <v>0</v>
      </c>
      <c r="AL240" s="450"/>
      <c r="AM240" s="451"/>
      <c r="AN240" s="452"/>
      <c r="AO240" s="453"/>
      <c r="AP240" s="449">
        <v>0</v>
      </c>
      <c r="AQ240" s="450"/>
      <c r="AR240" s="451"/>
      <c r="AS240" s="452"/>
      <c r="AT240" s="453"/>
      <c r="AU240" s="449">
        <v>0</v>
      </c>
      <c r="AV240" s="450"/>
      <c r="AW240" s="451"/>
      <c r="AX240" s="452"/>
      <c r="AY240" s="453"/>
      <c r="AZ240" s="449">
        <v>0</v>
      </c>
      <c r="BA240" s="450"/>
      <c r="BB240" s="451"/>
      <c r="BC240" s="452"/>
      <c r="BD240" s="453"/>
      <c r="BE240" s="449">
        <v>0</v>
      </c>
      <c r="BF240" s="450"/>
      <c r="BG240" s="451"/>
      <c r="BH240" s="452"/>
      <c r="BI240" s="453"/>
      <c r="BJ240" s="449">
        <v>0</v>
      </c>
      <c r="BK240" s="450"/>
      <c r="BL240" s="451"/>
      <c r="BM240" s="452"/>
      <c r="BN240" s="453"/>
      <c r="BO240" s="449">
        <v>0</v>
      </c>
      <c r="BP240" s="450"/>
      <c r="BQ240" s="451"/>
      <c r="BR240" s="452"/>
      <c r="BS240" s="453"/>
      <c r="BT240" s="449">
        <f>SUM(L240:BO240)</f>
        <v>0</v>
      </c>
      <c r="BU240" s="450"/>
      <c r="BV240" s="451"/>
      <c r="BW240" s="452"/>
      <c r="BX240" s="453"/>
      <c r="BY240" s="449">
        <v>0</v>
      </c>
      <c r="BZ240" s="450"/>
      <c r="CA240" s="451"/>
      <c r="CB240" s="452"/>
      <c r="CC240" s="453"/>
      <c r="CD240" s="449">
        <v>0</v>
      </c>
      <c r="CE240" s="450"/>
      <c r="CF240" s="451"/>
      <c r="CG240" s="452"/>
      <c r="CH240" s="453"/>
      <c r="CI240" s="449">
        <v>0</v>
      </c>
      <c r="CJ240" s="450"/>
      <c r="CK240" s="451"/>
      <c r="CL240" s="452"/>
      <c r="CM240" s="453"/>
      <c r="CN240" s="449">
        <v>0</v>
      </c>
      <c r="CO240" s="450"/>
      <c r="CP240" s="451"/>
      <c r="CQ240" s="452"/>
      <c r="CR240" s="453"/>
      <c r="CS240" s="449">
        <v>0</v>
      </c>
      <c r="CT240" s="450"/>
      <c r="CU240" s="451"/>
      <c r="CV240" s="452"/>
      <c r="CW240" s="453"/>
      <c r="CX240" s="449">
        <v>0</v>
      </c>
      <c r="CY240" s="450"/>
      <c r="CZ240" s="451"/>
      <c r="DA240" s="452"/>
      <c r="DB240" s="453"/>
      <c r="DC240" s="449">
        <v>0</v>
      </c>
      <c r="DD240" s="450"/>
      <c r="DE240" s="451"/>
      <c r="DF240" s="452"/>
      <c r="DG240" s="453"/>
      <c r="DH240" s="449">
        <v>0</v>
      </c>
      <c r="DI240" s="450"/>
      <c r="DJ240" s="451"/>
      <c r="DK240" s="452"/>
      <c r="DL240" s="453"/>
      <c r="DM240" s="449">
        <v>0</v>
      </c>
      <c r="DN240" s="450"/>
      <c r="DO240" s="451"/>
      <c r="DP240" s="452"/>
      <c r="DQ240" s="453"/>
      <c r="DR240" s="449">
        <v>0</v>
      </c>
      <c r="DS240" s="450"/>
      <c r="DT240" s="451"/>
      <c r="DU240" s="452"/>
      <c r="DV240" s="453"/>
      <c r="DW240" s="449">
        <v>0</v>
      </c>
      <c r="DX240" s="450"/>
      <c r="DY240" s="451"/>
      <c r="DZ240" s="452"/>
      <c r="EA240" s="453"/>
      <c r="EB240" s="449">
        <v>0</v>
      </c>
      <c r="EC240" s="450"/>
      <c r="ED240" s="451"/>
      <c r="EE240" s="452"/>
      <c r="EF240" s="453"/>
      <c r="EG240" s="449">
        <v>0</v>
      </c>
      <c r="EH240" s="450"/>
      <c r="EI240" s="451"/>
      <c r="EJ240" s="452"/>
      <c r="EK240" s="453"/>
      <c r="EL240" s="449">
        <f>SUM(CD240:DH240)</f>
        <v>0</v>
      </c>
      <c r="EM240" s="450"/>
      <c r="EN240" s="451"/>
      <c r="EO240" s="13"/>
      <c r="ER240" s="14"/>
      <c r="ES240" s="14"/>
    </row>
    <row r="241" spans="4:149" ht="12.75" hidden="1" customHeight="1" x14ac:dyDescent="0.2">
      <c r="D241" s="13" t="s">
        <v>349</v>
      </c>
      <c r="F241" s="198"/>
      <c r="G241" s="451">
        <v>0</v>
      </c>
      <c r="H241" s="455"/>
      <c r="I241" s="451"/>
      <c r="J241" s="452"/>
      <c r="K241" s="452"/>
      <c r="L241" s="451">
        <v>0</v>
      </c>
      <c r="M241" s="455"/>
      <c r="N241" s="451"/>
      <c r="O241" s="452"/>
      <c r="P241" s="452"/>
      <c r="Q241" s="451">
        <v>0</v>
      </c>
      <c r="R241" s="455"/>
      <c r="S241" s="451"/>
      <c r="T241" s="452"/>
      <c r="U241" s="452"/>
      <c r="V241" s="451">
        <v>0</v>
      </c>
      <c r="W241" s="455"/>
      <c r="X241" s="451"/>
      <c r="Y241" s="452"/>
      <c r="Z241" s="452"/>
      <c r="AA241" s="451">
        <v>0</v>
      </c>
      <c r="AB241" s="455"/>
      <c r="AC241" s="451"/>
      <c r="AD241" s="452"/>
      <c r="AE241" s="452"/>
      <c r="AF241" s="451">
        <v>0</v>
      </c>
      <c r="AG241" s="455"/>
      <c r="AH241" s="451"/>
      <c r="AI241" s="452"/>
      <c r="AJ241" s="452"/>
      <c r="AK241" s="451">
        <v>0</v>
      </c>
      <c r="AL241" s="455"/>
      <c r="AM241" s="451"/>
      <c r="AN241" s="452"/>
      <c r="AO241" s="452"/>
      <c r="AP241" s="451">
        <v>0</v>
      </c>
      <c r="AQ241" s="455"/>
      <c r="AR241" s="451"/>
      <c r="AS241" s="452"/>
      <c r="AT241" s="452"/>
      <c r="AU241" s="451">
        <v>0</v>
      </c>
      <c r="AV241" s="455"/>
      <c r="AW241" s="451"/>
      <c r="AX241" s="452"/>
      <c r="AY241" s="452"/>
      <c r="AZ241" s="451">
        <v>0</v>
      </c>
      <c r="BA241" s="455"/>
      <c r="BB241" s="451"/>
      <c r="BC241" s="452"/>
      <c r="BD241" s="452"/>
      <c r="BE241" s="451">
        <v>0</v>
      </c>
      <c r="BF241" s="455"/>
      <c r="BG241" s="451"/>
      <c r="BH241" s="452"/>
      <c r="BI241" s="452"/>
      <c r="BJ241" s="451">
        <v>0</v>
      </c>
      <c r="BK241" s="455"/>
      <c r="BL241" s="451"/>
      <c r="BM241" s="452"/>
      <c r="BN241" s="452"/>
      <c r="BO241" s="451">
        <v>0</v>
      </c>
      <c r="BP241" s="455"/>
      <c r="BQ241" s="451"/>
      <c r="BR241" s="452"/>
      <c r="BS241" s="452"/>
      <c r="BT241" s="451">
        <f>SUM(L241:BO241)</f>
        <v>0</v>
      </c>
      <c r="BU241" s="455"/>
      <c r="BV241" s="451"/>
      <c r="BW241" s="452"/>
      <c r="BX241" s="452"/>
      <c r="BY241" s="451">
        <v>0</v>
      </c>
      <c r="BZ241" s="455"/>
      <c r="CA241" s="451"/>
      <c r="CB241" s="452"/>
      <c r="CC241" s="452"/>
      <c r="CD241" s="451">
        <v>0</v>
      </c>
      <c r="CE241" s="455"/>
      <c r="CF241" s="451"/>
      <c r="CG241" s="452"/>
      <c r="CH241" s="452"/>
      <c r="CI241" s="451">
        <v>0</v>
      </c>
      <c r="CJ241" s="455"/>
      <c r="CK241" s="451"/>
      <c r="CL241" s="452"/>
      <c r="CM241" s="452"/>
      <c r="CN241" s="451">
        <v>0</v>
      </c>
      <c r="CO241" s="455"/>
      <c r="CP241" s="451"/>
      <c r="CQ241" s="452"/>
      <c r="CR241" s="452"/>
      <c r="CS241" s="451">
        <v>0</v>
      </c>
      <c r="CT241" s="455"/>
      <c r="CU241" s="451"/>
      <c r="CV241" s="452"/>
      <c r="CW241" s="452"/>
      <c r="CX241" s="451">
        <v>0</v>
      </c>
      <c r="CY241" s="455"/>
      <c r="CZ241" s="451"/>
      <c r="DA241" s="452"/>
      <c r="DB241" s="452"/>
      <c r="DC241" s="451">
        <v>0</v>
      </c>
      <c r="DD241" s="455"/>
      <c r="DE241" s="451"/>
      <c r="DF241" s="452"/>
      <c r="DG241" s="452"/>
      <c r="DH241" s="451">
        <v>0</v>
      </c>
      <c r="DI241" s="455"/>
      <c r="DJ241" s="451"/>
      <c r="DK241" s="452"/>
      <c r="DL241" s="452"/>
      <c r="DM241" s="451">
        <v>0</v>
      </c>
      <c r="DN241" s="455"/>
      <c r="DO241" s="451"/>
      <c r="DP241" s="452"/>
      <c r="DQ241" s="452"/>
      <c r="DR241" s="451">
        <v>0</v>
      </c>
      <c r="DS241" s="455"/>
      <c r="DT241" s="451"/>
      <c r="DU241" s="452"/>
      <c r="DV241" s="452"/>
      <c r="DW241" s="451">
        <v>0</v>
      </c>
      <c r="DX241" s="455"/>
      <c r="DY241" s="451"/>
      <c r="DZ241" s="452"/>
      <c r="EA241" s="452"/>
      <c r="EB241" s="451">
        <v>0</v>
      </c>
      <c r="EC241" s="455"/>
      <c r="ED241" s="451"/>
      <c r="EE241" s="452"/>
      <c r="EF241" s="452"/>
      <c r="EG241" s="451">
        <v>0</v>
      </c>
      <c r="EH241" s="455"/>
      <c r="EI241" s="451"/>
      <c r="EJ241" s="452"/>
      <c r="EK241" s="452"/>
      <c r="EL241" s="451">
        <f>SUM(CD241:DH241)</f>
        <v>0</v>
      </c>
      <c r="EM241" s="455"/>
      <c r="EN241" s="451"/>
      <c r="EO241" s="13"/>
      <c r="ER241" s="14"/>
      <c r="ES241" s="14"/>
    </row>
    <row r="242" spans="4:149" ht="12.75" hidden="1" customHeight="1" x14ac:dyDescent="0.2">
      <c r="D242" s="13" t="s">
        <v>357</v>
      </c>
      <c r="F242" s="385"/>
      <c r="G242" s="463">
        <v>0</v>
      </c>
      <c r="H242" s="464"/>
      <c r="I242" s="451"/>
      <c r="J242" s="452"/>
      <c r="K242" s="465"/>
      <c r="L242" s="463">
        <v>0</v>
      </c>
      <c r="M242" s="464"/>
      <c r="N242" s="451"/>
      <c r="O242" s="452"/>
      <c r="P242" s="465"/>
      <c r="Q242" s="463">
        <v>0</v>
      </c>
      <c r="R242" s="464"/>
      <c r="S242" s="451"/>
      <c r="T242" s="452"/>
      <c r="U242" s="465"/>
      <c r="V242" s="463">
        <v>0</v>
      </c>
      <c r="W242" s="464"/>
      <c r="X242" s="451"/>
      <c r="Y242" s="452"/>
      <c r="Z242" s="465"/>
      <c r="AA242" s="463">
        <v>0</v>
      </c>
      <c r="AB242" s="464"/>
      <c r="AC242" s="451"/>
      <c r="AD242" s="452"/>
      <c r="AE242" s="465"/>
      <c r="AF242" s="463">
        <v>0</v>
      </c>
      <c r="AG242" s="464"/>
      <c r="AH242" s="451"/>
      <c r="AI242" s="452"/>
      <c r="AJ242" s="465"/>
      <c r="AK242" s="463">
        <v>0</v>
      </c>
      <c r="AL242" s="464"/>
      <c r="AM242" s="451"/>
      <c r="AN242" s="452"/>
      <c r="AO242" s="465"/>
      <c r="AP242" s="463">
        <v>0</v>
      </c>
      <c r="AQ242" s="464"/>
      <c r="AR242" s="451"/>
      <c r="AS242" s="452"/>
      <c r="AT242" s="465"/>
      <c r="AU242" s="463">
        <v>0</v>
      </c>
      <c r="AV242" s="464"/>
      <c r="AW242" s="451"/>
      <c r="AX242" s="452"/>
      <c r="AY242" s="465"/>
      <c r="AZ242" s="463">
        <v>0</v>
      </c>
      <c r="BA242" s="464"/>
      <c r="BB242" s="451"/>
      <c r="BC242" s="452"/>
      <c r="BD242" s="465"/>
      <c r="BE242" s="463">
        <v>0</v>
      </c>
      <c r="BF242" s="464"/>
      <c r="BG242" s="451"/>
      <c r="BH242" s="452"/>
      <c r="BI242" s="465"/>
      <c r="BJ242" s="463">
        <v>0</v>
      </c>
      <c r="BK242" s="464"/>
      <c r="BL242" s="451"/>
      <c r="BM242" s="452"/>
      <c r="BN242" s="465"/>
      <c r="BO242" s="463">
        <v>0</v>
      </c>
      <c r="BP242" s="464"/>
      <c r="BQ242" s="451"/>
      <c r="BR242" s="452"/>
      <c r="BS242" s="465"/>
      <c r="BT242" s="463">
        <f>SUM(L242:BO242)</f>
        <v>0</v>
      </c>
      <c r="BU242" s="464"/>
      <c r="BV242" s="451"/>
      <c r="BW242" s="452"/>
      <c r="BX242" s="465"/>
      <c r="BY242" s="463">
        <v>0</v>
      </c>
      <c r="BZ242" s="464"/>
      <c r="CA242" s="451"/>
      <c r="CB242" s="452"/>
      <c r="CC242" s="465"/>
      <c r="CD242" s="463">
        <v>0</v>
      </c>
      <c r="CE242" s="464"/>
      <c r="CF242" s="451"/>
      <c r="CG242" s="452"/>
      <c r="CH242" s="465"/>
      <c r="CI242" s="463">
        <v>0</v>
      </c>
      <c r="CJ242" s="464"/>
      <c r="CK242" s="451"/>
      <c r="CL242" s="452"/>
      <c r="CM242" s="465"/>
      <c r="CN242" s="463">
        <v>0</v>
      </c>
      <c r="CO242" s="464"/>
      <c r="CP242" s="451"/>
      <c r="CQ242" s="452"/>
      <c r="CR242" s="465"/>
      <c r="CS242" s="463">
        <v>0</v>
      </c>
      <c r="CT242" s="464"/>
      <c r="CU242" s="451"/>
      <c r="CV242" s="452"/>
      <c r="CW242" s="465"/>
      <c r="CX242" s="463">
        <v>0</v>
      </c>
      <c r="CY242" s="464"/>
      <c r="CZ242" s="451"/>
      <c r="DA242" s="452"/>
      <c r="DB242" s="465"/>
      <c r="DC242" s="463">
        <v>0</v>
      </c>
      <c r="DD242" s="464"/>
      <c r="DE242" s="451"/>
      <c r="DF242" s="452"/>
      <c r="DG242" s="465"/>
      <c r="DH242" s="463">
        <v>0</v>
      </c>
      <c r="DI242" s="464"/>
      <c r="DJ242" s="451"/>
      <c r="DK242" s="452"/>
      <c r="DL242" s="465"/>
      <c r="DM242" s="463">
        <v>0</v>
      </c>
      <c r="DN242" s="464"/>
      <c r="DO242" s="451"/>
      <c r="DP242" s="452"/>
      <c r="DQ242" s="465"/>
      <c r="DR242" s="463">
        <v>0</v>
      </c>
      <c r="DS242" s="464"/>
      <c r="DT242" s="451"/>
      <c r="DU242" s="452"/>
      <c r="DV242" s="465"/>
      <c r="DW242" s="463">
        <v>0</v>
      </c>
      <c r="DX242" s="464"/>
      <c r="DY242" s="451"/>
      <c r="DZ242" s="452"/>
      <c r="EA242" s="465"/>
      <c r="EB242" s="463">
        <v>0</v>
      </c>
      <c r="EC242" s="464"/>
      <c r="ED242" s="451"/>
      <c r="EE242" s="452"/>
      <c r="EF242" s="465"/>
      <c r="EG242" s="463">
        <v>0</v>
      </c>
      <c r="EH242" s="464"/>
      <c r="EI242" s="451"/>
      <c r="EJ242" s="452"/>
      <c r="EK242" s="465"/>
      <c r="EL242" s="463">
        <f>SUM(CD242:DH242)</f>
        <v>0</v>
      </c>
      <c r="EM242" s="464"/>
      <c r="EN242" s="451"/>
      <c r="EO242" s="13"/>
      <c r="ER242" s="14"/>
      <c r="ES242" s="14"/>
    </row>
    <row r="243" spans="4:149" ht="12.75" customHeight="1" x14ac:dyDescent="0.2">
      <c r="D243" s="13"/>
      <c r="E243" s="479"/>
      <c r="F243" s="188"/>
      <c r="G243" s="451"/>
      <c r="H243" s="451"/>
      <c r="I243" s="451"/>
      <c r="J243" s="452"/>
      <c r="K243" s="188"/>
      <c r="L243" s="451"/>
      <c r="M243" s="451"/>
      <c r="N243" s="451"/>
      <c r="O243" s="452"/>
      <c r="P243" s="188"/>
      <c r="Q243" s="451"/>
      <c r="R243" s="451"/>
      <c r="S243" s="451"/>
      <c r="T243" s="452"/>
      <c r="U243" s="188"/>
      <c r="V243" s="451"/>
      <c r="W243" s="451"/>
      <c r="X243" s="451"/>
      <c r="Y243" s="452"/>
      <c r="Z243" s="188"/>
      <c r="AA243" s="451"/>
      <c r="AB243" s="451"/>
      <c r="AC243" s="451"/>
      <c r="AD243" s="452"/>
      <c r="AE243" s="188"/>
      <c r="AF243" s="451"/>
      <c r="AG243" s="451"/>
      <c r="AH243" s="451"/>
      <c r="AI243" s="452"/>
      <c r="AJ243" s="188"/>
      <c r="AK243" s="451"/>
      <c r="AL243" s="451"/>
      <c r="AM243" s="451"/>
      <c r="AN243" s="452"/>
      <c r="AO243" s="188"/>
      <c r="AP243" s="451"/>
      <c r="AQ243" s="451"/>
      <c r="AR243" s="451"/>
      <c r="AS243" s="452"/>
      <c r="AT243" s="188"/>
      <c r="AU243" s="451"/>
      <c r="AV243" s="451"/>
      <c r="AW243" s="451"/>
      <c r="AX243" s="452"/>
      <c r="AY243" s="188"/>
      <c r="AZ243" s="451"/>
      <c r="BA243" s="451"/>
      <c r="BB243" s="451"/>
      <c r="BC243" s="452"/>
      <c r="BD243" s="188"/>
      <c r="BE243" s="451"/>
      <c r="BF243" s="451"/>
      <c r="BG243" s="451"/>
      <c r="BH243" s="452"/>
      <c r="BI243" s="188"/>
      <c r="BJ243" s="451"/>
      <c r="BK243" s="451"/>
      <c r="BL243" s="451"/>
      <c r="BM243" s="452"/>
      <c r="BN243" s="188"/>
      <c r="BO243" s="451"/>
      <c r="BP243" s="451"/>
      <c r="BQ243" s="451"/>
      <c r="BR243" s="452"/>
      <c r="BS243" s="188"/>
      <c r="BT243" s="451"/>
      <c r="BU243" s="451"/>
      <c r="BV243" s="451"/>
      <c r="BW243" s="452"/>
      <c r="BX243" s="188"/>
      <c r="BY243" s="451"/>
      <c r="BZ243" s="451"/>
      <c r="CA243" s="451"/>
      <c r="CB243" s="452"/>
      <c r="CC243" s="188"/>
      <c r="CD243" s="451"/>
      <c r="CE243" s="451"/>
      <c r="CF243" s="451"/>
      <c r="CG243" s="452"/>
      <c r="CH243" s="188"/>
      <c r="CI243" s="451"/>
      <c r="CJ243" s="451"/>
      <c r="CK243" s="451"/>
      <c r="CL243" s="452"/>
      <c r="CM243" s="188"/>
      <c r="CN243" s="451"/>
      <c r="CO243" s="451"/>
      <c r="CP243" s="451"/>
      <c r="CQ243" s="452"/>
      <c r="CR243" s="188"/>
      <c r="CS243" s="451"/>
      <c r="CT243" s="451"/>
      <c r="CU243" s="451"/>
      <c r="CV243" s="452"/>
      <c r="CW243" s="188"/>
      <c r="CX243" s="451"/>
      <c r="CY243" s="451"/>
      <c r="CZ243" s="451"/>
      <c r="DA243" s="452"/>
      <c r="DB243" s="188"/>
      <c r="DC243" s="451"/>
      <c r="DD243" s="451"/>
      <c r="DE243" s="451"/>
      <c r="DF243" s="452"/>
      <c r="DG243" s="188"/>
      <c r="DH243" s="451"/>
      <c r="DI243" s="451"/>
      <c r="DJ243" s="451"/>
      <c r="DK243" s="452"/>
      <c r="DL243" s="188"/>
      <c r="DM243" s="451"/>
      <c r="DN243" s="451"/>
      <c r="DO243" s="451"/>
      <c r="DP243" s="452"/>
      <c r="DQ243" s="188"/>
      <c r="DR243" s="451"/>
      <c r="DS243" s="451"/>
      <c r="DT243" s="451"/>
      <c r="DU243" s="452"/>
      <c r="DV243" s="188"/>
      <c r="DW243" s="451"/>
      <c r="DX243" s="451"/>
      <c r="DY243" s="451"/>
      <c r="DZ243" s="452"/>
      <c r="EA243" s="188"/>
      <c r="EB243" s="451"/>
      <c r="EC243" s="451"/>
      <c r="ED243" s="451"/>
      <c r="EE243" s="452"/>
      <c r="EF243" s="188"/>
      <c r="EG243" s="451"/>
      <c r="EH243" s="451"/>
      <c r="EI243" s="451"/>
      <c r="EJ243" s="452"/>
      <c r="EK243" s="188"/>
      <c r="EL243" s="451"/>
      <c r="EM243" s="451"/>
      <c r="EN243" s="451"/>
      <c r="EO243" s="13"/>
      <c r="ER243" s="14"/>
      <c r="ES243" s="14"/>
    </row>
    <row r="244" spans="4:149" ht="12.75" customHeight="1" x14ac:dyDescent="0.2">
      <c r="D244" s="13" t="s">
        <v>375</v>
      </c>
      <c r="E244" s="479"/>
      <c r="F244" s="188"/>
      <c r="G244" s="451">
        <v>0</v>
      </c>
      <c r="H244" s="451"/>
      <c r="I244" s="451"/>
      <c r="J244" s="452"/>
      <c r="K244" s="188"/>
      <c r="L244" s="451">
        <v>0</v>
      </c>
      <c r="M244" s="451"/>
      <c r="N244" s="451"/>
      <c r="O244" s="452"/>
      <c r="P244" s="188"/>
      <c r="Q244" s="451">
        <f>SUM(Q245:Q247)</f>
        <v>0</v>
      </c>
      <c r="R244" s="451"/>
      <c r="S244" s="451"/>
      <c r="T244" s="452"/>
      <c r="U244" s="188"/>
      <c r="V244" s="451">
        <f>SUM(V245:V247)</f>
        <v>0</v>
      </c>
      <c r="W244" s="451"/>
      <c r="X244" s="451"/>
      <c r="Y244" s="452"/>
      <c r="Z244" s="188"/>
      <c r="AA244" s="451">
        <v>0</v>
      </c>
      <c r="AB244" s="451"/>
      <c r="AC244" s="451"/>
      <c r="AD244" s="452"/>
      <c r="AE244" s="188"/>
      <c r="AF244" s="451">
        <f>SUM(AF245:AF247)</f>
        <v>0</v>
      </c>
      <c r="AG244" s="451"/>
      <c r="AH244" s="451"/>
      <c r="AI244" s="452"/>
      <c r="AJ244" s="188"/>
      <c r="AK244" s="451">
        <v>0</v>
      </c>
      <c r="AL244" s="451"/>
      <c r="AM244" s="451"/>
      <c r="AN244" s="452"/>
      <c r="AO244" s="188"/>
      <c r="AP244" s="451">
        <f>SUM(AP245:AP247)</f>
        <v>0</v>
      </c>
      <c r="AQ244" s="451"/>
      <c r="AR244" s="451"/>
      <c r="AS244" s="452"/>
      <c r="AT244" s="188"/>
      <c r="AU244" s="451">
        <v>0</v>
      </c>
      <c r="AV244" s="451"/>
      <c r="AW244" s="451"/>
      <c r="AX244" s="452"/>
      <c r="AY244" s="188"/>
      <c r="AZ244" s="451">
        <v>0</v>
      </c>
      <c r="BA244" s="451"/>
      <c r="BB244" s="451"/>
      <c r="BC244" s="452"/>
      <c r="BD244" s="188"/>
      <c r="BE244" s="451">
        <v>0</v>
      </c>
      <c r="BF244" s="451"/>
      <c r="BG244" s="451"/>
      <c r="BH244" s="452"/>
      <c r="BI244" s="188"/>
      <c r="BJ244" s="451">
        <v>0</v>
      </c>
      <c r="BK244" s="451"/>
      <c r="BL244" s="451"/>
      <c r="BM244" s="452"/>
      <c r="BN244" s="188"/>
      <c r="BO244" s="451">
        <v>0</v>
      </c>
      <c r="BP244" s="451"/>
      <c r="BQ244" s="451"/>
      <c r="BR244" s="452"/>
      <c r="BS244" s="188"/>
      <c r="BT244" s="451">
        <f>SUM(BT245:BT248)</f>
        <v>0</v>
      </c>
      <c r="BU244" s="451"/>
      <c r="BV244" s="451"/>
      <c r="BW244" s="452"/>
      <c r="BX244" s="188"/>
      <c r="BY244" s="451">
        <f>SUM(BY245:BY248)</f>
        <v>1000908</v>
      </c>
      <c r="BZ244" s="451"/>
      <c r="CA244" s="451"/>
      <c r="CB244" s="452"/>
      <c r="CC244" s="188"/>
      <c r="CD244" s="451">
        <v>0</v>
      </c>
      <c r="CE244" s="451"/>
      <c r="CF244" s="451"/>
      <c r="CG244" s="452"/>
      <c r="CH244" s="188"/>
      <c r="CI244" s="451">
        <f>SUM(CI245:CI247)</f>
        <v>1000908</v>
      </c>
      <c r="CJ244" s="451"/>
      <c r="CK244" s="451"/>
      <c r="CL244" s="452"/>
      <c r="CM244" s="188"/>
      <c r="CN244" s="451">
        <f>SUM(CN245:CN247)</f>
        <v>0</v>
      </c>
      <c r="CO244" s="451"/>
      <c r="CP244" s="451"/>
      <c r="CQ244" s="452"/>
      <c r="CR244" s="188"/>
      <c r="CS244" s="451">
        <v>0</v>
      </c>
      <c r="CT244" s="451"/>
      <c r="CU244" s="451"/>
      <c r="CV244" s="452"/>
      <c r="CW244" s="188"/>
      <c r="CX244" s="451">
        <f>SUM(CX245:CX247)</f>
        <v>0</v>
      </c>
      <c r="CY244" s="451"/>
      <c r="CZ244" s="451"/>
      <c r="DA244" s="452"/>
      <c r="DB244" s="188"/>
      <c r="DC244" s="451">
        <v>0</v>
      </c>
      <c r="DD244" s="451"/>
      <c r="DE244" s="451"/>
      <c r="DF244" s="452"/>
      <c r="DG244" s="188"/>
      <c r="DH244" s="451">
        <f>SUM(DH245:DH247)</f>
        <v>0</v>
      </c>
      <c r="DI244" s="451"/>
      <c r="DJ244" s="451"/>
      <c r="DK244" s="452"/>
      <c r="DL244" s="188"/>
      <c r="DM244" s="451">
        <v>0</v>
      </c>
      <c r="DN244" s="451"/>
      <c r="DO244" s="451"/>
      <c r="DP244" s="452"/>
      <c r="DQ244" s="188"/>
      <c r="DR244" s="451">
        <v>0</v>
      </c>
      <c r="DS244" s="451"/>
      <c r="DT244" s="451"/>
      <c r="DU244" s="452"/>
      <c r="DV244" s="188"/>
      <c r="DW244" s="451">
        <v>0</v>
      </c>
      <c r="DX244" s="451"/>
      <c r="DY244" s="451"/>
      <c r="DZ244" s="452"/>
      <c r="EA244" s="188"/>
      <c r="EB244" s="451">
        <v>0</v>
      </c>
      <c r="EC244" s="451"/>
      <c r="ED244" s="451"/>
      <c r="EE244" s="452"/>
      <c r="EF244" s="188"/>
      <c r="EG244" s="451">
        <v>0</v>
      </c>
      <c r="EH244" s="451"/>
      <c r="EI244" s="451"/>
      <c r="EJ244" s="452"/>
      <c r="EK244" s="188"/>
      <c r="EL244" s="451">
        <f>SUM(EL245:EL248)</f>
        <v>1000908</v>
      </c>
      <c r="EM244" s="451"/>
      <c r="EN244" s="451"/>
      <c r="EO244" s="13"/>
      <c r="ER244" s="14"/>
      <c r="ES244" s="14"/>
    </row>
    <row r="245" spans="4:149" ht="12.75" customHeight="1" x14ac:dyDescent="0.2">
      <c r="D245" s="13" t="s">
        <v>347</v>
      </c>
      <c r="E245" s="479"/>
      <c r="F245" s="480"/>
      <c r="G245" s="449">
        <v>0</v>
      </c>
      <c r="H245" s="450"/>
      <c r="I245" s="451"/>
      <c r="J245" s="452"/>
      <c r="K245" s="480"/>
      <c r="L245" s="449">
        <v>0</v>
      </c>
      <c r="M245" s="450"/>
      <c r="N245" s="451"/>
      <c r="O245" s="452"/>
      <c r="P245" s="453"/>
      <c r="Q245" s="449">
        <v>0</v>
      </c>
      <c r="R245" s="450"/>
      <c r="S245" s="451"/>
      <c r="T245" s="452"/>
      <c r="U245" s="453"/>
      <c r="V245" s="449">
        <v>0</v>
      </c>
      <c r="W245" s="450"/>
      <c r="X245" s="451"/>
      <c r="Y245" s="452"/>
      <c r="Z245" s="453"/>
      <c r="AA245" s="449">
        <v>0</v>
      </c>
      <c r="AB245" s="450"/>
      <c r="AC245" s="451"/>
      <c r="AD245" s="452"/>
      <c r="AE245" s="453"/>
      <c r="AF245" s="449">
        <v>0</v>
      </c>
      <c r="AG245" s="450"/>
      <c r="AH245" s="451"/>
      <c r="AI245" s="452"/>
      <c r="AJ245" s="453"/>
      <c r="AK245" s="449">
        <v>0</v>
      </c>
      <c r="AL245" s="450"/>
      <c r="AM245" s="451"/>
      <c r="AN245" s="452"/>
      <c r="AO245" s="453"/>
      <c r="AP245" s="449">
        <v>0</v>
      </c>
      <c r="AQ245" s="450"/>
      <c r="AR245" s="451"/>
      <c r="AS245" s="452"/>
      <c r="AT245" s="453"/>
      <c r="AU245" s="449">
        <v>0</v>
      </c>
      <c r="AV245" s="450"/>
      <c r="AW245" s="451"/>
      <c r="AX245" s="452"/>
      <c r="AY245" s="453"/>
      <c r="AZ245" s="449">
        <v>0</v>
      </c>
      <c r="BA245" s="450"/>
      <c r="BB245" s="451"/>
      <c r="BC245" s="452"/>
      <c r="BD245" s="453"/>
      <c r="BE245" s="449">
        <v>0</v>
      </c>
      <c r="BF245" s="450"/>
      <c r="BG245" s="451"/>
      <c r="BH245" s="452"/>
      <c r="BI245" s="453"/>
      <c r="BJ245" s="449">
        <v>0</v>
      </c>
      <c r="BK245" s="450"/>
      <c r="BL245" s="451"/>
      <c r="BM245" s="452"/>
      <c r="BN245" s="453"/>
      <c r="BO245" s="449">
        <v>0</v>
      </c>
      <c r="BP245" s="450"/>
      <c r="BQ245" s="451"/>
      <c r="BR245" s="452"/>
      <c r="BS245" s="453"/>
      <c r="BT245" s="449">
        <f>SUM(L245:BO245)</f>
        <v>0</v>
      </c>
      <c r="BU245" s="450"/>
      <c r="BV245" s="451"/>
      <c r="BW245" s="452"/>
      <c r="BX245" s="453"/>
      <c r="BY245" s="449">
        <v>999003</v>
      </c>
      <c r="BZ245" s="450"/>
      <c r="CA245" s="451"/>
      <c r="CB245" s="452"/>
      <c r="CC245" s="453"/>
      <c r="CD245" s="449">
        <v>0</v>
      </c>
      <c r="CE245" s="450"/>
      <c r="CF245" s="451"/>
      <c r="CG245" s="452"/>
      <c r="CH245" s="453"/>
      <c r="CI245" s="449">
        <f>1000908-1905</f>
        <v>999003</v>
      </c>
      <c r="CJ245" s="450"/>
      <c r="CK245" s="451"/>
      <c r="CL245" s="452"/>
      <c r="CM245" s="453"/>
      <c r="CN245" s="449">
        <v>0</v>
      </c>
      <c r="CO245" s="450"/>
      <c r="CP245" s="451"/>
      <c r="CQ245" s="452"/>
      <c r="CR245" s="453"/>
      <c r="CS245" s="449">
        <v>0</v>
      </c>
      <c r="CT245" s="450"/>
      <c r="CU245" s="451"/>
      <c r="CV245" s="452"/>
      <c r="CW245" s="453"/>
      <c r="CX245" s="449">
        <v>0</v>
      </c>
      <c r="CY245" s="450"/>
      <c r="CZ245" s="451"/>
      <c r="DA245" s="452"/>
      <c r="DB245" s="453"/>
      <c r="DC245" s="449">
        <v>0</v>
      </c>
      <c r="DD245" s="450"/>
      <c r="DE245" s="451"/>
      <c r="DF245" s="452"/>
      <c r="DG245" s="453"/>
      <c r="DH245" s="449">
        <v>0</v>
      </c>
      <c r="DI245" s="450"/>
      <c r="DJ245" s="451"/>
      <c r="DK245" s="452"/>
      <c r="DL245" s="453"/>
      <c r="DM245" s="449">
        <v>0</v>
      </c>
      <c r="DN245" s="450"/>
      <c r="DO245" s="451"/>
      <c r="DP245" s="452"/>
      <c r="DQ245" s="453"/>
      <c r="DR245" s="449">
        <v>0</v>
      </c>
      <c r="DS245" s="450"/>
      <c r="DT245" s="451"/>
      <c r="DU245" s="452"/>
      <c r="DV245" s="453"/>
      <c r="DW245" s="449">
        <v>0</v>
      </c>
      <c r="DX245" s="450"/>
      <c r="DY245" s="451"/>
      <c r="DZ245" s="452"/>
      <c r="EA245" s="453"/>
      <c r="EB245" s="449">
        <v>0</v>
      </c>
      <c r="EC245" s="450"/>
      <c r="ED245" s="451"/>
      <c r="EE245" s="452"/>
      <c r="EF245" s="453"/>
      <c r="EG245" s="449">
        <v>0</v>
      </c>
      <c r="EH245" s="450"/>
      <c r="EI245" s="451"/>
      <c r="EJ245" s="452"/>
      <c r="EK245" s="453"/>
      <c r="EL245" s="449">
        <f>SUM(CD245:DW245)</f>
        <v>999003</v>
      </c>
      <c r="EM245" s="450"/>
      <c r="EN245" s="451"/>
      <c r="EO245" s="13"/>
      <c r="ER245" s="14"/>
      <c r="ES245" s="14"/>
    </row>
    <row r="246" spans="4:149" ht="12.75" customHeight="1" x14ac:dyDescent="0.2">
      <c r="D246" s="13" t="s">
        <v>349</v>
      </c>
      <c r="E246" s="479"/>
      <c r="F246" s="444"/>
      <c r="G246" s="451">
        <v>0</v>
      </c>
      <c r="H246" s="455"/>
      <c r="I246" s="451"/>
      <c r="J246" s="452"/>
      <c r="K246" s="444"/>
      <c r="L246" s="451">
        <v>0</v>
      </c>
      <c r="M246" s="455"/>
      <c r="N246" s="451"/>
      <c r="O246" s="452"/>
      <c r="P246" s="452"/>
      <c r="Q246" s="451">
        <v>0</v>
      </c>
      <c r="R246" s="455"/>
      <c r="S246" s="451"/>
      <c r="T246" s="452"/>
      <c r="U246" s="452"/>
      <c r="V246" s="451">
        <v>0</v>
      </c>
      <c r="W246" s="455"/>
      <c r="X246" s="451"/>
      <c r="Y246" s="452"/>
      <c r="Z246" s="452"/>
      <c r="AA246" s="451">
        <v>0</v>
      </c>
      <c r="AB246" s="455"/>
      <c r="AC246" s="451"/>
      <c r="AD246" s="452"/>
      <c r="AE246" s="452"/>
      <c r="AF246" s="451">
        <v>0</v>
      </c>
      <c r="AG246" s="455"/>
      <c r="AH246" s="451"/>
      <c r="AI246" s="452"/>
      <c r="AJ246" s="452"/>
      <c r="AK246" s="451">
        <v>0</v>
      </c>
      <c r="AL246" s="455"/>
      <c r="AM246" s="451"/>
      <c r="AN246" s="452"/>
      <c r="AO246" s="452"/>
      <c r="AP246" s="451">
        <v>0</v>
      </c>
      <c r="AQ246" s="455"/>
      <c r="AR246" s="451"/>
      <c r="AS246" s="452"/>
      <c r="AT246" s="452"/>
      <c r="AU246" s="451">
        <v>0</v>
      </c>
      <c r="AV246" s="455"/>
      <c r="AW246" s="451"/>
      <c r="AX246" s="452"/>
      <c r="AY246" s="452"/>
      <c r="AZ246" s="451">
        <v>0</v>
      </c>
      <c r="BA246" s="455"/>
      <c r="BB246" s="451"/>
      <c r="BC246" s="452"/>
      <c r="BD246" s="452"/>
      <c r="BE246" s="451">
        <v>0</v>
      </c>
      <c r="BF246" s="455"/>
      <c r="BG246" s="451"/>
      <c r="BH246" s="452"/>
      <c r="BI246" s="452"/>
      <c r="BJ246" s="451">
        <v>0</v>
      </c>
      <c r="BK246" s="455"/>
      <c r="BL246" s="451"/>
      <c r="BM246" s="452"/>
      <c r="BN246" s="452"/>
      <c r="BO246" s="451">
        <v>0</v>
      </c>
      <c r="BP246" s="455"/>
      <c r="BQ246" s="451"/>
      <c r="BR246" s="452"/>
      <c r="BS246" s="452"/>
      <c r="BT246" s="451">
        <f>SUM(L246:BO246)</f>
        <v>0</v>
      </c>
      <c r="BU246" s="455"/>
      <c r="BV246" s="451"/>
      <c r="BW246" s="452"/>
      <c r="BX246" s="452"/>
      <c r="BY246" s="451">
        <v>1905</v>
      </c>
      <c r="BZ246" s="455"/>
      <c r="CA246" s="451"/>
      <c r="CB246" s="452"/>
      <c r="CC246" s="452"/>
      <c r="CD246" s="451">
        <v>0</v>
      </c>
      <c r="CE246" s="455"/>
      <c r="CF246" s="451"/>
      <c r="CG246" s="452"/>
      <c r="CH246" s="452"/>
      <c r="CI246" s="451">
        <v>1905</v>
      </c>
      <c r="CJ246" s="455"/>
      <c r="CK246" s="451"/>
      <c r="CL246" s="452"/>
      <c r="CM246" s="452"/>
      <c r="CN246" s="451">
        <v>0</v>
      </c>
      <c r="CO246" s="455"/>
      <c r="CP246" s="451"/>
      <c r="CQ246" s="452"/>
      <c r="CR246" s="452"/>
      <c r="CS246" s="451">
        <v>0</v>
      </c>
      <c r="CT246" s="455"/>
      <c r="CU246" s="451"/>
      <c r="CV246" s="452"/>
      <c r="CW246" s="452"/>
      <c r="CX246" s="451">
        <v>0</v>
      </c>
      <c r="CY246" s="455"/>
      <c r="CZ246" s="451"/>
      <c r="DA246" s="452"/>
      <c r="DB246" s="452"/>
      <c r="DC246" s="451">
        <v>0</v>
      </c>
      <c r="DD246" s="455"/>
      <c r="DE246" s="451"/>
      <c r="DF246" s="452"/>
      <c r="DG246" s="452"/>
      <c r="DH246" s="451">
        <v>0</v>
      </c>
      <c r="DI246" s="455"/>
      <c r="DJ246" s="451"/>
      <c r="DK246" s="452"/>
      <c r="DL246" s="452"/>
      <c r="DM246" s="451">
        <v>0</v>
      </c>
      <c r="DN246" s="455"/>
      <c r="DO246" s="451"/>
      <c r="DP246" s="452"/>
      <c r="DQ246" s="452"/>
      <c r="DR246" s="451">
        <v>0</v>
      </c>
      <c r="DS246" s="455"/>
      <c r="DT246" s="451"/>
      <c r="DU246" s="452"/>
      <c r="DV246" s="452"/>
      <c r="DW246" s="451">
        <v>0</v>
      </c>
      <c r="DX246" s="455"/>
      <c r="DY246" s="451"/>
      <c r="DZ246" s="452"/>
      <c r="EA246" s="452"/>
      <c r="EB246" s="451">
        <v>0</v>
      </c>
      <c r="EC246" s="455"/>
      <c r="ED246" s="451"/>
      <c r="EE246" s="452"/>
      <c r="EF246" s="452"/>
      <c r="EG246" s="451">
        <v>0</v>
      </c>
      <c r="EH246" s="455"/>
      <c r="EI246" s="451"/>
      <c r="EJ246" s="452"/>
      <c r="EK246" s="452"/>
      <c r="EL246" s="451">
        <f>SUM(CD246:DW246)</f>
        <v>1905</v>
      </c>
      <c r="EM246" s="455"/>
      <c r="EN246" s="451"/>
      <c r="EO246" s="13"/>
      <c r="ER246" s="14"/>
      <c r="ES246" s="14"/>
    </row>
    <row r="247" spans="4:149" ht="12.75" customHeight="1" x14ac:dyDescent="0.2">
      <c r="D247" s="13" t="s">
        <v>357</v>
      </c>
      <c r="E247" s="479"/>
      <c r="F247" s="445"/>
      <c r="G247" s="463">
        <v>0</v>
      </c>
      <c r="H247" s="464"/>
      <c r="I247" s="451"/>
      <c r="J247" s="452"/>
      <c r="K247" s="445"/>
      <c r="L247" s="463">
        <v>0</v>
      </c>
      <c r="M247" s="464"/>
      <c r="N247" s="451"/>
      <c r="O247" s="452"/>
      <c r="P247" s="465"/>
      <c r="Q247" s="463">
        <v>0</v>
      </c>
      <c r="R247" s="464"/>
      <c r="S247" s="451"/>
      <c r="T247" s="452"/>
      <c r="U247" s="465"/>
      <c r="V247" s="463">
        <v>0</v>
      </c>
      <c r="W247" s="464"/>
      <c r="X247" s="451"/>
      <c r="Y247" s="452"/>
      <c r="Z247" s="465"/>
      <c r="AA247" s="463">
        <v>0</v>
      </c>
      <c r="AB247" s="464"/>
      <c r="AC247" s="451"/>
      <c r="AD247" s="452"/>
      <c r="AE247" s="465"/>
      <c r="AF247" s="463">
        <v>0</v>
      </c>
      <c r="AG247" s="464"/>
      <c r="AH247" s="451"/>
      <c r="AI247" s="452"/>
      <c r="AJ247" s="465"/>
      <c r="AK247" s="463">
        <v>0</v>
      </c>
      <c r="AL247" s="464"/>
      <c r="AM247" s="451"/>
      <c r="AN247" s="452"/>
      <c r="AO247" s="465"/>
      <c r="AP247" s="463">
        <v>0</v>
      </c>
      <c r="AQ247" s="464"/>
      <c r="AR247" s="451"/>
      <c r="AS247" s="452"/>
      <c r="AT247" s="465"/>
      <c r="AU247" s="463">
        <v>0</v>
      </c>
      <c r="AV247" s="464"/>
      <c r="AW247" s="451"/>
      <c r="AX247" s="452"/>
      <c r="AY247" s="465"/>
      <c r="AZ247" s="463">
        <v>0</v>
      </c>
      <c r="BA247" s="464"/>
      <c r="BB247" s="451"/>
      <c r="BC247" s="452"/>
      <c r="BD247" s="465"/>
      <c r="BE247" s="463">
        <v>0</v>
      </c>
      <c r="BF247" s="464"/>
      <c r="BG247" s="451"/>
      <c r="BH247" s="452"/>
      <c r="BI247" s="465"/>
      <c r="BJ247" s="463">
        <v>0</v>
      </c>
      <c r="BK247" s="464"/>
      <c r="BL247" s="451"/>
      <c r="BM247" s="452"/>
      <c r="BN247" s="465"/>
      <c r="BO247" s="463">
        <v>0</v>
      </c>
      <c r="BP247" s="464"/>
      <c r="BQ247" s="451"/>
      <c r="BR247" s="452"/>
      <c r="BS247" s="465"/>
      <c r="BT247" s="463">
        <f>SUM(L247:BO247)</f>
        <v>0</v>
      </c>
      <c r="BU247" s="464"/>
      <c r="BV247" s="451"/>
      <c r="BW247" s="452"/>
      <c r="BX247" s="465"/>
      <c r="BY247" s="463">
        <v>0</v>
      </c>
      <c r="BZ247" s="464"/>
      <c r="CA247" s="451"/>
      <c r="CB247" s="452"/>
      <c r="CC247" s="465"/>
      <c r="CD247" s="463">
        <v>0</v>
      </c>
      <c r="CE247" s="464"/>
      <c r="CF247" s="451"/>
      <c r="CG247" s="452"/>
      <c r="CH247" s="465"/>
      <c r="CI247" s="463">
        <v>0</v>
      </c>
      <c r="CJ247" s="464"/>
      <c r="CK247" s="451"/>
      <c r="CL247" s="452"/>
      <c r="CM247" s="465"/>
      <c r="CN247" s="463">
        <v>0</v>
      </c>
      <c r="CO247" s="464"/>
      <c r="CP247" s="451"/>
      <c r="CQ247" s="452"/>
      <c r="CR247" s="465"/>
      <c r="CS247" s="463">
        <v>0</v>
      </c>
      <c r="CT247" s="464"/>
      <c r="CU247" s="451"/>
      <c r="CV247" s="452"/>
      <c r="CW247" s="465"/>
      <c r="CX247" s="463">
        <v>0</v>
      </c>
      <c r="CY247" s="464"/>
      <c r="CZ247" s="451"/>
      <c r="DA247" s="452"/>
      <c r="DB247" s="465"/>
      <c r="DC247" s="463">
        <v>0</v>
      </c>
      <c r="DD247" s="464"/>
      <c r="DE247" s="451"/>
      <c r="DF247" s="452"/>
      <c r="DG247" s="465"/>
      <c r="DH247" s="463">
        <v>0</v>
      </c>
      <c r="DI247" s="464"/>
      <c r="DJ247" s="451"/>
      <c r="DK247" s="452"/>
      <c r="DL247" s="465"/>
      <c r="DM247" s="463">
        <v>0</v>
      </c>
      <c r="DN247" s="464"/>
      <c r="DO247" s="451"/>
      <c r="DP247" s="452"/>
      <c r="DQ247" s="465"/>
      <c r="DR247" s="463">
        <v>0</v>
      </c>
      <c r="DS247" s="464"/>
      <c r="DT247" s="451"/>
      <c r="DU247" s="452"/>
      <c r="DV247" s="465"/>
      <c r="DW247" s="463">
        <v>0</v>
      </c>
      <c r="DX247" s="464"/>
      <c r="DY247" s="451"/>
      <c r="DZ247" s="452"/>
      <c r="EA247" s="465"/>
      <c r="EB247" s="463">
        <v>0</v>
      </c>
      <c r="EC247" s="464"/>
      <c r="ED247" s="451"/>
      <c r="EE247" s="452"/>
      <c r="EF247" s="465"/>
      <c r="EG247" s="463">
        <v>0</v>
      </c>
      <c r="EH247" s="464"/>
      <c r="EI247" s="451"/>
      <c r="EJ247" s="452"/>
      <c r="EK247" s="465"/>
      <c r="EL247" s="463">
        <f>SUM(CD247:DW247)</f>
        <v>0</v>
      </c>
      <c r="EM247" s="464"/>
      <c r="EN247" s="451"/>
      <c r="EO247" s="13"/>
      <c r="ER247" s="14"/>
      <c r="ES247" s="14"/>
    </row>
    <row r="248" spans="4:149" ht="12.75" hidden="1" customHeight="1" x14ac:dyDescent="0.2">
      <c r="D248" s="13" t="s">
        <v>351</v>
      </c>
      <c r="E248" s="479"/>
      <c r="F248" s="482"/>
      <c r="G248" s="463">
        <v>0</v>
      </c>
      <c r="H248" s="464"/>
      <c r="I248" s="451"/>
      <c r="J248" s="452"/>
      <c r="K248" s="482"/>
      <c r="L248" s="463">
        <v>0</v>
      </c>
      <c r="M248" s="464"/>
      <c r="N248" s="451"/>
      <c r="O248" s="452"/>
      <c r="P248" s="482"/>
      <c r="Q248" s="463">
        <v>0</v>
      </c>
      <c r="R248" s="464"/>
      <c r="S248" s="451"/>
      <c r="T248" s="452"/>
      <c r="U248" s="482"/>
      <c r="V248" s="463">
        <v>0</v>
      </c>
      <c r="W248" s="464"/>
      <c r="X248" s="451"/>
      <c r="Y248" s="452"/>
      <c r="Z248" s="482"/>
      <c r="AA248" s="463">
        <v>0</v>
      </c>
      <c r="AB248" s="464"/>
      <c r="AC248" s="451"/>
      <c r="AD248" s="452"/>
      <c r="AE248" s="482"/>
      <c r="AF248" s="463">
        <v>0</v>
      </c>
      <c r="AG248" s="464"/>
      <c r="AH248" s="451"/>
      <c r="AI248" s="452"/>
      <c r="AJ248" s="482"/>
      <c r="AK248" s="463">
        <v>0</v>
      </c>
      <c r="AL248" s="464"/>
      <c r="AM248" s="451"/>
      <c r="AN248" s="452"/>
      <c r="AO248" s="482"/>
      <c r="AP248" s="463">
        <v>0</v>
      </c>
      <c r="AQ248" s="464"/>
      <c r="AR248" s="451"/>
      <c r="AS248" s="452"/>
      <c r="AT248" s="482"/>
      <c r="AU248" s="463">
        <v>0</v>
      </c>
      <c r="AV248" s="464"/>
      <c r="AW248" s="451"/>
      <c r="AX248" s="452"/>
      <c r="AY248" s="482"/>
      <c r="AZ248" s="463">
        <v>0</v>
      </c>
      <c r="BA248" s="464"/>
      <c r="BB248" s="451"/>
      <c r="BC248" s="452"/>
      <c r="BD248" s="482"/>
      <c r="BE248" s="463">
        <v>0</v>
      </c>
      <c r="BF248" s="464"/>
      <c r="BG248" s="451"/>
      <c r="BH248" s="452"/>
      <c r="BI248" s="482"/>
      <c r="BJ248" s="463">
        <v>0</v>
      </c>
      <c r="BK248" s="464"/>
      <c r="BL248" s="451"/>
      <c r="BM248" s="452"/>
      <c r="BN248" s="482"/>
      <c r="BO248" s="463">
        <v>0</v>
      </c>
      <c r="BP248" s="464"/>
      <c r="BQ248" s="451"/>
      <c r="BR248" s="452"/>
      <c r="BS248" s="482"/>
      <c r="BT248" s="463">
        <f>SUM(L248:BO248)</f>
        <v>0</v>
      </c>
      <c r="BU248" s="464"/>
      <c r="BV248" s="451"/>
      <c r="BW248" s="452"/>
      <c r="BX248" s="482"/>
      <c r="BY248" s="463">
        <f>SUM(Q248:BT248)</f>
        <v>0</v>
      </c>
      <c r="BZ248" s="464"/>
      <c r="CA248" s="451"/>
      <c r="CB248" s="452"/>
      <c r="CC248" s="482"/>
      <c r="CD248" s="463">
        <v>0</v>
      </c>
      <c r="CE248" s="464"/>
      <c r="CF248" s="451"/>
      <c r="CG248" s="452"/>
      <c r="CH248" s="482"/>
      <c r="CI248" s="463">
        <v>0</v>
      </c>
      <c r="CJ248" s="464"/>
      <c r="CK248" s="451"/>
      <c r="CL248" s="452"/>
      <c r="CM248" s="482"/>
      <c r="CN248" s="463">
        <v>0</v>
      </c>
      <c r="CO248" s="464"/>
      <c r="CP248" s="451"/>
      <c r="CQ248" s="452"/>
      <c r="CR248" s="482"/>
      <c r="CS248" s="463">
        <v>0</v>
      </c>
      <c r="CT248" s="464"/>
      <c r="CU248" s="451"/>
      <c r="CV248" s="452"/>
      <c r="CW248" s="482"/>
      <c r="CX248" s="463">
        <v>0</v>
      </c>
      <c r="CY248" s="464"/>
      <c r="CZ248" s="451"/>
      <c r="DA248" s="452"/>
      <c r="DB248" s="482"/>
      <c r="DC248" s="463">
        <v>0</v>
      </c>
      <c r="DD248" s="464"/>
      <c r="DE248" s="451"/>
      <c r="DF248" s="452"/>
      <c r="DG248" s="482"/>
      <c r="DH248" s="463">
        <v>0</v>
      </c>
      <c r="DI248" s="464"/>
      <c r="DJ248" s="451"/>
      <c r="DK248" s="452"/>
      <c r="DL248" s="482"/>
      <c r="DM248" s="463">
        <v>0</v>
      </c>
      <c r="DN248" s="464"/>
      <c r="DO248" s="451"/>
      <c r="DP248" s="452"/>
      <c r="DQ248" s="482"/>
      <c r="DR248" s="463">
        <v>0</v>
      </c>
      <c r="DS248" s="464"/>
      <c r="DT248" s="451"/>
      <c r="DU248" s="452"/>
      <c r="DV248" s="482"/>
      <c r="DW248" s="463">
        <v>0</v>
      </c>
      <c r="DX248" s="464"/>
      <c r="DY248" s="451"/>
      <c r="DZ248" s="452"/>
      <c r="EA248" s="482"/>
      <c r="EB248" s="463">
        <v>0</v>
      </c>
      <c r="EC248" s="464"/>
      <c r="ED248" s="451"/>
      <c r="EE248" s="452"/>
      <c r="EF248" s="482"/>
      <c r="EG248" s="463">
        <v>0</v>
      </c>
      <c r="EH248" s="464"/>
      <c r="EI248" s="451"/>
      <c r="EJ248" s="452"/>
      <c r="EK248" s="482"/>
      <c r="EL248" s="463">
        <f>SUM(CD248:EG248)</f>
        <v>0</v>
      </c>
      <c r="EM248" s="464"/>
      <c r="EN248" s="451"/>
      <c r="EO248" s="13"/>
      <c r="ER248" s="14"/>
      <c r="ES248" s="14"/>
    </row>
    <row r="249" spans="4:149" ht="12.75" customHeight="1" x14ac:dyDescent="0.2">
      <c r="D249" s="13"/>
      <c r="E249" s="479"/>
      <c r="F249" s="188"/>
      <c r="G249" s="451"/>
      <c r="H249" s="451"/>
      <c r="I249" s="451"/>
      <c r="J249" s="452"/>
      <c r="K249" s="188"/>
      <c r="L249" s="451"/>
      <c r="M249" s="451"/>
      <c r="N249" s="451"/>
      <c r="O249" s="452"/>
      <c r="P249" s="188"/>
      <c r="Q249" s="451"/>
      <c r="R249" s="451"/>
      <c r="S249" s="451"/>
      <c r="T249" s="452"/>
      <c r="U249" s="188"/>
      <c r="V249" s="451"/>
      <c r="W249" s="451"/>
      <c r="X249" s="451"/>
      <c r="Y249" s="452"/>
      <c r="Z249" s="188"/>
      <c r="AA249" s="451"/>
      <c r="AB249" s="451"/>
      <c r="AC249" s="451"/>
      <c r="AD249" s="452"/>
      <c r="AE249" s="188"/>
      <c r="AF249" s="451"/>
      <c r="AG249" s="451"/>
      <c r="AH249" s="451"/>
      <c r="AI249" s="452"/>
      <c r="AJ249" s="188"/>
      <c r="AK249" s="451"/>
      <c r="AL249" s="451"/>
      <c r="AM249" s="451"/>
      <c r="AN249" s="452"/>
      <c r="AO249" s="188"/>
      <c r="AP249" s="451"/>
      <c r="AQ249" s="451"/>
      <c r="AR249" s="451"/>
      <c r="AS249" s="452"/>
      <c r="AT249" s="188"/>
      <c r="AU249" s="451"/>
      <c r="AV249" s="451"/>
      <c r="AW249" s="451"/>
      <c r="AX249" s="452"/>
      <c r="AY249" s="188"/>
      <c r="AZ249" s="451"/>
      <c r="BA249" s="451"/>
      <c r="BB249" s="451"/>
      <c r="BC249" s="452"/>
      <c r="BD249" s="188"/>
      <c r="BE249" s="451"/>
      <c r="BF249" s="451"/>
      <c r="BG249" s="451"/>
      <c r="BH249" s="452"/>
      <c r="BI249" s="188"/>
      <c r="BJ249" s="451"/>
      <c r="BK249" s="451"/>
      <c r="BL249" s="451"/>
      <c r="BM249" s="452"/>
      <c r="BN249" s="188"/>
      <c r="BO249" s="451"/>
      <c r="BP249" s="451"/>
      <c r="BQ249" s="451"/>
      <c r="BR249" s="452"/>
      <c r="BS249" s="188"/>
      <c r="BT249" s="451"/>
      <c r="BU249" s="451"/>
      <c r="BV249" s="451"/>
      <c r="BW249" s="452"/>
      <c r="BX249" s="188"/>
      <c r="BY249" s="451"/>
      <c r="BZ249" s="451"/>
      <c r="CA249" s="451"/>
      <c r="CB249" s="452"/>
      <c r="CC249" s="188"/>
      <c r="CD249" s="451"/>
      <c r="CE249" s="451"/>
      <c r="CF249" s="451"/>
      <c r="CG249" s="452"/>
      <c r="CH249" s="188"/>
      <c r="CI249" s="451"/>
      <c r="CJ249" s="451"/>
      <c r="CK249" s="451"/>
      <c r="CL249" s="452"/>
      <c r="CM249" s="188"/>
      <c r="CN249" s="451"/>
      <c r="CO249" s="451"/>
      <c r="CP249" s="451"/>
      <c r="CQ249" s="452"/>
      <c r="CR249" s="188"/>
      <c r="CS249" s="451"/>
      <c r="CT249" s="451"/>
      <c r="CU249" s="451"/>
      <c r="CV249" s="452"/>
      <c r="CW249" s="188"/>
      <c r="CX249" s="451"/>
      <c r="CY249" s="451"/>
      <c r="CZ249" s="451"/>
      <c r="DA249" s="452"/>
      <c r="DB249" s="188"/>
      <c r="DC249" s="451"/>
      <c r="DD249" s="451"/>
      <c r="DE249" s="451"/>
      <c r="DF249" s="452"/>
      <c r="DG249" s="188"/>
      <c r="DH249" s="451"/>
      <c r="DI249" s="451"/>
      <c r="DJ249" s="451"/>
      <c r="DK249" s="452"/>
      <c r="DL249" s="188"/>
      <c r="DM249" s="451"/>
      <c r="DN249" s="451"/>
      <c r="DO249" s="451"/>
      <c r="DP249" s="452"/>
      <c r="DQ249" s="188"/>
      <c r="DR249" s="451"/>
      <c r="DS249" s="451"/>
      <c r="DT249" s="451"/>
      <c r="DU249" s="452"/>
      <c r="DV249" s="188"/>
      <c r="DW249" s="451"/>
      <c r="DX249" s="451"/>
      <c r="DY249" s="451"/>
      <c r="DZ249" s="452"/>
      <c r="EA249" s="188"/>
      <c r="EB249" s="451"/>
      <c r="EC249" s="451"/>
      <c r="ED249" s="451"/>
      <c r="EE249" s="452"/>
      <c r="EF249" s="188"/>
      <c r="EG249" s="451"/>
      <c r="EH249" s="451"/>
      <c r="EI249" s="451"/>
      <c r="EJ249" s="452"/>
      <c r="EK249" s="188"/>
      <c r="EL249" s="451"/>
      <c r="EM249" s="451"/>
      <c r="EN249" s="451"/>
      <c r="EO249" s="13"/>
      <c r="ER249" s="14"/>
      <c r="ES249" s="14"/>
    </row>
    <row r="250" spans="4:149" ht="12.75" customHeight="1" x14ac:dyDescent="0.2">
      <c r="D250" s="13" t="s">
        <v>374</v>
      </c>
      <c r="E250" s="479"/>
      <c r="F250" s="188"/>
      <c r="G250" s="451">
        <v>0</v>
      </c>
      <c r="H250" s="451"/>
      <c r="I250" s="451"/>
      <c r="J250" s="452"/>
      <c r="K250" s="188"/>
      <c r="L250" s="451">
        <f>SUM(L251:L254)</f>
        <v>0</v>
      </c>
      <c r="M250" s="451"/>
      <c r="N250" s="451"/>
      <c r="O250" s="452"/>
      <c r="P250" s="188"/>
      <c r="Q250" s="451">
        <f>SUM(Q251:Q254)</f>
        <v>0</v>
      </c>
      <c r="R250" s="451"/>
      <c r="S250" s="451"/>
      <c r="T250" s="452"/>
      <c r="U250" s="188"/>
      <c r="V250" s="451">
        <f>SUM(V251:V254)</f>
        <v>0</v>
      </c>
      <c r="W250" s="451"/>
      <c r="X250" s="451"/>
      <c r="Y250" s="452"/>
      <c r="Z250" s="188"/>
      <c r="AA250" s="451">
        <f>SUM(AA251:AA254)</f>
        <v>0</v>
      </c>
      <c r="AB250" s="451"/>
      <c r="AC250" s="451"/>
      <c r="AD250" s="452"/>
      <c r="AE250" s="188"/>
      <c r="AF250" s="451">
        <f>SUM(AF251:AF254)</f>
        <v>0</v>
      </c>
      <c r="AG250" s="451"/>
      <c r="AH250" s="451"/>
      <c r="AI250" s="452"/>
      <c r="AJ250" s="188"/>
      <c r="AK250" s="451">
        <f>SUM(AK251:AK254)</f>
        <v>0</v>
      </c>
      <c r="AL250" s="451"/>
      <c r="AM250" s="451"/>
      <c r="AN250" s="452"/>
      <c r="AO250" s="188"/>
      <c r="AP250" s="451">
        <f>SUM(AP251:AP254)</f>
        <v>0</v>
      </c>
      <c r="AQ250" s="451"/>
      <c r="AR250" s="451"/>
      <c r="AS250" s="452"/>
      <c r="AT250" s="188"/>
      <c r="AU250" s="451">
        <f>SUM(AU251:AU254)</f>
        <v>0</v>
      </c>
      <c r="AV250" s="451"/>
      <c r="AW250" s="451"/>
      <c r="AX250" s="452"/>
      <c r="AY250" s="188"/>
      <c r="AZ250" s="451">
        <f>SUM(AZ251:AZ254)</f>
        <v>0</v>
      </c>
      <c r="BA250" s="451"/>
      <c r="BB250" s="451"/>
      <c r="BC250" s="452"/>
      <c r="BD250" s="188"/>
      <c r="BE250" s="451">
        <f>SUM(BE251:BE254)</f>
        <v>0</v>
      </c>
      <c r="BF250" s="451"/>
      <c r="BG250" s="451"/>
      <c r="BH250" s="452"/>
      <c r="BI250" s="188"/>
      <c r="BJ250" s="451">
        <f>SUM(BJ251:BJ254)</f>
        <v>0</v>
      </c>
      <c r="BK250" s="451"/>
      <c r="BL250" s="451"/>
      <c r="BM250" s="452"/>
      <c r="BN250" s="188"/>
      <c r="BO250" s="451">
        <f>SUM(BO251:BO254)</f>
        <v>0</v>
      </c>
      <c r="BP250" s="451"/>
      <c r="BQ250" s="451"/>
      <c r="BR250" s="452"/>
      <c r="BS250" s="188"/>
      <c r="BT250" s="451">
        <f>SUM(BT251:BT254)</f>
        <v>0</v>
      </c>
      <c r="BU250" s="451"/>
      <c r="BV250" s="451"/>
      <c r="BW250" s="452"/>
      <c r="BX250" s="188"/>
      <c r="BY250" s="451">
        <f>SUM(BY251:BY254)</f>
        <v>1147408</v>
      </c>
      <c r="BZ250" s="451"/>
      <c r="CA250" s="451"/>
      <c r="CB250" s="452"/>
      <c r="CC250" s="188"/>
      <c r="CD250" s="451">
        <f>SUM(CD251:CD254)</f>
        <v>0</v>
      </c>
      <c r="CE250" s="451"/>
      <c r="CF250" s="451"/>
      <c r="CG250" s="452"/>
      <c r="CH250" s="188"/>
      <c r="CI250" s="451">
        <f>SUM(CI251:CI254)</f>
        <v>1147408</v>
      </c>
      <c r="CJ250" s="451"/>
      <c r="CK250" s="451"/>
      <c r="CL250" s="452"/>
      <c r="CM250" s="188"/>
      <c r="CN250" s="451">
        <f>SUM(CN251:CN254)</f>
        <v>0</v>
      </c>
      <c r="CO250" s="451"/>
      <c r="CP250" s="451"/>
      <c r="CQ250" s="452"/>
      <c r="CR250" s="188"/>
      <c r="CS250" s="451">
        <f>SUM(CS251:CS254)</f>
        <v>0</v>
      </c>
      <c r="CT250" s="451"/>
      <c r="CU250" s="451"/>
      <c r="CV250" s="452"/>
      <c r="CW250" s="188"/>
      <c r="CX250" s="451">
        <f>SUM(CX251:CX254)</f>
        <v>0</v>
      </c>
      <c r="CY250" s="451"/>
      <c r="CZ250" s="451"/>
      <c r="DA250" s="452"/>
      <c r="DB250" s="188"/>
      <c r="DC250" s="451">
        <f>SUM(DC251:DC254)</f>
        <v>0</v>
      </c>
      <c r="DD250" s="451"/>
      <c r="DE250" s="451"/>
      <c r="DF250" s="452"/>
      <c r="DG250" s="188"/>
      <c r="DH250" s="451">
        <f>SUM(DH251:DH254)</f>
        <v>0</v>
      </c>
      <c r="DI250" s="451"/>
      <c r="DJ250" s="451"/>
      <c r="DK250" s="452"/>
      <c r="DL250" s="188"/>
      <c r="DM250" s="451">
        <f>SUM(DM251:DM254)</f>
        <v>0</v>
      </c>
      <c r="DN250" s="451"/>
      <c r="DO250" s="451"/>
      <c r="DP250" s="452"/>
      <c r="DQ250" s="188"/>
      <c r="DR250" s="451">
        <f>SUM(DR251:DR254)</f>
        <v>0</v>
      </c>
      <c r="DS250" s="451"/>
      <c r="DT250" s="451"/>
      <c r="DU250" s="452"/>
      <c r="DV250" s="188"/>
      <c r="DW250" s="451">
        <f>SUM(DW251:DW254)</f>
        <v>0</v>
      </c>
      <c r="DX250" s="451"/>
      <c r="DY250" s="451"/>
      <c r="DZ250" s="452"/>
      <c r="EA250" s="188"/>
      <c r="EB250" s="451">
        <f>SUM(EB251:EB254)</f>
        <v>0</v>
      </c>
      <c r="EC250" s="451"/>
      <c r="ED250" s="451"/>
      <c r="EE250" s="452"/>
      <c r="EF250" s="188"/>
      <c r="EG250" s="451">
        <f>SUM(EG251:EG254)</f>
        <v>0</v>
      </c>
      <c r="EH250" s="451"/>
      <c r="EI250" s="451"/>
      <c r="EJ250" s="452"/>
      <c r="EK250" s="188"/>
      <c r="EL250" s="451">
        <f>SUM(EL251:EL254)</f>
        <v>1147408</v>
      </c>
      <c r="EM250" s="451"/>
      <c r="EN250" s="451"/>
      <c r="EO250" s="13"/>
      <c r="ER250" s="14"/>
      <c r="ES250" s="14"/>
    </row>
    <row r="251" spans="4:149" ht="12.75" customHeight="1" x14ac:dyDescent="0.2">
      <c r="D251" s="13" t="s">
        <v>347</v>
      </c>
      <c r="F251" s="374"/>
      <c r="G251" s="449">
        <v>0</v>
      </c>
      <c r="H251" s="450"/>
      <c r="I251" s="451"/>
      <c r="J251" s="452"/>
      <c r="K251" s="453"/>
      <c r="L251" s="449">
        <v>0</v>
      </c>
      <c r="M251" s="450"/>
      <c r="N251" s="451"/>
      <c r="O251" s="452"/>
      <c r="P251" s="453"/>
      <c r="Q251" s="449">
        <v>0</v>
      </c>
      <c r="R251" s="450"/>
      <c r="S251" s="451"/>
      <c r="T251" s="452"/>
      <c r="U251" s="453"/>
      <c r="V251" s="449">
        <v>0</v>
      </c>
      <c r="W251" s="450"/>
      <c r="X251" s="451"/>
      <c r="Y251" s="452"/>
      <c r="Z251" s="453"/>
      <c r="AA251" s="449">
        <v>0</v>
      </c>
      <c r="AB251" s="450"/>
      <c r="AC251" s="451"/>
      <c r="AD251" s="452"/>
      <c r="AE251" s="453"/>
      <c r="AF251" s="449">
        <v>0</v>
      </c>
      <c r="AG251" s="450"/>
      <c r="AH251" s="451"/>
      <c r="AI251" s="452"/>
      <c r="AJ251" s="453"/>
      <c r="AK251" s="449">
        <v>0</v>
      </c>
      <c r="AL251" s="450"/>
      <c r="AM251" s="451"/>
      <c r="AN251" s="452"/>
      <c r="AO251" s="453"/>
      <c r="AP251" s="449">
        <v>0</v>
      </c>
      <c r="AQ251" s="450"/>
      <c r="AR251" s="451"/>
      <c r="AS251" s="452"/>
      <c r="AT251" s="453"/>
      <c r="AU251" s="449">
        <v>0</v>
      </c>
      <c r="AV251" s="450"/>
      <c r="AW251" s="451"/>
      <c r="AX251" s="452"/>
      <c r="AY251" s="453"/>
      <c r="AZ251" s="449">
        <v>0</v>
      </c>
      <c r="BA251" s="450"/>
      <c r="BB251" s="451"/>
      <c r="BC251" s="452"/>
      <c r="BD251" s="453"/>
      <c r="BE251" s="449">
        <v>0</v>
      </c>
      <c r="BF251" s="450"/>
      <c r="BG251" s="451"/>
      <c r="BH251" s="452"/>
      <c r="BI251" s="453"/>
      <c r="BJ251" s="449">
        <v>0</v>
      </c>
      <c r="BK251" s="450"/>
      <c r="BL251" s="451"/>
      <c r="BM251" s="452"/>
      <c r="BN251" s="453"/>
      <c r="BO251" s="449">
        <v>0</v>
      </c>
      <c r="BP251" s="450"/>
      <c r="BQ251" s="451"/>
      <c r="BR251" s="452"/>
      <c r="BS251" s="453"/>
      <c r="BT251" s="449">
        <f>SUM(L251:BO251)</f>
        <v>0</v>
      </c>
      <c r="BU251" s="450"/>
      <c r="BV251" s="451"/>
      <c r="BW251" s="452"/>
      <c r="BX251" s="453"/>
      <c r="BY251" s="449">
        <v>809374</v>
      </c>
      <c r="BZ251" s="450"/>
      <c r="CA251" s="451"/>
      <c r="CB251" s="452"/>
      <c r="CC251" s="453"/>
      <c r="CD251" s="449">
        <v>0</v>
      </c>
      <c r="CE251" s="450"/>
      <c r="CF251" s="451"/>
      <c r="CG251" s="452"/>
      <c r="CH251" s="453"/>
      <c r="CI251" s="449">
        <f>1147408-338034</f>
        <v>809374</v>
      </c>
      <c r="CJ251" s="450"/>
      <c r="CK251" s="451"/>
      <c r="CL251" s="452"/>
      <c r="CM251" s="453"/>
      <c r="CN251" s="449">
        <v>0</v>
      </c>
      <c r="CO251" s="450"/>
      <c r="CP251" s="451"/>
      <c r="CQ251" s="452"/>
      <c r="CR251" s="453"/>
      <c r="CS251" s="449">
        <v>0</v>
      </c>
      <c r="CT251" s="450"/>
      <c r="CU251" s="451"/>
      <c r="CV251" s="452"/>
      <c r="CW251" s="453"/>
      <c r="CX251" s="449">
        <v>0</v>
      </c>
      <c r="CY251" s="450"/>
      <c r="CZ251" s="451"/>
      <c r="DA251" s="452"/>
      <c r="DB251" s="453"/>
      <c r="DC251" s="449">
        <v>0</v>
      </c>
      <c r="DD251" s="450"/>
      <c r="DE251" s="451"/>
      <c r="DF251" s="452"/>
      <c r="DG251" s="453"/>
      <c r="DH251" s="449">
        <v>0</v>
      </c>
      <c r="DI251" s="450"/>
      <c r="DJ251" s="451"/>
      <c r="DK251" s="452"/>
      <c r="DL251" s="453"/>
      <c r="DM251" s="449">
        <v>0</v>
      </c>
      <c r="DN251" s="450"/>
      <c r="DO251" s="451"/>
      <c r="DP251" s="452"/>
      <c r="DQ251" s="453"/>
      <c r="DR251" s="449">
        <v>0</v>
      </c>
      <c r="DS251" s="450"/>
      <c r="DT251" s="451"/>
      <c r="DU251" s="452"/>
      <c r="DV251" s="453"/>
      <c r="DW251" s="449">
        <v>0</v>
      </c>
      <c r="DX251" s="450"/>
      <c r="DY251" s="451"/>
      <c r="DZ251" s="452"/>
      <c r="EA251" s="453"/>
      <c r="EB251" s="449">
        <v>0</v>
      </c>
      <c r="EC251" s="450"/>
      <c r="ED251" s="451"/>
      <c r="EE251" s="452"/>
      <c r="EF251" s="453"/>
      <c r="EG251" s="449">
        <v>0</v>
      </c>
      <c r="EH251" s="450"/>
      <c r="EI251" s="451"/>
      <c r="EJ251" s="452"/>
      <c r="EK251" s="453"/>
      <c r="EL251" s="449">
        <f>SUM(CD251:DW251)</f>
        <v>809374</v>
      </c>
      <c r="EM251" s="450"/>
      <c r="EN251" s="451"/>
      <c r="EO251" s="13"/>
      <c r="ER251" s="14"/>
      <c r="ES251" s="14"/>
    </row>
    <row r="252" spans="4:149" ht="12.75" customHeight="1" x14ac:dyDescent="0.2">
      <c r="D252" s="13" t="s">
        <v>349</v>
      </c>
      <c r="E252" s="479"/>
      <c r="F252" s="198"/>
      <c r="G252" s="451">
        <v>0</v>
      </c>
      <c r="H252" s="455"/>
      <c r="I252" s="451"/>
      <c r="J252" s="452"/>
      <c r="K252" s="452"/>
      <c r="L252" s="451">
        <v>0</v>
      </c>
      <c r="M252" s="455"/>
      <c r="N252" s="451"/>
      <c r="O252" s="452"/>
      <c r="P252" s="452"/>
      <c r="Q252" s="451">
        <v>0</v>
      </c>
      <c r="R252" s="455"/>
      <c r="S252" s="451"/>
      <c r="T252" s="452"/>
      <c r="U252" s="452"/>
      <c r="V252" s="451">
        <v>0</v>
      </c>
      <c r="W252" s="455"/>
      <c r="X252" s="451"/>
      <c r="Y252" s="452"/>
      <c r="Z252" s="452"/>
      <c r="AA252" s="451">
        <v>0</v>
      </c>
      <c r="AB252" s="455"/>
      <c r="AC252" s="451"/>
      <c r="AD252" s="452"/>
      <c r="AE252" s="452"/>
      <c r="AF252" s="451">
        <v>0</v>
      </c>
      <c r="AG252" s="455"/>
      <c r="AH252" s="451"/>
      <c r="AI252" s="452"/>
      <c r="AJ252" s="452"/>
      <c r="AK252" s="451">
        <v>0</v>
      </c>
      <c r="AL252" s="455"/>
      <c r="AM252" s="451"/>
      <c r="AN252" s="452"/>
      <c r="AO252" s="452"/>
      <c r="AP252" s="451">
        <v>0</v>
      </c>
      <c r="AQ252" s="455"/>
      <c r="AR252" s="451"/>
      <c r="AS252" s="452"/>
      <c r="AT252" s="452"/>
      <c r="AU252" s="451">
        <v>0</v>
      </c>
      <c r="AV252" s="455"/>
      <c r="AW252" s="451"/>
      <c r="AX252" s="452"/>
      <c r="AY252" s="452"/>
      <c r="AZ252" s="451">
        <v>0</v>
      </c>
      <c r="BA252" s="455"/>
      <c r="BB252" s="451"/>
      <c r="BC252" s="452"/>
      <c r="BD252" s="452"/>
      <c r="BE252" s="451">
        <v>0</v>
      </c>
      <c r="BF252" s="455"/>
      <c r="BG252" s="451"/>
      <c r="BH252" s="452"/>
      <c r="BI252" s="452"/>
      <c r="BJ252" s="451">
        <v>0</v>
      </c>
      <c r="BK252" s="455"/>
      <c r="BL252" s="451"/>
      <c r="BM252" s="452"/>
      <c r="BN252" s="452"/>
      <c r="BO252" s="451">
        <v>0</v>
      </c>
      <c r="BP252" s="455"/>
      <c r="BQ252" s="451"/>
      <c r="BR252" s="452"/>
      <c r="BS252" s="452"/>
      <c r="BT252" s="451">
        <f>SUM(L252:BO252)</f>
        <v>0</v>
      </c>
      <c r="BU252" s="455"/>
      <c r="BV252" s="451"/>
      <c r="BW252" s="452"/>
      <c r="BX252" s="452"/>
      <c r="BY252" s="451">
        <v>338034</v>
      </c>
      <c r="BZ252" s="455"/>
      <c r="CA252" s="451"/>
      <c r="CB252" s="452"/>
      <c r="CC252" s="452"/>
      <c r="CD252" s="451">
        <v>0</v>
      </c>
      <c r="CE252" s="455"/>
      <c r="CF252" s="451"/>
      <c r="CG252" s="452"/>
      <c r="CH252" s="452"/>
      <c r="CI252" s="451">
        <v>338034</v>
      </c>
      <c r="CJ252" s="455"/>
      <c r="CK252" s="451"/>
      <c r="CL252" s="452"/>
      <c r="CM252" s="452"/>
      <c r="CN252" s="451">
        <v>0</v>
      </c>
      <c r="CO252" s="455"/>
      <c r="CP252" s="451"/>
      <c r="CQ252" s="452"/>
      <c r="CR252" s="452"/>
      <c r="CS252" s="451">
        <v>0</v>
      </c>
      <c r="CT252" s="455"/>
      <c r="CU252" s="451"/>
      <c r="CV252" s="452"/>
      <c r="CW252" s="452"/>
      <c r="CX252" s="451">
        <v>0</v>
      </c>
      <c r="CY252" s="455"/>
      <c r="CZ252" s="451"/>
      <c r="DA252" s="452"/>
      <c r="DB252" s="452"/>
      <c r="DC252" s="451">
        <v>0</v>
      </c>
      <c r="DD252" s="455"/>
      <c r="DE252" s="451"/>
      <c r="DF252" s="452"/>
      <c r="DG252" s="452"/>
      <c r="DH252" s="451">
        <v>0</v>
      </c>
      <c r="DI252" s="455"/>
      <c r="DJ252" s="451"/>
      <c r="DK252" s="452"/>
      <c r="DL252" s="452"/>
      <c r="DM252" s="451">
        <v>0</v>
      </c>
      <c r="DN252" s="455"/>
      <c r="DO252" s="451"/>
      <c r="DP252" s="452"/>
      <c r="DQ252" s="452"/>
      <c r="DR252" s="451">
        <v>0</v>
      </c>
      <c r="DS252" s="455"/>
      <c r="DT252" s="451"/>
      <c r="DU252" s="452"/>
      <c r="DV252" s="452"/>
      <c r="DW252" s="451">
        <v>0</v>
      </c>
      <c r="DX252" s="455"/>
      <c r="DY252" s="451"/>
      <c r="DZ252" s="452"/>
      <c r="EA252" s="452"/>
      <c r="EB252" s="451">
        <v>0</v>
      </c>
      <c r="EC252" s="455"/>
      <c r="ED252" s="451"/>
      <c r="EE252" s="452"/>
      <c r="EF252" s="452"/>
      <c r="EG252" s="451">
        <v>0</v>
      </c>
      <c r="EH252" s="455"/>
      <c r="EI252" s="451"/>
      <c r="EJ252" s="452"/>
      <c r="EK252" s="452"/>
      <c r="EL252" s="451">
        <f>SUM(CD252:DW252)</f>
        <v>338034</v>
      </c>
      <c r="EM252" s="455"/>
      <c r="EN252" s="451"/>
      <c r="EO252" s="13"/>
      <c r="ER252" s="14"/>
      <c r="ES252" s="14"/>
    </row>
    <row r="253" spans="4:149" ht="12.75" customHeight="1" x14ac:dyDescent="0.2">
      <c r="D253" s="13" t="s">
        <v>357</v>
      </c>
      <c r="E253" s="479"/>
      <c r="F253" s="385"/>
      <c r="G253" s="463">
        <v>0</v>
      </c>
      <c r="H253" s="464"/>
      <c r="I253" s="451"/>
      <c r="J253" s="452"/>
      <c r="K253" s="465"/>
      <c r="L253" s="463">
        <v>0</v>
      </c>
      <c r="M253" s="464"/>
      <c r="N253" s="451"/>
      <c r="O253" s="452"/>
      <c r="P253" s="465"/>
      <c r="Q253" s="463">
        <v>0</v>
      </c>
      <c r="R253" s="464"/>
      <c r="S253" s="451"/>
      <c r="T253" s="452"/>
      <c r="U253" s="465"/>
      <c r="V253" s="463">
        <v>0</v>
      </c>
      <c r="W253" s="464"/>
      <c r="X253" s="451"/>
      <c r="Y253" s="452"/>
      <c r="Z253" s="465"/>
      <c r="AA253" s="463">
        <v>0</v>
      </c>
      <c r="AB253" s="464"/>
      <c r="AC253" s="451"/>
      <c r="AD253" s="452"/>
      <c r="AE253" s="465"/>
      <c r="AF253" s="463">
        <v>0</v>
      </c>
      <c r="AG253" s="464"/>
      <c r="AH253" s="451"/>
      <c r="AI253" s="452"/>
      <c r="AJ253" s="465"/>
      <c r="AK253" s="463">
        <v>0</v>
      </c>
      <c r="AL253" s="464"/>
      <c r="AM253" s="451"/>
      <c r="AN253" s="452"/>
      <c r="AO253" s="465"/>
      <c r="AP253" s="463">
        <v>0</v>
      </c>
      <c r="AQ253" s="464"/>
      <c r="AR253" s="451"/>
      <c r="AS253" s="452"/>
      <c r="AT253" s="465"/>
      <c r="AU253" s="463">
        <v>0</v>
      </c>
      <c r="AV253" s="464"/>
      <c r="AW253" s="451"/>
      <c r="AX253" s="452"/>
      <c r="AY253" s="465"/>
      <c r="AZ253" s="463">
        <v>0</v>
      </c>
      <c r="BA253" s="464"/>
      <c r="BB253" s="451"/>
      <c r="BC253" s="452"/>
      <c r="BD253" s="465"/>
      <c r="BE253" s="463">
        <v>0</v>
      </c>
      <c r="BF253" s="464"/>
      <c r="BG253" s="451"/>
      <c r="BH253" s="452"/>
      <c r="BI253" s="465"/>
      <c r="BJ253" s="463">
        <v>0</v>
      </c>
      <c r="BK253" s="464"/>
      <c r="BL253" s="451"/>
      <c r="BM253" s="452"/>
      <c r="BN253" s="465"/>
      <c r="BO253" s="463">
        <v>0</v>
      </c>
      <c r="BP253" s="464"/>
      <c r="BQ253" s="451"/>
      <c r="BR253" s="452"/>
      <c r="BS253" s="465"/>
      <c r="BT253" s="463">
        <f>SUM(L253:BO253)</f>
        <v>0</v>
      </c>
      <c r="BU253" s="464"/>
      <c r="BV253" s="451"/>
      <c r="BW253" s="452"/>
      <c r="BX253" s="465"/>
      <c r="BY253" s="463">
        <v>0</v>
      </c>
      <c r="BZ253" s="464"/>
      <c r="CA253" s="451"/>
      <c r="CB253" s="452"/>
      <c r="CC253" s="465"/>
      <c r="CD253" s="463">
        <v>0</v>
      </c>
      <c r="CE253" s="464"/>
      <c r="CF253" s="451"/>
      <c r="CG253" s="452"/>
      <c r="CH253" s="465"/>
      <c r="CI253" s="463">
        <v>0</v>
      </c>
      <c r="CJ253" s="464"/>
      <c r="CK253" s="451"/>
      <c r="CL253" s="452"/>
      <c r="CM253" s="465"/>
      <c r="CN253" s="463">
        <v>0</v>
      </c>
      <c r="CO253" s="464"/>
      <c r="CP253" s="451"/>
      <c r="CQ253" s="452"/>
      <c r="CR253" s="465"/>
      <c r="CS253" s="463">
        <v>0</v>
      </c>
      <c r="CT253" s="464"/>
      <c r="CU253" s="451"/>
      <c r="CV253" s="452"/>
      <c r="CW253" s="465"/>
      <c r="CX253" s="463">
        <v>0</v>
      </c>
      <c r="CY253" s="464"/>
      <c r="CZ253" s="451"/>
      <c r="DA253" s="452"/>
      <c r="DB253" s="465"/>
      <c r="DC253" s="463">
        <v>0</v>
      </c>
      <c r="DD253" s="464"/>
      <c r="DE253" s="451"/>
      <c r="DF253" s="452"/>
      <c r="DG253" s="465"/>
      <c r="DH253" s="463">
        <v>0</v>
      </c>
      <c r="DI253" s="464"/>
      <c r="DJ253" s="451"/>
      <c r="DK253" s="452"/>
      <c r="DL253" s="465"/>
      <c r="DM253" s="463">
        <v>0</v>
      </c>
      <c r="DN253" s="464"/>
      <c r="DO253" s="451"/>
      <c r="DP253" s="452"/>
      <c r="DQ253" s="465"/>
      <c r="DR253" s="463">
        <v>0</v>
      </c>
      <c r="DS253" s="464"/>
      <c r="DT253" s="451"/>
      <c r="DU253" s="452"/>
      <c r="DV253" s="465"/>
      <c r="DW253" s="463">
        <v>0</v>
      </c>
      <c r="DX253" s="464"/>
      <c r="DY253" s="451"/>
      <c r="DZ253" s="452"/>
      <c r="EA253" s="465"/>
      <c r="EB253" s="463">
        <v>0</v>
      </c>
      <c r="EC253" s="464"/>
      <c r="ED253" s="451"/>
      <c r="EE253" s="452"/>
      <c r="EF253" s="465"/>
      <c r="EG253" s="463">
        <v>0</v>
      </c>
      <c r="EH253" s="464"/>
      <c r="EI253" s="451"/>
      <c r="EJ253" s="452"/>
      <c r="EK253" s="465"/>
      <c r="EL253" s="463">
        <f>SUM(CD253:DW253)</f>
        <v>0</v>
      </c>
      <c r="EM253" s="464"/>
      <c r="EN253" s="451"/>
      <c r="EO253" s="13"/>
      <c r="ER253" s="14"/>
      <c r="ES253" s="14"/>
    </row>
    <row r="254" spans="4:149" ht="12.75" hidden="1" customHeight="1" x14ac:dyDescent="0.2">
      <c r="D254" s="13" t="s">
        <v>351</v>
      </c>
      <c r="E254" s="479"/>
      <c r="F254" s="482"/>
      <c r="G254" s="463">
        <v>0</v>
      </c>
      <c r="H254" s="464"/>
      <c r="I254" s="451"/>
      <c r="J254" s="452"/>
      <c r="K254" s="482"/>
      <c r="L254" s="463">
        <v>0</v>
      </c>
      <c r="M254" s="464"/>
      <c r="N254" s="451"/>
      <c r="O254" s="452"/>
      <c r="P254" s="482"/>
      <c r="Q254" s="463">
        <v>0</v>
      </c>
      <c r="R254" s="464"/>
      <c r="S254" s="451"/>
      <c r="T254" s="452"/>
      <c r="U254" s="482"/>
      <c r="V254" s="463">
        <v>0</v>
      </c>
      <c r="W254" s="464"/>
      <c r="X254" s="451"/>
      <c r="Y254" s="452"/>
      <c r="Z254" s="482"/>
      <c r="AA254" s="463">
        <v>0</v>
      </c>
      <c r="AB254" s="464"/>
      <c r="AC254" s="451"/>
      <c r="AD254" s="452"/>
      <c r="AE254" s="482"/>
      <c r="AF254" s="463">
        <v>0</v>
      </c>
      <c r="AG254" s="464"/>
      <c r="AH254" s="451"/>
      <c r="AI254" s="452"/>
      <c r="AJ254" s="482"/>
      <c r="AK254" s="463">
        <v>0</v>
      </c>
      <c r="AL254" s="464"/>
      <c r="AM254" s="451"/>
      <c r="AN254" s="452"/>
      <c r="AO254" s="482"/>
      <c r="AP254" s="463">
        <v>0</v>
      </c>
      <c r="AQ254" s="464"/>
      <c r="AR254" s="451"/>
      <c r="AS254" s="452"/>
      <c r="AT254" s="482"/>
      <c r="AU254" s="463">
        <v>0</v>
      </c>
      <c r="AV254" s="464"/>
      <c r="AW254" s="451"/>
      <c r="AX254" s="452"/>
      <c r="AY254" s="482"/>
      <c r="AZ254" s="463">
        <v>0</v>
      </c>
      <c r="BA254" s="464"/>
      <c r="BB254" s="451"/>
      <c r="BC254" s="452"/>
      <c r="BD254" s="482"/>
      <c r="BE254" s="463">
        <v>0</v>
      </c>
      <c r="BF254" s="464"/>
      <c r="BG254" s="451"/>
      <c r="BH254" s="452"/>
      <c r="BI254" s="482"/>
      <c r="BJ254" s="463">
        <v>0</v>
      </c>
      <c r="BK254" s="464"/>
      <c r="BL254" s="451"/>
      <c r="BM254" s="452"/>
      <c r="BN254" s="482"/>
      <c r="BO254" s="463">
        <v>0</v>
      </c>
      <c r="BP254" s="464"/>
      <c r="BQ254" s="451"/>
      <c r="BR254" s="452"/>
      <c r="BS254" s="482"/>
      <c r="BT254" s="463">
        <f>SUM(L254:BO254)</f>
        <v>0</v>
      </c>
      <c r="BU254" s="464"/>
      <c r="BV254" s="451"/>
      <c r="BW254" s="452"/>
      <c r="BX254" s="482"/>
      <c r="BY254" s="463">
        <f>SUM(Q254:BT254)</f>
        <v>0</v>
      </c>
      <c r="BZ254" s="464"/>
      <c r="CA254" s="451"/>
      <c r="CB254" s="452"/>
      <c r="CC254" s="482"/>
      <c r="CD254" s="463">
        <v>0</v>
      </c>
      <c r="CE254" s="464"/>
      <c r="CF254" s="451"/>
      <c r="CG254" s="452"/>
      <c r="CH254" s="482"/>
      <c r="CI254" s="463">
        <v>0</v>
      </c>
      <c r="CJ254" s="464"/>
      <c r="CK254" s="451"/>
      <c r="CL254" s="452"/>
      <c r="CM254" s="482"/>
      <c r="CN254" s="463">
        <v>0</v>
      </c>
      <c r="CO254" s="464"/>
      <c r="CP254" s="451"/>
      <c r="CQ254" s="452"/>
      <c r="CR254" s="482"/>
      <c r="CS254" s="463">
        <v>0</v>
      </c>
      <c r="CT254" s="464"/>
      <c r="CU254" s="451"/>
      <c r="CV254" s="452"/>
      <c r="CW254" s="482"/>
      <c r="CX254" s="463">
        <v>0</v>
      </c>
      <c r="CY254" s="464"/>
      <c r="CZ254" s="451"/>
      <c r="DA254" s="452"/>
      <c r="DB254" s="482"/>
      <c r="DC254" s="463">
        <v>0</v>
      </c>
      <c r="DD254" s="464"/>
      <c r="DE254" s="451"/>
      <c r="DF254" s="452"/>
      <c r="DG254" s="482"/>
      <c r="DH254" s="463">
        <v>0</v>
      </c>
      <c r="DI254" s="464"/>
      <c r="DJ254" s="451"/>
      <c r="DK254" s="452"/>
      <c r="DL254" s="482"/>
      <c r="DM254" s="463">
        <v>0</v>
      </c>
      <c r="DN254" s="464"/>
      <c r="DO254" s="451"/>
      <c r="DP254" s="452"/>
      <c r="DQ254" s="482"/>
      <c r="DR254" s="463">
        <v>0</v>
      </c>
      <c r="DS254" s="464"/>
      <c r="DT254" s="451"/>
      <c r="DU254" s="452"/>
      <c r="DV254" s="482"/>
      <c r="DW254" s="463">
        <v>0</v>
      </c>
      <c r="DX254" s="464"/>
      <c r="DY254" s="451"/>
      <c r="DZ254" s="452"/>
      <c r="EA254" s="482"/>
      <c r="EB254" s="463">
        <v>0</v>
      </c>
      <c r="EC254" s="464"/>
      <c r="ED254" s="451"/>
      <c r="EE254" s="452"/>
      <c r="EF254" s="482"/>
      <c r="EG254" s="463">
        <v>0</v>
      </c>
      <c r="EH254" s="464"/>
      <c r="EI254" s="451"/>
      <c r="EJ254" s="452"/>
      <c r="EK254" s="482"/>
      <c r="EL254" s="463">
        <f>SUM(CD254:EG254)</f>
        <v>0</v>
      </c>
      <c r="EM254" s="464"/>
      <c r="EN254" s="451"/>
      <c r="EO254" s="13"/>
      <c r="ER254" s="14"/>
      <c r="ES254" s="14"/>
    </row>
    <row r="255" spans="4:149" ht="12.75" customHeight="1" x14ac:dyDescent="0.2">
      <c r="D255" s="13"/>
      <c r="E255" s="479"/>
      <c r="F255" s="188"/>
      <c r="G255" s="451"/>
      <c r="H255" s="451"/>
      <c r="I255" s="451"/>
      <c r="J255" s="452"/>
      <c r="K255" s="188"/>
      <c r="L255" s="451"/>
      <c r="M255" s="451"/>
      <c r="N255" s="451"/>
      <c r="O255" s="452"/>
      <c r="P255" s="188"/>
      <c r="Q255" s="451"/>
      <c r="R255" s="451"/>
      <c r="S255" s="451"/>
      <c r="T255" s="452"/>
      <c r="U255" s="188"/>
      <c r="V255" s="451"/>
      <c r="W255" s="451"/>
      <c r="X255" s="451"/>
      <c r="Y255" s="452"/>
      <c r="Z255" s="188"/>
      <c r="AA255" s="451"/>
      <c r="AB255" s="451"/>
      <c r="AC255" s="451"/>
      <c r="AD255" s="452"/>
      <c r="AE255" s="188"/>
      <c r="AF255" s="451"/>
      <c r="AG255" s="451"/>
      <c r="AH255" s="451"/>
      <c r="AI255" s="452"/>
      <c r="AJ255" s="188"/>
      <c r="AK255" s="451"/>
      <c r="AL255" s="451"/>
      <c r="AM255" s="451"/>
      <c r="AN255" s="452"/>
      <c r="AO255" s="188"/>
      <c r="AP255" s="451"/>
      <c r="AQ255" s="451"/>
      <c r="AR255" s="451"/>
      <c r="AS255" s="452"/>
      <c r="AT255" s="188"/>
      <c r="AU255" s="451"/>
      <c r="AV255" s="451"/>
      <c r="AW255" s="451"/>
      <c r="AX255" s="452"/>
      <c r="AY255" s="188"/>
      <c r="AZ255" s="451"/>
      <c r="BA255" s="451"/>
      <c r="BB255" s="451"/>
      <c r="BC255" s="452"/>
      <c r="BD255" s="188"/>
      <c r="BE255" s="451"/>
      <c r="BF255" s="451"/>
      <c r="BG255" s="451"/>
      <c r="BH255" s="452"/>
      <c r="BI255" s="188"/>
      <c r="BJ255" s="451"/>
      <c r="BK255" s="451"/>
      <c r="BL255" s="451"/>
      <c r="BM255" s="452"/>
      <c r="BN255" s="188"/>
      <c r="BO255" s="451"/>
      <c r="BP255" s="451"/>
      <c r="BQ255" s="451"/>
      <c r="BR255" s="452"/>
      <c r="BS255" s="188"/>
      <c r="BT255" s="451"/>
      <c r="BU255" s="451"/>
      <c r="BV255" s="451"/>
      <c r="BW255" s="452"/>
      <c r="BX255" s="188"/>
      <c r="BY255" s="451"/>
      <c r="BZ255" s="451"/>
      <c r="CA255" s="451"/>
      <c r="CB255" s="452"/>
      <c r="CC255" s="188"/>
      <c r="CD255" s="451"/>
      <c r="CE255" s="451"/>
      <c r="CF255" s="451"/>
      <c r="CG255" s="452"/>
      <c r="CH255" s="188"/>
      <c r="CI255" s="451"/>
      <c r="CJ255" s="451"/>
      <c r="CK255" s="451"/>
      <c r="CL255" s="452"/>
      <c r="CM255" s="188"/>
      <c r="CN255" s="451"/>
      <c r="CO255" s="451"/>
      <c r="CP255" s="451"/>
      <c r="CQ255" s="452"/>
      <c r="CR255" s="188"/>
      <c r="CS255" s="451"/>
      <c r="CT255" s="451"/>
      <c r="CU255" s="451"/>
      <c r="CV255" s="452"/>
      <c r="CW255" s="188"/>
      <c r="CX255" s="451"/>
      <c r="CY255" s="451"/>
      <c r="CZ255" s="451"/>
      <c r="DA255" s="452"/>
      <c r="DB255" s="188"/>
      <c r="DC255" s="451"/>
      <c r="DD255" s="451"/>
      <c r="DE255" s="451"/>
      <c r="DF255" s="452"/>
      <c r="DG255" s="188"/>
      <c r="DH255" s="451"/>
      <c r="DI255" s="451"/>
      <c r="DJ255" s="451"/>
      <c r="DK255" s="452"/>
      <c r="DL255" s="188"/>
      <c r="DM255" s="451"/>
      <c r="DN255" s="451"/>
      <c r="DO255" s="451"/>
      <c r="DP255" s="452"/>
      <c r="DQ255" s="188"/>
      <c r="DR255" s="451"/>
      <c r="DS255" s="451"/>
      <c r="DT255" s="451"/>
      <c r="DU255" s="452"/>
      <c r="DV255" s="188"/>
      <c r="DW255" s="451"/>
      <c r="DX255" s="451"/>
      <c r="DY255" s="451"/>
      <c r="DZ255" s="452"/>
      <c r="EA255" s="188"/>
      <c r="EB255" s="451"/>
      <c r="EC255" s="451"/>
      <c r="ED255" s="451"/>
      <c r="EE255" s="452"/>
      <c r="EF255" s="188"/>
      <c r="EG255" s="451"/>
      <c r="EH255" s="451"/>
      <c r="EI255" s="451"/>
      <c r="EJ255" s="452"/>
      <c r="EK255" s="188"/>
      <c r="EL255" s="451"/>
      <c r="EM255" s="451"/>
      <c r="EN255" s="451"/>
      <c r="EO255" s="13"/>
      <c r="ER255" s="14"/>
      <c r="ES255" s="14"/>
    </row>
    <row r="256" spans="4:149" ht="12.75" customHeight="1" x14ac:dyDescent="0.2">
      <c r="D256" s="13" t="s">
        <v>380</v>
      </c>
      <c r="E256" s="479"/>
      <c r="F256" s="188"/>
      <c r="G256" s="451">
        <v>0</v>
      </c>
      <c r="H256" s="451"/>
      <c r="I256" s="451"/>
      <c r="J256" s="452"/>
      <c r="K256" s="188"/>
      <c r="L256" s="451">
        <f>SUM(L257:L260)</f>
        <v>0</v>
      </c>
      <c r="M256" s="451"/>
      <c r="N256" s="451"/>
      <c r="O256" s="452"/>
      <c r="P256" s="188"/>
      <c r="Q256" s="451">
        <f>SUM(Q257:Q260)</f>
        <v>0</v>
      </c>
      <c r="R256" s="451"/>
      <c r="S256" s="451"/>
      <c r="T256" s="452"/>
      <c r="U256" s="188"/>
      <c r="V256" s="451">
        <f>SUM(V257:V260)</f>
        <v>0</v>
      </c>
      <c r="W256" s="451"/>
      <c r="X256" s="451"/>
      <c r="Y256" s="452"/>
      <c r="Z256" s="188"/>
      <c r="AA256" s="451">
        <f>SUM(AA257:AA260)</f>
        <v>0</v>
      </c>
      <c r="AB256" s="451"/>
      <c r="AC256" s="451"/>
      <c r="AD256" s="452"/>
      <c r="AE256" s="188"/>
      <c r="AF256" s="451">
        <f>SUM(AF257:AF260)</f>
        <v>0</v>
      </c>
      <c r="AG256" s="451"/>
      <c r="AH256" s="451"/>
      <c r="AI256" s="452"/>
      <c r="AJ256" s="188"/>
      <c r="AK256" s="451">
        <f>SUM(AK257:AK260)</f>
        <v>0</v>
      </c>
      <c r="AL256" s="451"/>
      <c r="AM256" s="451"/>
      <c r="AN256" s="452"/>
      <c r="AO256" s="188"/>
      <c r="AP256" s="451">
        <f>SUM(AP257:AP260)</f>
        <v>0</v>
      </c>
      <c r="AQ256" s="451"/>
      <c r="AR256" s="451"/>
      <c r="AS256" s="452"/>
      <c r="AT256" s="188"/>
      <c r="AU256" s="451">
        <f>SUM(AU257:AU260)</f>
        <v>0</v>
      </c>
      <c r="AV256" s="451"/>
      <c r="AW256" s="451"/>
      <c r="AX256" s="452"/>
      <c r="AY256" s="188"/>
      <c r="AZ256" s="451">
        <f>SUM(AZ257:AZ260)</f>
        <v>0</v>
      </c>
      <c r="BA256" s="451"/>
      <c r="BB256" s="451"/>
      <c r="BC256" s="452"/>
      <c r="BD256" s="188"/>
      <c r="BE256" s="451">
        <f>SUM(BE257:BE260)</f>
        <v>0</v>
      </c>
      <c r="BF256" s="451"/>
      <c r="BG256" s="451"/>
      <c r="BH256" s="452"/>
      <c r="BI256" s="188"/>
      <c r="BJ256" s="451">
        <f>SUM(BJ257:BJ260)</f>
        <v>0</v>
      </c>
      <c r="BK256" s="451"/>
      <c r="BL256" s="451"/>
      <c r="BM256" s="452"/>
      <c r="BN256" s="188"/>
      <c r="BO256" s="451">
        <f>SUM(BO257:BO260)</f>
        <v>0</v>
      </c>
      <c r="BP256" s="451"/>
      <c r="BQ256" s="451"/>
      <c r="BR256" s="452"/>
      <c r="BS256" s="188"/>
      <c r="BT256" s="451">
        <f>SUM(BT257:BT260)</f>
        <v>0</v>
      </c>
      <c r="BU256" s="451"/>
      <c r="BV256" s="451"/>
      <c r="BW256" s="452"/>
      <c r="BX256" s="188"/>
      <c r="BY256" s="451">
        <f>SUM(BY257:BY260)</f>
        <v>1877366</v>
      </c>
      <c r="BZ256" s="451"/>
      <c r="CA256" s="451"/>
      <c r="CB256" s="452"/>
      <c r="CC256" s="188"/>
      <c r="CD256" s="451">
        <f>SUM(CD257:CD260)</f>
        <v>0</v>
      </c>
      <c r="CE256" s="451"/>
      <c r="CF256" s="451"/>
      <c r="CG256" s="452"/>
      <c r="CH256" s="188"/>
      <c r="CI256" s="451">
        <f>SUM(CI257:CI260)</f>
        <v>1877366</v>
      </c>
      <c r="CJ256" s="451"/>
      <c r="CK256" s="451"/>
      <c r="CL256" s="452"/>
      <c r="CM256" s="188"/>
      <c r="CN256" s="451">
        <f>SUM(CN257:CN260)</f>
        <v>0</v>
      </c>
      <c r="CO256" s="451"/>
      <c r="CP256" s="451"/>
      <c r="CQ256" s="452"/>
      <c r="CR256" s="188"/>
      <c r="CS256" s="451">
        <f>SUM(CS257:CS260)</f>
        <v>0</v>
      </c>
      <c r="CT256" s="451"/>
      <c r="CU256" s="451"/>
      <c r="CV256" s="452"/>
      <c r="CW256" s="188"/>
      <c r="CX256" s="451">
        <f>SUM(CX257:CX260)</f>
        <v>0</v>
      </c>
      <c r="CY256" s="451"/>
      <c r="CZ256" s="451"/>
      <c r="DA256" s="452"/>
      <c r="DB256" s="188"/>
      <c r="DC256" s="451">
        <f>SUM(DC257:DC260)</f>
        <v>0</v>
      </c>
      <c r="DD256" s="451"/>
      <c r="DE256" s="451"/>
      <c r="DF256" s="452"/>
      <c r="DG256" s="188"/>
      <c r="DH256" s="451">
        <f>SUM(DH257:DH260)</f>
        <v>0</v>
      </c>
      <c r="DI256" s="451"/>
      <c r="DJ256" s="451"/>
      <c r="DK256" s="452"/>
      <c r="DL256" s="188"/>
      <c r="DM256" s="451">
        <f>SUM(DM257:DM260)</f>
        <v>0</v>
      </c>
      <c r="DN256" s="451"/>
      <c r="DO256" s="451"/>
      <c r="DP256" s="452"/>
      <c r="DQ256" s="188"/>
      <c r="DR256" s="451">
        <f>SUM(DR257:DR260)</f>
        <v>0</v>
      </c>
      <c r="DS256" s="451"/>
      <c r="DT256" s="451"/>
      <c r="DU256" s="452"/>
      <c r="DV256" s="188"/>
      <c r="DW256" s="451">
        <f>SUM(DW257:DW260)</f>
        <v>0</v>
      </c>
      <c r="DX256" s="451"/>
      <c r="DY256" s="451"/>
      <c r="DZ256" s="452"/>
      <c r="EA256" s="188"/>
      <c r="EB256" s="451">
        <f>SUM(EB257:EB260)</f>
        <v>0</v>
      </c>
      <c r="EC256" s="451"/>
      <c r="ED256" s="451"/>
      <c r="EE256" s="452"/>
      <c r="EF256" s="188"/>
      <c r="EG256" s="451">
        <f>SUM(EG257:EG260)</f>
        <v>0</v>
      </c>
      <c r="EH256" s="451"/>
      <c r="EI256" s="451"/>
      <c r="EJ256" s="452"/>
      <c r="EK256" s="188"/>
      <c r="EL256" s="451">
        <f>SUM(EL257:EL260)</f>
        <v>1877366</v>
      </c>
      <c r="EM256" s="451"/>
      <c r="EN256" s="451"/>
      <c r="EO256" s="13"/>
      <c r="ER256" s="14"/>
      <c r="ES256" s="14"/>
    </row>
    <row r="257" spans="4:149" ht="12.75" customHeight="1" x14ac:dyDescent="0.2">
      <c r="D257" s="13" t="s">
        <v>347</v>
      </c>
      <c r="E257" s="479"/>
      <c r="F257" s="480"/>
      <c r="G257" s="449">
        <v>0</v>
      </c>
      <c r="H257" s="450"/>
      <c r="I257" s="451"/>
      <c r="J257" s="452"/>
      <c r="K257" s="480"/>
      <c r="L257" s="449">
        <v>0</v>
      </c>
      <c r="M257" s="450"/>
      <c r="N257" s="451"/>
      <c r="O257" s="452"/>
      <c r="P257" s="480"/>
      <c r="Q257" s="449">
        <v>0</v>
      </c>
      <c r="R257" s="450"/>
      <c r="S257" s="451"/>
      <c r="T257" s="452"/>
      <c r="U257" s="480"/>
      <c r="V257" s="449">
        <v>0</v>
      </c>
      <c r="W257" s="450"/>
      <c r="X257" s="451"/>
      <c r="Y257" s="452"/>
      <c r="Z257" s="480"/>
      <c r="AA257" s="449">
        <v>0</v>
      </c>
      <c r="AB257" s="450"/>
      <c r="AC257" s="451"/>
      <c r="AD257" s="452"/>
      <c r="AE257" s="480"/>
      <c r="AF257" s="449">
        <v>0</v>
      </c>
      <c r="AG257" s="450"/>
      <c r="AH257" s="451"/>
      <c r="AI257" s="452"/>
      <c r="AJ257" s="480"/>
      <c r="AK257" s="449">
        <v>0</v>
      </c>
      <c r="AL257" s="450"/>
      <c r="AM257" s="451"/>
      <c r="AN257" s="452"/>
      <c r="AO257" s="480"/>
      <c r="AP257" s="449">
        <v>0</v>
      </c>
      <c r="AQ257" s="450"/>
      <c r="AR257" s="451"/>
      <c r="AS257" s="452"/>
      <c r="AT257" s="480"/>
      <c r="AU257" s="449">
        <v>0</v>
      </c>
      <c r="AV257" s="450"/>
      <c r="AW257" s="451"/>
      <c r="AX257" s="452"/>
      <c r="AY257" s="480"/>
      <c r="AZ257" s="449">
        <v>0</v>
      </c>
      <c r="BA257" s="450"/>
      <c r="BB257" s="451"/>
      <c r="BC257" s="452"/>
      <c r="BD257" s="480"/>
      <c r="BE257" s="449">
        <v>0</v>
      </c>
      <c r="BF257" s="450"/>
      <c r="BG257" s="451"/>
      <c r="BH257" s="452"/>
      <c r="BI257" s="480"/>
      <c r="BJ257" s="449">
        <v>0</v>
      </c>
      <c r="BK257" s="450"/>
      <c r="BL257" s="451"/>
      <c r="BM257" s="452"/>
      <c r="BN257" s="480"/>
      <c r="BO257" s="449">
        <v>0</v>
      </c>
      <c r="BP257" s="450"/>
      <c r="BQ257" s="451"/>
      <c r="BR257" s="452"/>
      <c r="BS257" s="480"/>
      <c r="BT257" s="449">
        <f>SUM(L257:BO257)</f>
        <v>0</v>
      </c>
      <c r="BU257" s="450"/>
      <c r="BV257" s="451"/>
      <c r="BW257" s="452"/>
      <c r="BX257" s="480"/>
      <c r="BY257" s="449">
        <v>1693226</v>
      </c>
      <c r="BZ257" s="450"/>
      <c r="CA257" s="451"/>
      <c r="CB257" s="452"/>
      <c r="CC257" s="480"/>
      <c r="CD257" s="449">
        <v>0</v>
      </c>
      <c r="CE257" s="450"/>
      <c r="CF257" s="451"/>
      <c r="CG257" s="452"/>
      <c r="CH257" s="480"/>
      <c r="CI257" s="449">
        <f>1877366-184140</f>
        <v>1693226</v>
      </c>
      <c r="CJ257" s="450"/>
      <c r="CK257" s="451"/>
      <c r="CL257" s="452"/>
      <c r="CM257" s="480"/>
      <c r="CN257" s="449">
        <v>0</v>
      </c>
      <c r="CO257" s="450"/>
      <c r="CP257" s="451"/>
      <c r="CQ257" s="452"/>
      <c r="CR257" s="480"/>
      <c r="CS257" s="449">
        <v>0</v>
      </c>
      <c r="CT257" s="450"/>
      <c r="CU257" s="451"/>
      <c r="CV257" s="452"/>
      <c r="CW257" s="480"/>
      <c r="CX257" s="449">
        <v>0</v>
      </c>
      <c r="CY257" s="450"/>
      <c r="CZ257" s="451"/>
      <c r="DA257" s="452"/>
      <c r="DB257" s="480"/>
      <c r="DC257" s="449">
        <v>0</v>
      </c>
      <c r="DD257" s="450"/>
      <c r="DE257" s="451"/>
      <c r="DF257" s="452"/>
      <c r="DG257" s="480"/>
      <c r="DH257" s="449">
        <v>0</v>
      </c>
      <c r="DI257" s="450"/>
      <c r="DJ257" s="451"/>
      <c r="DK257" s="452"/>
      <c r="DL257" s="480"/>
      <c r="DM257" s="449">
        <v>0</v>
      </c>
      <c r="DN257" s="450"/>
      <c r="DO257" s="451"/>
      <c r="DP257" s="452"/>
      <c r="DQ257" s="480"/>
      <c r="DR257" s="449">
        <v>0</v>
      </c>
      <c r="DS257" s="450"/>
      <c r="DT257" s="451"/>
      <c r="DU257" s="452"/>
      <c r="DV257" s="480"/>
      <c r="DW257" s="449">
        <v>0</v>
      </c>
      <c r="DX257" s="450"/>
      <c r="DY257" s="451"/>
      <c r="DZ257" s="452"/>
      <c r="EA257" s="480"/>
      <c r="EB257" s="449">
        <v>0</v>
      </c>
      <c r="EC257" s="450"/>
      <c r="ED257" s="451"/>
      <c r="EE257" s="452"/>
      <c r="EF257" s="480"/>
      <c r="EG257" s="449">
        <v>0</v>
      </c>
      <c r="EH257" s="450"/>
      <c r="EI257" s="451"/>
      <c r="EJ257" s="452"/>
      <c r="EK257" s="480"/>
      <c r="EL257" s="449">
        <f>SUM(CD257:DW257)</f>
        <v>1693226</v>
      </c>
      <c r="EM257" s="450"/>
      <c r="EN257" s="451"/>
      <c r="EO257" s="13"/>
      <c r="ER257" s="14"/>
      <c r="ES257" s="14"/>
    </row>
    <row r="258" spans="4:149" ht="12.75" customHeight="1" x14ac:dyDescent="0.2">
      <c r="D258" s="13" t="s">
        <v>349</v>
      </c>
      <c r="E258" s="479"/>
      <c r="F258" s="444"/>
      <c r="G258" s="451">
        <v>0</v>
      </c>
      <c r="H258" s="455"/>
      <c r="I258" s="451"/>
      <c r="J258" s="452"/>
      <c r="K258" s="444"/>
      <c r="L258" s="451">
        <v>0</v>
      </c>
      <c r="M258" s="455"/>
      <c r="N258" s="451"/>
      <c r="O258" s="452"/>
      <c r="P258" s="444"/>
      <c r="Q258" s="451">
        <v>0</v>
      </c>
      <c r="R258" s="455"/>
      <c r="S258" s="451"/>
      <c r="T258" s="452"/>
      <c r="U258" s="444"/>
      <c r="V258" s="451">
        <v>0</v>
      </c>
      <c r="W258" s="455"/>
      <c r="X258" s="451"/>
      <c r="Y258" s="452"/>
      <c r="Z258" s="444"/>
      <c r="AA258" s="451">
        <v>0</v>
      </c>
      <c r="AB258" s="455"/>
      <c r="AC258" s="451"/>
      <c r="AD258" s="452"/>
      <c r="AE258" s="444"/>
      <c r="AF258" s="451">
        <v>0</v>
      </c>
      <c r="AG258" s="455"/>
      <c r="AH258" s="451"/>
      <c r="AI258" s="452"/>
      <c r="AJ258" s="444"/>
      <c r="AK258" s="451">
        <v>0</v>
      </c>
      <c r="AL258" s="455"/>
      <c r="AM258" s="451"/>
      <c r="AN258" s="452"/>
      <c r="AO258" s="444"/>
      <c r="AP258" s="451">
        <v>0</v>
      </c>
      <c r="AQ258" s="455"/>
      <c r="AR258" s="451"/>
      <c r="AS258" s="452"/>
      <c r="AT258" s="444"/>
      <c r="AU258" s="451">
        <v>0</v>
      </c>
      <c r="AV258" s="455"/>
      <c r="AW258" s="451"/>
      <c r="AX258" s="452"/>
      <c r="AY258" s="444"/>
      <c r="AZ258" s="451">
        <v>0</v>
      </c>
      <c r="BA258" s="455"/>
      <c r="BB258" s="451"/>
      <c r="BC258" s="452"/>
      <c r="BD258" s="444"/>
      <c r="BE258" s="451">
        <v>0</v>
      </c>
      <c r="BF258" s="455"/>
      <c r="BG258" s="451"/>
      <c r="BH258" s="452"/>
      <c r="BI258" s="444"/>
      <c r="BJ258" s="451">
        <v>0</v>
      </c>
      <c r="BK258" s="455"/>
      <c r="BL258" s="451"/>
      <c r="BM258" s="452"/>
      <c r="BN258" s="444"/>
      <c r="BO258" s="451">
        <v>0</v>
      </c>
      <c r="BP258" s="455"/>
      <c r="BQ258" s="451"/>
      <c r="BR258" s="452"/>
      <c r="BS258" s="444"/>
      <c r="BT258" s="451">
        <f>SUM(L258:BO258)</f>
        <v>0</v>
      </c>
      <c r="BU258" s="455"/>
      <c r="BV258" s="451"/>
      <c r="BW258" s="452"/>
      <c r="BX258" s="444"/>
      <c r="BY258" s="451">
        <v>184140</v>
      </c>
      <c r="BZ258" s="455"/>
      <c r="CA258" s="451"/>
      <c r="CB258" s="452"/>
      <c r="CC258" s="444"/>
      <c r="CD258" s="451">
        <v>0</v>
      </c>
      <c r="CE258" s="455"/>
      <c r="CF258" s="451"/>
      <c r="CG258" s="452"/>
      <c r="CH258" s="444"/>
      <c r="CI258" s="451">
        <v>184140</v>
      </c>
      <c r="CJ258" s="455"/>
      <c r="CK258" s="451"/>
      <c r="CL258" s="452"/>
      <c r="CM258" s="444"/>
      <c r="CN258" s="451">
        <v>0</v>
      </c>
      <c r="CO258" s="455"/>
      <c r="CP258" s="451"/>
      <c r="CQ258" s="452"/>
      <c r="CR258" s="444"/>
      <c r="CS258" s="451">
        <v>0</v>
      </c>
      <c r="CT258" s="455"/>
      <c r="CU258" s="451"/>
      <c r="CV258" s="452"/>
      <c r="CW258" s="444"/>
      <c r="CX258" s="451">
        <v>0</v>
      </c>
      <c r="CY258" s="455"/>
      <c r="CZ258" s="451"/>
      <c r="DA258" s="452"/>
      <c r="DB258" s="444"/>
      <c r="DC258" s="451">
        <v>0</v>
      </c>
      <c r="DD258" s="455"/>
      <c r="DE258" s="451"/>
      <c r="DF258" s="452"/>
      <c r="DG258" s="444"/>
      <c r="DH258" s="451">
        <v>0</v>
      </c>
      <c r="DI258" s="455"/>
      <c r="DJ258" s="451"/>
      <c r="DK258" s="452"/>
      <c r="DL258" s="444"/>
      <c r="DM258" s="451">
        <v>0</v>
      </c>
      <c r="DN258" s="455"/>
      <c r="DO258" s="451"/>
      <c r="DP258" s="452"/>
      <c r="DQ258" s="444"/>
      <c r="DR258" s="451">
        <v>0</v>
      </c>
      <c r="DS258" s="455"/>
      <c r="DT258" s="451"/>
      <c r="DU258" s="452"/>
      <c r="DV258" s="444"/>
      <c r="DW258" s="451">
        <v>0</v>
      </c>
      <c r="DX258" s="455"/>
      <c r="DY258" s="451"/>
      <c r="DZ258" s="452"/>
      <c r="EA258" s="444"/>
      <c r="EB258" s="451">
        <v>0</v>
      </c>
      <c r="EC258" s="455"/>
      <c r="ED258" s="451"/>
      <c r="EE258" s="452"/>
      <c r="EF258" s="444"/>
      <c r="EG258" s="451">
        <v>0</v>
      </c>
      <c r="EH258" s="455"/>
      <c r="EI258" s="451"/>
      <c r="EJ258" s="452"/>
      <c r="EK258" s="444"/>
      <c r="EL258" s="451">
        <f>SUM(CD258:DW258)</f>
        <v>184140</v>
      </c>
      <c r="EM258" s="455"/>
      <c r="EN258" s="451"/>
      <c r="EO258" s="13"/>
      <c r="ER258" s="14"/>
      <c r="ES258" s="14"/>
    </row>
    <row r="259" spans="4:149" ht="12.75" customHeight="1" x14ac:dyDescent="0.2">
      <c r="D259" s="13" t="s">
        <v>357</v>
      </c>
      <c r="E259" s="479"/>
      <c r="F259" s="385"/>
      <c r="G259" s="463">
        <v>0</v>
      </c>
      <c r="H259" s="464"/>
      <c r="I259" s="451"/>
      <c r="J259" s="452"/>
      <c r="K259" s="385"/>
      <c r="L259" s="463">
        <v>0</v>
      </c>
      <c r="M259" s="464"/>
      <c r="N259" s="451"/>
      <c r="O259" s="452"/>
      <c r="P259" s="385"/>
      <c r="Q259" s="463">
        <v>0</v>
      </c>
      <c r="R259" s="464"/>
      <c r="S259" s="451"/>
      <c r="T259" s="452"/>
      <c r="U259" s="385"/>
      <c r="V259" s="463">
        <v>0</v>
      </c>
      <c r="W259" s="464"/>
      <c r="X259" s="451"/>
      <c r="Y259" s="452"/>
      <c r="Z259" s="385"/>
      <c r="AA259" s="463">
        <v>0</v>
      </c>
      <c r="AB259" s="464"/>
      <c r="AC259" s="451"/>
      <c r="AD259" s="452"/>
      <c r="AE259" s="385"/>
      <c r="AF259" s="463">
        <v>0</v>
      </c>
      <c r="AG259" s="464"/>
      <c r="AH259" s="451"/>
      <c r="AI259" s="452"/>
      <c r="AJ259" s="385"/>
      <c r="AK259" s="463">
        <v>0</v>
      </c>
      <c r="AL259" s="464"/>
      <c r="AM259" s="451"/>
      <c r="AN259" s="452"/>
      <c r="AO259" s="385"/>
      <c r="AP259" s="463">
        <v>0</v>
      </c>
      <c r="AQ259" s="464"/>
      <c r="AR259" s="451"/>
      <c r="AS259" s="452"/>
      <c r="AT259" s="465"/>
      <c r="AU259" s="463">
        <v>0</v>
      </c>
      <c r="AV259" s="464"/>
      <c r="AW259" s="451"/>
      <c r="AX259" s="452"/>
      <c r="AY259" s="465"/>
      <c r="AZ259" s="463">
        <v>0</v>
      </c>
      <c r="BA259" s="464"/>
      <c r="BB259" s="451"/>
      <c r="BC259" s="452"/>
      <c r="BD259" s="465"/>
      <c r="BE259" s="463">
        <v>0</v>
      </c>
      <c r="BF259" s="464"/>
      <c r="BG259" s="451"/>
      <c r="BH259" s="452"/>
      <c r="BI259" s="465"/>
      <c r="BJ259" s="463">
        <v>0</v>
      </c>
      <c r="BK259" s="464"/>
      <c r="BL259" s="451"/>
      <c r="BM259" s="452"/>
      <c r="BN259" s="465"/>
      <c r="BO259" s="463">
        <v>0</v>
      </c>
      <c r="BP259" s="464"/>
      <c r="BQ259" s="451"/>
      <c r="BR259" s="452"/>
      <c r="BS259" s="465"/>
      <c r="BT259" s="463">
        <f>SUM(L259:BO259)</f>
        <v>0</v>
      </c>
      <c r="BU259" s="464"/>
      <c r="BV259" s="451"/>
      <c r="BW259" s="452"/>
      <c r="BX259" s="465"/>
      <c r="BY259" s="463">
        <v>0</v>
      </c>
      <c r="BZ259" s="464"/>
      <c r="CA259" s="451"/>
      <c r="CB259" s="452"/>
      <c r="CC259" s="385"/>
      <c r="CD259" s="463">
        <v>0</v>
      </c>
      <c r="CE259" s="464"/>
      <c r="CF259" s="451"/>
      <c r="CG259" s="452"/>
      <c r="CH259" s="385"/>
      <c r="CI259" s="463">
        <v>0</v>
      </c>
      <c r="CJ259" s="464"/>
      <c r="CK259" s="451"/>
      <c r="CL259" s="452"/>
      <c r="CM259" s="385"/>
      <c r="CN259" s="463">
        <v>0</v>
      </c>
      <c r="CO259" s="464"/>
      <c r="CP259" s="451"/>
      <c r="CQ259" s="452"/>
      <c r="CR259" s="385"/>
      <c r="CS259" s="463">
        <v>0</v>
      </c>
      <c r="CT259" s="464"/>
      <c r="CU259" s="451"/>
      <c r="CV259" s="452"/>
      <c r="CW259" s="385"/>
      <c r="CX259" s="463">
        <v>0</v>
      </c>
      <c r="CY259" s="464"/>
      <c r="CZ259" s="451"/>
      <c r="DA259" s="452"/>
      <c r="DB259" s="385"/>
      <c r="DC259" s="463">
        <v>0</v>
      </c>
      <c r="DD259" s="464"/>
      <c r="DE259" s="451"/>
      <c r="DF259" s="452"/>
      <c r="DG259" s="385"/>
      <c r="DH259" s="463">
        <v>0</v>
      </c>
      <c r="DI259" s="464"/>
      <c r="DJ259" s="451"/>
      <c r="DK259" s="452"/>
      <c r="DL259" s="465"/>
      <c r="DM259" s="463">
        <v>0</v>
      </c>
      <c r="DN259" s="464"/>
      <c r="DO259" s="451"/>
      <c r="DP259" s="452"/>
      <c r="DQ259" s="465"/>
      <c r="DR259" s="463">
        <v>0</v>
      </c>
      <c r="DS259" s="464"/>
      <c r="DT259" s="451"/>
      <c r="DU259" s="452"/>
      <c r="DV259" s="465"/>
      <c r="DW259" s="463">
        <v>0</v>
      </c>
      <c r="DX259" s="464"/>
      <c r="DY259" s="451"/>
      <c r="DZ259" s="452"/>
      <c r="EA259" s="465"/>
      <c r="EB259" s="463">
        <v>0</v>
      </c>
      <c r="EC259" s="464"/>
      <c r="ED259" s="451"/>
      <c r="EE259" s="452"/>
      <c r="EF259" s="465"/>
      <c r="EG259" s="463">
        <v>0</v>
      </c>
      <c r="EH259" s="464"/>
      <c r="EI259" s="451"/>
      <c r="EJ259" s="452"/>
      <c r="EK259" s="465"/>
      <c r="EL259" s="463">
        <f>SUM(CD259:DW259)</f>
        <v>0</v>
      </c>
      <c r="EM259" s="464"/>
      <c r="EN259" s="451"/>
      <c r="EO259" s="13"/>
      <c r="ER259" s="14"/>
      <c r="ES259" s="14"/>
    </row>
    <row r="260" spans="4:149" ht="12.75" hidden="1" customHeight="1" x14ac:dyDescent="0.2">
      <c r="D260" s="13" t="s">
        <v>351</v>
      </c>
      <c r="E260" s="479"/>
      <c r="F260" s="482"/>
      <c r="G260" s="463">
        <v>0</v>
      </c>
      <c r="H260" s="464"/>
      <c r="I260" s="451"/>
      <c r="J260" s="452"/>
      <c r="K260" s="482"/>
      <c r="L260" s="463">
        <v>0</v>
      </c>
      <c r="M260" s="464"/>
      <c r="N260" s="451"/>
      <c r="O260" s="452"/>
      <c r="P260" s="482"/>
      <c r="Q260" s="463">
        <v>0</v>
      </c>
      <c r="R260" s="464"/>
      <c r="S260" s="451"/>
      <c r="T260" s="452"/>
      <c r="U260" s="482"/>
      <c r="V260" s="463">
        <v>0</v>
      </c>
      <c r="W260" s="464"/>
      <c r="X260" s="451"/>
      <c r="Y260" s="452"/>
      <c r="Z260" s="482"/>
      <c r="AA260" s="463">
        <v>0</v>
      </c>
      <c r="AB260" s="464"/>
      <c r="AC260" s="451"/>
      <c r="AD260" s="452"/>
      <c r="AE260" s="482"/>
      <c r="AF260" s="463">
        <v>0</v>
      </c>
      <c r="AG260" s="464"/>
      <c r="AH260" s="451"/>
      <c r="AI260" s="452"/>
      <c r="AJ260" s="482"/>
      <c r="AK260" s="463">
        <v>0</v>
      </c>
      <c r="AL260" s="464"/>
      <c r="AM260" s="451"/>
      <c r="AN260" s="452"/>
      <c r="AO260" s="482"/>
      <c r="AP260" s="463">
        <v>0</v>
      </c>
      <c r="AQ260" s="464"/>
      <c r="AR260" s="451"/>
      <c r="AS260" s="452"/>
      <c r="AT260" s="482"/>
      <c r="AU260" s="463">
        <v>0</v>
      </c>
      <c r="AV260" s="464"/>
      <c r="AW260" s="451"/>
      <c r="AX260" s="452"/>
      <c r="AY260" s="482"/>
      <c r="AZ260" s="463">
        <v>0</v>
      </c>
      <c r="BA260" s="464"/>
      <c r="BB260" s="451"/>
      <c r="BC260" s="452"/>
      <c r="BD260" s="482"/>
      <c r="BE260" s="463">
        <v>0</v>
      </c>
      <c r="BF260" s="464"/>
      <c r="BG260" s="451"/>
      <c r="BH260" s="452"/>
      <c r="BI260" s="482"/>
      <c r="BJ260" s="463">
        <v>0</v>
      </c>
      <c r="BK260" s="464"/>
      <c r="BL260" s="451"/>
      <c r="BM260" s="452"/>
      <c r="BN260" s="482"/>
      <c r="BO260" s="463">
        <v>0</v>
      </c>
      <c r="BP260" s="464"/>
      <c r="BQ260" s="451"/>
      <c r="BR260" s="452"/>
      <c r="BS260" s="482"/>
      <c r="BT260" s="463">
        <f>SUM(L260:BO260)</f>
        <v>0</v>
      </c>
      <c r="BU260" s="464"/>
      <c r="BV260" s="451"/>
      <c r="BW260" s="452"/>
      <c r="BX260" s="482"/>
      <c r="BY260" s="463">
        <f>SUM(Q260:BT260)</f>
        <v>0</v>
      </c>
      <c r="BZ260" s="464"/>
      <c r="CA260" s="451"/>
      <c r="CB260" s="452"/>
      <c r="CC260" s="482"/>
      <c r="CD260" s="463">
        <v>0</v>
      </c>
      <c r="CE260" s="464"/>
      <c r="CF260" s="451"/>
      <c r="CG260" s="452"/>
      <c r="CH260" s="482"/>
      <c r="CI260" s="463">
        <v>0</v>
      </c>
      <c r="CJ260" s="464"/>
      <c r="CK260" s="451"/>
      <c r="CL260" s="452"/>
      <c r="CM260" s="482"/>
      <c r="CN260" s="463">
        <v>0</v>
      </c>
      <c r="CO260" s="464"/>
      <c r="CP260" s="451"/>
      <c r="CQ260" s="452"/>
      <c r="CR260" s="482"/>
      <c r="CS260" s="463">
        <v>0</v>
      </c>
      <c r="CT260" s="464"/>
      <c r="CU260" s="451"/>
      <c r="CV260" s="452"/>
      <c r="CW260" s="482"/>
      <c r="CX260" s="463">
        <v>0</v>
      </c>
      <c r="CY260" s="464"/>
      <c r="CZ260" s="451"/>
      <c r="DA260" s="452"/>
      <c r="DB260" s="482"/>
      <c r="DC260" s="463">
        <v>0</v>
      </c>
      <c r="DD260" s="464"/>
      <c r="DE260" s="451"/>
      <c r="DF260" s="452"/>
      <c r="DG260" s="482"/>
      <c r="DH260" s="463">
        <v>0</v>
      </c>
      <c r="DI260" s="464"/>
      <c r="DJ260" s="451"/>
      <c r="DK260" s="452"/>
      <c r="DL260" s="482"/>
      <c r="DM260" s="463">
        <v>0</v>
      </c>
      <c r="DN260" s="464"/>
      <c r="DO260" s="451"/>
      <c r="DP260" s="452"/>
      <c r="DQ260" s="482"/>
      <c r="DR260" s="463">
        <v>0</v>
      </c>
      <c r="DS260" s="464"/>
      <c r="DT260" s="451"/>
      <c r="DU260" s="452"/>
      <c r="DV260" s="482"/>
      <c r="DW260" s="463">
        <v>0</v>
      </c>
      <c r="DX260" s="464"/>
      <c r="DY260" s="451"/>
      <c r="DZ260" s="452"/>
      <c r="EA260" s="482"/>
      <c r="EB260" s="463">
        <v>0</v>
      </c>
      <c r="EC260" s="464"/>
      <c r="ED260" s="451"/>
      <c r="EE260" s="452"/>
      <c r="EF260" s="482"/>
      <c r="EG260" s="463">
        <v>0</v>
      </c>
      <c r="EH260" s="464"/>
      <c r="EI260" s="451"/>
      <c r="EJ260" s="452"/>
      <c r="EK260" s="482"/>
      <c r="EL260" s="463">
        <f>SUM(CD260:EG260)</f>
        <v>0</v>
      </c>
      <c r="EM260" s="464"/>
      <c r="EN260" s="451"/>
      <c r="EO260" s="13"/>
      <c r="ER260" s="14"/>
      <c r="ES260" s="14"/>
    </row>
    <row r="261" spans="4:149" ht="12.75" customHeight="1" x14ac:dyDescent="0.2">
      <c r="D261" s="13"/>
      <c r="E261" s="479"/>
      <c r="F261" s="188"/>
      <c r="G261" s="451"/>
      <c r="H261" s="451"/>
      <c r="I261" s="451"/>
      <c r="J261" s="452"/>
      <c r="K261" s="188"/>
      <c r="L261" s="451"/>
      <c r="M261" s="451"/>
      <c r="N261" s="451"/>
      <c r="O261" s="452"/>
      <c r="P261" s="188"/>
      <c r="Q261" s="451"/>
      <c r="R261" s="451"/>
      <c r="S261" s="451"/>
      <c r="T261" s="452"/>
      <c r="U261" s="188"/>
      <c r="V261" s="451"/>
      <c r="W261" s="451"/>
      <c r="X261" s="451"/>
      <c r="Y261" s="452"/>
      <c r="Z261" s="188"/>
      <c r="AA261" s="451"/>
      <c r="AB261" s="451"/>
      <c r="AC261" s="451"/>
      <c r="AD261" s="452"/>
      <c r="AE261" s="188"/>
      <c r="AF261" s="451"/>
      <c r="AG261" s="451"/>
      <c r="AH261" s="451"/>
      <c r="AI261" s="452"/>
      <c r="AJ261" s="188"/>
      <c r="AK261" s="451"/>
      <c r="AL261" s="451"/>
      <c r="AM261" s="451"/>
      <c r="AN261" s="452"/>
      <c r="AO261" s="188"/>
      <c r="AP261" s="451"/>
      <c r="AQ261" s="451"/>
      <c r="AR261" s="451"/>
      <c r="AS261" s="452"/>
      <c r="AT261" s="188"/>
      <c r="AU261" s="451"/>
      <c r="AV261" s="451"/>
      <c r="AW261" s="451"/>
      <c r="AX261" s="452"/>
      <c r="AY261" s="188"/>
      <c r="AZ261" s="451"/>
      <c r="BA261" s="451"/>
      <c r="BB261" s="451"/>
      <c r="BC261" s="452"/>
      <c r="BD261" s="188"/>
      <c r="BE261" s="451"/>
      <c r="BF261" s="451"/>
      <c r="BG261" s="451"/>
      <c r="BH261" s="452"/>
      <c r="BI261" s="188"/>
      <c r="BJ261" s="451"/>
      <c r="BK261" s="451"/>
      <c r="BL261" s="451"/>
      <c r="BM261" s="452"/>
      <c r="BN261" s="188"/>
      <c r="BO261" s="451"/>
      <c r="BP261" s="451"/>
      <c r="BQ261" s="451"/>
      <c r="BR261" s="452"/>
      <c r="BS261" s="188"/>
      <c r="BT261" s="451"/>
      <c r="BU261" s="451"/>
      <c r="BV261" s="451"/>
      <c r="BW261" s="452"/>
      <c r="BX261" s="188"/>
      <c r="BY261" s="451"/>
      <c r="BZ261" s="451"/>
      <c r="CA261" s="451"/>
      <c r="CB261" s="452"/>
      <c r="CC261" s="188"/>
      <c r="CD261" s="451"/>
      <c r="CE261" s="451"/>
      <c r="CF261" s="451"/>
      <c r="CG261" s="452"/>
      <c r="CH261" s="188"/>
      <c r="CI261" s="451"/>
      <c r="CJ261" s="451"/>
      <c r="CK261" s="451"/>
      <c r="CL261" s="452"/>
      <c r="CM261" s="188"/>
      <c r="CN261" s="451"/>
      <c r="CO261" s="451"/>
      <c r="CP261" s="451"/>
      <c r="CQ261" s="452"/>
      <c r="CR261" s="188"/>
      <c r="CS261" s="451"/>
      <c r="CT261" s="451"/>
      <c r="CU261" s="451"/>
      <c r="CV261" s="452"/>
      <c r="CW261" s="188"/>
      <c r="CX261" s="451"/>
      <c r="CY261" s="451"/>
      <c r="CZ261" s="451"/>
      <c r="DA261" s="452"/>
      <c r="DB261" s="188"/>
      <c r="DC261" s="451"/>
      <c r="DD261" s="451"/>
      <c r="DE261" s="451"/>
      <c r="DF261" s="452"/>
      <c r="DG261" s="188"/>
      <c r="DH261" s="451"/>
      <c r="DI261" s="451"/>
      <c r="DJ261" s="451"/>
      <c r="DK261" s="452"/>
      <c r="DL261" s="188"/>
      <c r="DM261" s="451"/>
      <c r="DN261" s="451"/>
      <c r="DO261" s="451"/>
      <c r="DP261" s="452"/>
      <c r="DQ261" s="188"/>
      <c r="DR261" s="451"/>
      <c r="DS261" s="451"/>
      <c r="DT261" s="451"/>
      <c r="DU261" s="452"/>
      <c r="DV261" s="188"/>
      <c r="DW261" s="451"/>
      <c r="DX261" s="451"/>
      <c r="DY261" s="451"/>
      <c r="DZ261" s="452"/>
      <c r="EA261" s="188"/>
      <c r="EB261" s="451"/>
      <c r="EC261" s="451"/>
      <c r="ED261" s="451"/>
      <c r="EE261" s="452"/>
      <c r="EF261" s="188"/>
      <c r="EG261" s="451"/>
      <c r="EH261" s="451"/>
      <c r="EI261" s="451"/>
      <c r="EJ261" s="452"/>
      <c r="EK261" s="188"/>
      <c r="EL261" s="451"/>
      <c r="EM261" s="451"/>
      <c r="EN261" s="451"/>
      <c r="EO261" s="13"/>
      <c r="ER261" s="14"/>
      <c r="ES261" s="14"/>
    </row>
    <row r="262" spans="4:149" ht="12.75" customHeight="1" x14ac:dyDescent="0.2">
      <c r="D262" s="13" t="s">
        <v>404</v>
      </c>
      <c r="G262" s="451">
        <f>SUM(G263:G265)</f>
        <v>0</v>
      </c>
      <c r="H262" s="451"/>
      <c r="I262" s="451"/>
      <c r="J262" s="452"/>
      <c r="K262" s="451"/>
      <c r="L262" s="451">
        <f>SUM(L263:L265)</f>
        <v>0</v>
      </c>
      <c r="M262" s="451"/>
      <c r="N262" s="451"/>
      <c r="O262" s="452"/>
      <c r="P262" s="451"/>
      <c r="Q262" s="451">
        <f>SUM(Q263:Q265)</f>
        <v>0</v>
      </c>
      <c r="R262" s="451"/>
      <c r="S262" s="451"/>
      <c r="T262" s="452"/>
      <c r="U262" s="451"/>
      <c r="V262" s="451">
        <f>SUM(V263:V265)</f>
        <v>0</v>
      </c>
      <c r="W262" s="451"/>
      <c r="X262" s="451"/>
      <c r="Y262" s="452"/>
      <c r="Z262" s="451"/>
      <c r="AA262" s="451">
        <f>SUM(AA263:AA265)</f>
        <v>0</v>
      </c>
      <c r="AB262" s="451"/>
      <c r="AC262" s="451"/>
      <c r="AD262" s="452"/>
      <c r="AE262" s="451"/>
      <c r="AF262" s="451">
        <f>SUM(AF263:AF265)</f>
        <v>0</v>
      </c>
      <c r="AG262" s="451"/>
      <c r="AH262" s="451"/>
      <c r="AI262" s="452"/>
      <c r="AJ262" s="451"/>
      <c r="AK262" s="451">
        <f>SUM(AK263:AK265)</f>
        <v>0</v>
      </c>
      <c r="AL262" s="451"/>
      <c r="AM262" s="451"/>
      <c r="AN262" s="452"/>
      <c r="AO262" s="451"/>
      <c r="AP262" s="451">
        <f>SUM(AP263:AP265)</f>
        <v>0</v>
      </c>
      <c r="AQ262" s="451"/>
      <c r="AR262" s="451"/>
      <c r="AS262" s="452"/>
      <c r="AT262" s="451"/>
      <c r="AU262" s="451">
        <f>SUM(AU263:AU265)</f>
        <v>0</v>
      </c>
      <c r="AV262" s="451"/>
      <c r="AW262" s="451"/>
      <c r="AX262" s="452"/>
      <c r="AY262" s="451"/>
      <c r="AZ262" s="451">
        <f>SUM(AZ263:AZ265)</f>
        <v>0</v>
      </c>
      <c r="BA262" s="451"/>
      <c r="BB262" s="451"/>
      <c r="BC262" s="452"/>
      <c r="BD262" s="451"/>
      <c r="BE262" s="451">
        <f>SUM(BE263:BE265)</f>
        <v>0</v>
      </c>
      <c r="BF262" s="451"/>
      <c r="BG262" s="451"/>
      <c r="BH262" s="452"/>
      <c r="BI262" s="451"/>
      <c r="BJ262" s="451">
        <f>SUM(BJ263:BJ265)</f>
        <v>0</v>
      </c>
      <c r="BK262" s="451"/>
      <c r="BL262" s="451"/>
      <c r="BM262" s="452"/>
      <c r="BN262" s="451"/>
      <c r="BO262" s="451">
        <f>SUM(BO263:BO265)</f>
        <v>0</v>
      </c>
      <c r="BP262" s="451"/>
      <c r="BQ262" s="451"/>
      <c r="BR262" s="452"/>
      <c r="BS262" s="451"/>
      <c r="BT262" s="451">
        <f>SUM(BT263:BT265)</f>
        <v>0</v>
      </c>
      <c r="BU262" s="451"/>
      <c r="BV262" s="451"/>
      <c r="BW262" s="452"/>
      <c r="BX262" s="451"/>
      <c r="BY262" s="451">
        <f>SUM(BY263:BY265)</f>
        <v>284188</v>
      </c>
      <c r="BZ262" s="451"/>
      <c r="CA262" s="451"/>
      <c r="CB262" s="452"/>
      <c r="CC262" s="451"/>
      <c r="CD262" s="451">
        <f>SUM(CD263:CD265)</f>
        <v>0</v>
      </c>
      <c r="CE262" s="451"/>
      <c r="CF262" s="451"/>
      <c r="CG262" s="452"/>
      <c r="CH262" s="451"/>
      <c r="CI262" s="451">
        <f>SUM(CI263:CI265)</f>
        <v>284188</v>
      </c>
      <c r="CJ262" s="451"/>
      <c r="CK262" s="451"/>
      <c r="CL262" s="452"/>
      <c r="CM262" s="451"/>
      <c r="CN262" s="451">
        <f>SUM(CN263:CN265)</f>
        <v>0</v>
      </c>
      <c r="CO262" s="451"/>
      <c r="CP262" s="451"/>
      <c r="CQ262" s="452"/>
      <c r="CR262" s="451"/>
      <c r="CS262" s="451">
        <f>SUM(CS263:CS265)</f>
        <v>0</v>
      </c>
      <c r="CT262" s="451"/>
      <c r="CU262" s="451"/>
      <c r="CV262" s="452"/>
      <c r="CW262" s="451"/>
      <c r="CX262" s="451">
        <f>SUM(CX263:CX265)</f>
        <v>0</v>
      </c>
      <c r="CY262" s="451"/>
      <c r="CZ262" s="451"/>
      <c r="DA262" s="452"/>
      <c r="DB262" s="451"/>
      <c r="DC262" s="451">
        <f>SUM(DC263:DC265)</f>
        <v>0</v>
      </c>
      <c r="DD262" s="451"/>
      <c r="DE262" s="451"/>
      <c r="DF262" s="452"/>
      <c r="DG262" s="451"/>
      <c r="DH262" s="451">
        <f>SUM(DH263:DH265)</f>
        <v>0</v>
      </c>
      <c r="DI262" s="451"/>
      <c r="DJ262" s="451"/>
      <c r="DK262" s="452"/>
      <c r="DL262" s="451"/>
      <c r="DM262" s="451">
        <f>SUM(DM263:DM265)</f>
        <v>0</v>
      </c>
      <c r="DN262" s="451"/>
      <c r="DO262" s="451"/>
      <c r="DP262" s="452"/>
      <c r="DQ262" s="451"/>
      <c r="DR262" s="451">
        <f>SUM(DR263:DR265)</f>
        <v>0</v>
      </c>
      <c r="DS262" s="451"/>
      <c r="DT262" s="451"/>
      <c r="DU262" s="452"/>
      <c r="DV262" s="451"/>
      <c r="DW262" s="451">
        <f>SUM(DW263:DW265)</f>
        <v>0</v>
      </c>
      <c r="DX262" s="451"/>
      <c r="DY262" s="451"/>
      <c r="DZ262" s="452"/>
      <c r="EA262" s="451"/>
      <c r="EB262" s="451">
        <f>SUM(EB263:EB265)</f>
        <v>0</v>
      </c>
      <c r="EC262" s="451"/>
      <c r="ED262" s="451"/>
      <c r="EE262" s="452"/>
      <c r="EF262" s="451"/>
      <c r="EG262" s="451">
        <f>SUM(EG263:EG265)</f>
        <v>0</v>
      </c>
      <c r="EH262" s="451"/>
      <c r="EI262" s="451"/>
      <c r="EJ262" s="452"/>
      <c r="EK262" s="451"/>
      <c r="EL262" s="451">
        <f>SUM(EL263:EL265)</f>
        <v>284188</v>
      </c>
      <c r="EM262" s="451"/>
      <c r="EN262" s="451"/>
      <c r="EO262" s="13"/>
      <c r="ER262" s="14"/>
      <c r="ES262" s="14"/>
    </row>
    <row r="263" spans="4:149" ht="12.75" customHeight="1" x14ac:dyDescent="0.2">
      <c r="D263" s="13" t="s">
        <v>347</v>
      </c>
      <c r="F263" s="374"/>
      <c r="G263" s="449">
        <v>0</v>
      </c>
      <c r="H263" s="450"/>
      <c r="I263" s="451"/>
      <c r="J263" s="452"/>
      <c r="K263" s="374"/>
      <c r="L263" s="449">
        <v>0</v>
      </c>
      <c r="M263" s="450"/>
      <c r="N263" s="451"/>
      <c r="O263" s="452"/>
      <c r="P263" s="374"/>
      <c r="Q263" s="449">
        <v>0</v>
      </c>
      <c r="R263" s="450"/>
      <c r="S263" s="451"/>
      <c r="T263" s="452"/>
      <c r="U263" s="374"/>
      <c r="V263" s="449">
        <v>0</v>
      </c>
      <c r="W263" s="450"/>
      <c r="X263" s="451"/>
      <c r="Y263" s="452"/>
      <c r="Z263" s="374"/>
      <c r="AA263" s="449">
        <v>0</v>
      </c>
      <c r="AB263" s="450"/>
      <c r="AC263" s="451"/>
      <c r="AD263" s="452"/>
      <c r="AE263" s="374"/>
      <c r="AF263" s="449">
        <v>0</v>
      </c>
      <c r="AG263" s="450"/>
      <c r="AH263" s="451"/>
      <c r="AI263" s="452"/>
      <c r="AJ263" s="374"/>
      <c r="AK263" s="449">
        <v>0</v>
      </c>
      <c r="AL263" s="450"/>
      <c r="AM263" s="451"/>
      <c r="AN263" s="452"/>
      <c r="AO263" s="374"/>
      <c r="AP263" s="449">
        <v>0</v>
      </c>
      <c r="AQ263" s="450"/>
      <c r="AR263" s="451"/>
      <c r="AS263" s="452"/>
      <c r="AT263" s="453"/>
      <c r="AU263" s="449">
        <v>0</v>
      </c>
      <c r="AV263" s="450"/>
      <c r="AW263" s="451"/>
      <c r="AX263" s="452"/>
      <c r="AY263" s="453"/>
      <c r="AZ263" s="449">
        <v>0</v>
      </c>
      <c r="BA263" s="450"/>
      <c r="BB263" s="451"/>
      <c r="BC263" s="452"/>
      <c r="BD263" s="453"/>
      <c r="BE263" s="449">
        <v>0</v>
      </c>
      <c r="BF263" s="450"/>
      <c r="BG263" s="451"/>
      <c r="BH263" s="452"/>
      <c r="BI263" s="453"/>
      <c r="BJ263" s="449">
        <v>0</v>
      </c>
      <c r="BK263" s="450"/>
      <c r="BL263" s="451"/>
      <c r="BM263" s="452"/>
      <c r="BN263" s="453"/>
      <c r="BO263" s="449">
        <v>0</v>
      </c>
      <c r="BP263" s="450"/>
      <c r="BQ263" s="451"/>
      <c r="BR263" s="452"/>
      <c r="BS263" s="453"/>
      <c r="BT263" s="449">
        <f>SUM(L263:BO263)</f>
        <v>0</v>
      </c>
      <c r="BU263" s="450"/>
      <c r="BV263" s="451"/>
      <c r="BW263" s="452"/>
      <c r="BX263" s="453"/>
      <c r="BY263" s="449">
        <v>261563</v>
      </c>
      <c r="BZ263" s="450"/>
      <c r="CA263" s="451"/>
      <c r="CB263" s="452"/>
      <c r="CC263" s="374"/>
      <c r="CD263" s="449">
        <v>0</v>
      </c>
      <c r="CE263" s="450"/>
      <c r="CF263" s="451"/>
      <c r="CG263" s="452"/>
      <c r="CH263" s="374"/>
      <c r="CI263" s="449">
        <f>284188-22625</f>
        <v>261563</v>
      </c>
      <c r="CJ263" s="450"/>
      <c r="CK263" s="451"/>
      <c r="CL263" s="452"/>
      <c r="CM263" s="374"/>
      <c r="CN263" s="449">
        <v>0</v>
      </c>
      <c r="CO263" s="450"/>
      <c r="CP263" s="451"/>
      <c r="CQ263" s="452"/>
      <c r="CR263" s="374"/>
      <c r="CS263" s="449">
        <v>0</v>
      </c>
      <c r="CT263" s="450"/>
      <c r="CU263" s="451"/>
      <c r="CV263" s="452"/>
      <c r="CW263" s="374"/>
      <c r="CX263" s="449">
        <v>0</v>
      </c>
      <c r="CY263" s="450"/>
      <c r="CZ263" s="451"/>
      <c r="DA263" s="452"/>
      <c r="DB263" s="374"/>
      <c r="DC263" s="449">
        <v>0</v>
      </c>
      <c r="DD263" s="450"/>
      <c r="DE263" s="451"/>
      <c r="DF263" s="452"/>
      <c r="DG263" s="374"/>
      <c r="DH263" s="449">
        <v>0</v>
      </c>
      <c r="DI263" s="450"/>
      <c r="DJ263" s="451"/>
      <c r="DK263" s="452"/>
      <c r="DL263" s="453"/>
      <c r="DM263" s="449">
        <v>0</v>
      </c>
      <c r="DN263" s="450"/>
      <c r="DO263" s="451"/>
      <c r="DP263" s="452"/>
      <c r="DQ263" s="453"/>
      <c r="DR263" s="449">
        <v>0</v>
      </c>
      <c r="DS263" s="450"/>
      <c r="DT263" s="451"/>
      <c r="DU263" s="452"/>
      <c r="DV263" s="453"/>
      <c r="DW263" s="449">
        <v>0</v>
      </c>
      <c r="DX263" s="450"/>
      <c r="DY263" s="451"/>
      <c r="DZ263" s="452"/>
      <c r="EA263" s="453"/>
      <c r="EB263" s="449">
        <v>0</v>
      </c>
      <c r="EC263" s="450"/>
      <c r="ED263" s="451"/>
      <c r="EE263" s="452"/>
      <c r="EF263" s="453"/>
      <c r="EG263" s="449">
        <v>0</v>
      </c>
      <c r="EH263" s="450"/>
      <c r="EI263" s="451"/>
      <c r="EJ263" s="452"/>
      <c r="EK263" s="453"/>
      <c r="EL263" s="449">
        <f>SUM(CD263:DW263)</f>
        <v>261563</v>
      </c>
      <c r="EM263" s="450"/>
      <c r="EN263" s="451"/>
      <c r="EO263" s="13"/>
      <c r="ER263" s="14"/>
      <c r="ES263" s="14"/>
    </row>
    <row r="264" spans="4:149" ht="12.75" customHeight="1" x14ac:dyDescent="0.2">
      <c r="D264" s="13" t="s">
        <v>349</v>
      </c>
      <c r="F264" s="198"/>
      <c r="G264" s="451">
        <v>0</v>
      </c>
      <c r="H264" s="455"/>
      <c r="I264" s="451"/>
      <c r="J264" s="452"/>
      <c r="K264" s="198"/>
      <c r="L264" s="451">
        <v>0</v>
      </c>
      <c r="M264" s="455"/>
      <c r="N264" s="451"/>
      <c r="O264" s="452"/>
      <c r="P264" s="198"/>
      <c r="Q264" s="451">
        <v>0</v>
      </c>
      <c r="R264" s="455"/>
      <c r="S264" s="451"/>
      <c r="T264" s="452"/>
      <c r="U264" s="198"/>
      <c r="V264" s="451">
        <v>0</v>
      </c>
      <c r="W264" s="455"/>
      <c r="X264" s="451"/>
      <c r="Y264" s="452"/>
      <c r="Z264" s="198"/>
      <c r="AA264" s="451">
        <v>0</v>
      </c>
      <c r="AB264" s="455"/>
      <c r="AC264" s="451"/>
      <c r="AD264" s="452"/>
      <c r="AE264" s="198"/>
      <c r="AF264" s="451">
        <v>0</v>
      </c>
      <c r="AG264" s="455"/>
      <c r="AH264" s="451"/>
      <c r="AI264" s="452"/>
      <c r="AJ264" s="198"/>
      <c r="AK264" s="451">
        <v>0</v>
      </c>
      <c r="AL264" s="455"/>
      <c r="AM264" s="451"/>
      <c r="AN264" s="452"/>
      <c r="AO264" s="198"/>
      <c r="AP264" s="451">
        <v>0</v>
      </c>
      <c r="AQ264" s="455"/>
      <c r="AR264" s="451"/>
      <c r="AS264" s="452"/>
      <c r="AT264" s="452"/>
      <c r="AU264" s="451">
        <v>0</v>
      </c>
      <c r="AV264" s="455"/>
      <c r="AW264" s="451"/>
      <c r="AX264" s="452"/>
      <c r="AY264" s="452"/>
      <c r="AZ264" s="451">
        <v>0</v>
      </c>
      <c r="BA264" s="455"/>
      <c r="BB264" s="451"/>
      <c r="BC264" s="452"/>
      <c r="BD264" s="452"/>
      <c r="BE264" s="451">
        <v>0</v>
      </c>
      <c r="BF264" s="455"/>
      <c r="BG264" s="451"/>
      <c r="BH264" s="452"/>
      <c r="BI264" s="452"/>
      <c r="BJ264" s="451">
        <v>0</v>
      </c>
      <c r="BK264" s="455"/>
      <c r="BL264" s="451"/>
      <c r="BM264" s="452"/>
      <c r="BN264" s="452"/>
      <c r="BO264" s="451">
        <v>0</v>
      </c>
      <c r="BP264" s="455"/>
      <c r="BQ264" s="451"/>
      <c r="BR264" s="452"/>
      <c r="BS264" s="452"/>
      <c r="BT264" s="451">
        <f>SUM(L264:BO264)</f>
        <v>0</v>
      </c>
      <c r="BU264" s="455"/>
      <c r="BV264" s="451"/>
      <c r="BW264" s="452"/>
      <c r="BX264" s="452"/>
      <c r="BY264" s="451">
        <v>22625</v>
      </c>
      <c r="BZ264" s="455"/>
      <c r="CA264" s="451"/>
      <c r="CB264" s="452"/>
      <c r="CC264" s="198"/>
      <c r="CD264" s="451">
        <v>0</v>
      </c>
      <c r="CE264" s="455"/>
      <c r="CF264" s="451"/>
      <c r="CG264" s="452"/>
      <c r="CH264" s="198"/>
      <c r="CI264" s="451">
        <v>22625</v>
      </c>
      <c r="CJ264" s="455"/>
      <c r="CK264" s="451"/>
      <c r="CL264" s="452"/>
      <c r="CM264" s="198"/>
      <c r="CN264" s="451">
        <v>0</v>
      </c>
      <c r="CO264" s="455"/>
      <c r="CP264" s="451"/>
      <c r="CQ264" s="452"/>
      <c r="CR264" s="198"/>
      <c r="CS264" s="451">
        <v>0</v>
      </c>
      <c r="CT264" s="455"/>
      <c r="CU264" s="451"/>
      <c r="CV264" s="452"/>
      <c r="CW264" s="198"/>
      <c r="CX264" s="451">
        <v>0</v>
      </c>
      <c r="CY264" s="455"/>
      <c r="CZ264" s="451"/>
      <c r="DA264" s="452"/>
      <c r="DB264" s="198"/>
      <c r="DC264" s="451">
        <v>0</v>
      </c>
      <c r="DD264" s="455"/>
      <c r="DE264" s="451"/>
      <c r="DF264" s="452"/>
      <c r="DG264" s="198"/>
      <c r="DH264" s="451">
        <v>0</v>
      </c>
      <c r="DI264" s="455"/>
      <c r="DJ264" s="451"/>
      <c r="DK264" s="452"/>
      <c r="DL264" s="452"/>
      <c r="DM264" s="451">
        <v>0</v>
      </c>
      <c r="DN264" s="455"/>
      <c r="DO264" s="451"/>
      <c r="DP264" s="452"/>
      <c r="DQ264" s="452"/>
      <c r="DR264" s="451">
        <v>0</v>
      </c>
      <c r="DS264" s="455"/>
      <c r="DT264" s="451"/>
      <c r="DU264" s="452"/>
      <c r="DV264" s="452"/>
      <c r="DW264" s="451">
        <v>0</v>
      </c>
      <c r="DX264" s="455"/>
      <c r="DY264" s="451"/>
      <c r="DZ264" s="452"/>
      <c r="EA264" s="452"/>
      <c r="EB264" s="451">
        <v>0</v>
      </c>
      <c r="EC264" s="455"/>
      <c r="ED264" s="451"/>
      <c r="EE264" s="452"/>
      <c r="EF264" s="452"/>
      <c r="EG264" s="451">
        <v>0</v>
      </c>
      <c r="EH264" s="455"/>
      <c r="EI264" s="451"/>
      <c r="EJ264" s="452"/>
      <c r="EK264" s="452"/>
      <c r="EL264" s="451">
        <f>SUM(CD264:DW264)</f>
        <v>22625</v>
      </c>
      <c r="EM264" s="455"/>
      <c r="EN264" s="451"/>
      <c r="EO264" s="13"/>
      <c r="ER264" s="14"/>
      <c r="ES264" s="14"/>
    </row>
    <row r="265" spans="4:149" ht="12.75" customHeight="1" x14ac:dyDescent="0.2">
      <c r="D265" s="13" t="s">
        <v>350</v>
      </c>
      <c r="F265" s="385"/>
      <c r="G265" s="463">
        <v>0</v>
      </c>
      <c r="H265" s="464"/>
      <c r="I265" s="451"/>
      <c r="J265" s="452"/>
      <c r="K265" s="385"/>
      <c r="L265" s="463">
        <v>0</v>
      </c>
      <c r="M265" s="464"/>
      <c r="N265" s="451"/>
      <c r="O265" s="452"/>
      <c r="P265" s="385"/>
      <c r="Q265" s="463">
        <v>0</v>
      </c>
      <c r="R265" s="464"/>
      <c r="S265" s="451"/>
      <c r="T265" s="452"/>
      <c r="U265" s="385"/>
      <c r="V265" s="463">
        <v>0</v>
      </c>
      <c r="W265" s="464"/>
      <c r="X265" s="451"/>
      <c r="Y265" s="452"/>
      <c r="Z265" s="385"/>
      <c r="AA265" s="463">
        <v>0</v>
      </c>
      <c r="AB265" s="464"/>
      <c r="AC265" s="451"/>
      <c r="AD265" s="452"/>
      <c r="AE265" s="385"/>
      <c r="AF265" s="463">
        <v>0</v>
      </c>
      <c r="AG265" s="464"/>
      <c r="AH265" s="451"/>
      <c r="AI265" s="452"/>
      <c r="AJ265" s="385"/>
      <c r="AK265" s="463">
        <v>0</v>
      </c>
      <c r="AL265" s="464"/>
      <c r="AM265" s="451"/>
      <c r="AN265" s="452"/>
      <c r="AO265" s="385"/>
      <c r="AP265" s="463">
        <v>0</v>
      </c>
      <c r="AQ265" s="464"/>
      <c r="AR265" s="451"/>
      <c r="AS265" s="452"/>
      <c r="AT265" s="465"/>
      <c r="AU265" s="463">
        <v>0</v>
      </c>
      <c r="AV265" s="464"/>
      <c r="AW265" s="451"/>
      <c r="AX265" s="452"/>
      <c r="AY265" s="465"/>
      <c r="AZ265" s="463">
        <v>0</v>
      </c>
      <c r="BA265" s="464"/>
      <c r="BB265" s="451"/>
      <c r="BC265" s="452"/>
      <c r="BD265" s="465"/>
      <c r="BE265" s="463">
        <v>0</v>
      </c>
      <c r="BF265" s="464"/>
      <c r="BG265" s="451"/>
      <c r="BH265" s="452"/>
      <c r="BI265" s="465"/>
      <c r="BJ265" s="463">
        <v>0</v>
      </c>
      <c r="BK265" s="464"/>
      <c r="BL265" s="451"/>
      <c r="BM265" s="452"/>
      <c r="BN265" s="465"/>
      <c r="BO265" s="463">
        <v>0</v>
      </c>
      <c r="BP265" s="464"/>
      <c r="BQ265" s="451"/>
      <c r="BR265" s="452"/>
      <c r="BS265" s="465"/>
      <c r="BT265" s="463">
        <f>SUM(L265:BO265)</f>
        <v>0</v>
      </c>
      <c r="BU265" s="464"/>
      <c r="BV265" s="451"/>
      <c r="BW265" s="452"/>
      <c r="BX265" s="465"/>
      <c r="BY265" s="463">
        <v>0</v>
      </c>
      <c r="BZ265" s="464"/>
      <c r="CA265" s="451"/>
      <c r="CB265" s="452"/>
      <c r="CC265" s="385"/>
      <c r="CD265" s="463">
        <v>0</v>
      </c>
      <c r="CE265" s="464"/>
      <c r="CF265" s="451"/>
      <c r="CG265" s="452"/>
      <c r="CH265" s="385"/>
      <c r="CI265" s="463">
        <v>0</v>
      </c>
      <c r="CJ265" s="464"/>
      <c r="CK265" s="451"/>
      <c r="CL265" s="452"/>
      <c r="CM265" s="385"/>
      <c r="CN265" s="463">
        <v>0</v>
      </c>
      <c r="CO265" s="464"/>
      <c r="CP265" s="451"/>
      <c r="CQ265" s="452"/>
      <c r="CR265" s="385"/>
      <c r="CS265" s="463">
        <v>0</v>
      </c>
      <c r="CT265" s="464"/>
      <c r="CU265" s="451"/>
      <c r="CV265" s="452"/>
      <c r="CW265" s="385"/>
      <c r="CX265" s="463">
        <v>0</v>
      </c>
      <c r="CY265" s="464"/>
      <c r="CZ265" s="451"/>
      <c r="DA265" s="452"/>
      <c r="DB265" s="385"/>
      <c r="DC265" s="463">
        <v>0</v>
      </c>
      <c r="DD265" s="464"/>
      <c r="DE265" s="451"/>
      <c r="DF265" s="452"/>
      <c r="DG265" s="385"/>
      <c r="DH265" s="463">
        <v>0</v>
      </c>
      <c r="DI265" s="464"/>
      <c r="DJ265" s="451"/>
      <c r="DK265" s="452"/>
      <c r="DL265" s="465"/>
      <c r="DM265" s="463">
        <v>0</v>
      </c>
      <c r="DN265" s="464"/>
      <c r="DO265" s="451"/>
      <c r="DP265" s="452"/>
      <c r="DQ265" s="465"/>
      <c r="DR265" s="463">
        <v>0</v>
      </c>
      <c r="DS265" s="464"/>
      <c r="DT265" s="451"/>
      <c r="DU265" s="452"/>
      <c r="DV265" s="465"/>
      <c r="DW265" s="463">
        <v>0</v>
      </c>
      <c r="DX265" s="464"/>
      <c r="DY265" s="451"/>
      <c r="DZ265" s="452"/>
      <c r="EA265" s="465"/>
      <c r="EB265" s="463">
        <v>0</v>
      </c>
      <c r="EC265" s="464"/>
      <c r="ED265" s="451"/>
      <c r="EE265" s="452"/>
      <c r="EF265" s="465"/>
      <c r="EG265" s="463">
        <v>0</v>
      </c>
      <c r="EH265" s="464"/>
      <c r="EI265" s="451"/>
      <c r="EJ265" s="452"/>
      <c r="EK265" s="465"/>
      <c r="EL265" s="463">
        <f>SUM(CD265:DW265)</f>
        <v>0</v>
      </c>
      <c r="EM265" s="464"/>
      <c r="EN265" s="451"/>
      <c r="EO265" s="13"/>
      <c r="ER265" s="14"/>
      <c r="ES265" s="14"/>
    </row>
    <row r="266" spans="4:149" ht="12.75" customHeight="1" x14ac:dyDescent="0.2">
      <c r="D266" s="13"/>
      <c r="G266" s="451"/>
      <c r="H266" s="451"/>
      <c r="I266" s="451"/>
      <c r="J266" s="452"/>
      <c r="L266" s="451"/>
      <c r="M266" s="451"/>
      <c r="N266" s="451"/>
      <c r="O266" s="452"/>
      <c r="Q266" s="451"/>
      <c r="R266" s="451"/>
      <c r="S266" s="451"/>
      <c r="T266" s="452"/>
      <c r="V266" s="451"/>
      <c r="W266" s="451"/>
      <c r="X266" s="451"/>
      <c r="Y266" s="452"/>
      <c r="AA266" s="451"/>
      <c r="AB266" s="451"/>
      <c r="AC266" s="451"/>
      <c r="AD266" s="452"/>
      <c r="AF266" s="451"/>
      <c r="AG266" s="451"/>
      <c r="AH266" s="451"/>
      <c r="AI266" s="452"/>
      <c r="AK266" s="451"/>
      <c r="AL266" s="451"/>
      <c r="AM266" s="451"/>
      <c r="AN266" s="452"/>
      <c r="AP266" s="451"/>
      <c r="AQ266" s="451"/>
      <c r="AR266" s="451"/>
      <c r="AS266" s="452"/>
      <c r="AT266" s="451"/>
      <c r="AU266" s="451"/>
      <c r="AV266" s="451"/>
      <c r="AW266" s="451"/>
      <c r="AX266" s="452"/>
      <c r="AY266" s="451"/>
      <c r="AZ266" s="451"/>
      <c r="BA266" s="451"/>
      <c r="BB266" s="451"/>
      <c r="BC266" s="452"/>
      <c r="BD266" s="451"/>
      <c r="BE266" s="451"/>
      <c r="BF266" s="451"/>
      <c r="BG266" s="451"/>
      <c r="BH266" s="452"/>
      <c r="BI266" s="451"/>
      <c r="BJ266" s="451"/>
      <c r="BK266" s="451"/>
      <c r="BL266" s="451"/>
      <c r="BM266" s="452"/>
      <c r="BN266" s="451"/>
      <c r="BO266" s="451"/>
      <c r="BP266" s="451"/>
      <c r="BQ266" s="451"/>
      <c r="BR266" s="452"/>
      <c r="BS266" s="451"/>
      <c r="BT266" s="451"/>
      <c r="BU266" s="451"/>
      <c r="BV266" s="451"/>
      <c r="BW266" s="452"/>
      <c r="BX266" s="451"/>
      <c r="BY266" s="451"/>
      <c r="BZ266" s="451"/>
      <c r="CA266" s="451"/>
      <c r="CB266" s="452"/>
      <c r="CD266" s="451"/>
      <c r="CE266" s="451"/>
      <c r="CF266" s="451"/>
      <c r="CG266" s="452"/>
      <c r="CI266" s="451"/>
      <c r="CJ266" s="451"/>
      <c r="CK266" s="451"/>
      <c r="CL266" s="452"/>
      <c r="CN266" s="451"/>
      <c r="CO266" s="451"/>
      <c r="CP266" s="451"/>
      <c r="CQ266" s="452"/>
      <c r="CS266" s="451"/>
      <c r="CT266" s="451"/>
      <c r="CU266" s="451"/>
      <c r="CV266" s="452"/>
      <c r="CX266" s="451"/>
      <c r="CY266" s="451"/>
      <c r="CZ266" s="451"/>
      <c r="DA266" s="452"/>
      <c r="DC266" s="451"/>
      <c r="DD266" s="451"/>
      <c r="DE266" s="451"/>
      <c r="DF266" s="452"/>
      <c r="DH266" s="451"/>
      <c r="DI266" s="451"/>
      <c r="DJ266" s="451"/>
      <c r="DK266" s="452"/>
      <c r="DL266" s="451"/>
      <c r="DM266" s="451"/>
      <c r="DN266" s="451"/>
      <c r="DO266" s="451"/>
      <c r="DP266" s="452"/>
      <c r="DQ266" s="451"/>
      <c r="DR266" s="451"/>
      <c r="DS266" s="451"/>
      <c r="DT266" s="451"/>
      <c r="DU266" s="452"/>
      <c r="DV266" s="451"/>
      <c r="DW266" s="451"/>
      <c r="DX266" s="451"/>
      <c r="DY266" s="451"/>
      <c r="DZ266" s="452"/>
      <c r="EA266" s="451"/>
      <c r="EB266" s="451"/>
      <c r="EC266" s="451"/>
      <c r="ED266" s="451"/>
      <c r="EE266" s="452"/>
      <c r="EF266" s="451"/>
      <c r="EG266" s="451"/>
      <c r="EH266" s="451"/>
      <c r="EI266" s="451"/>
      <c r="EJ266" s="452"/>
      <c r="EK266" s="451"/>
      <c r="EL266" s="451"/>
      <c r="EM266" s="451"/>
      <c r="EN266" s="451"/>
      <c r="EO266" s="13"/>
      <c r="ER266" s="14"/>
      <c r="ES266" s="14"/>
    </row>
    <row r="267" spans="4:149" ht="12.75" customHeight="1" x14ac:dyDescent="0.2">
      <c r="D267" s="13" t="s">
        <v>405</v>
      </c>
      <c r="E267" s="479"/>
      <c r="G267" s="451">
        <f>SUM(G268:G270)</f>
        <v>0</v>
      </c>
      <c r="H267" s="451"/>
      <c r="I267" s="451"/>
      <c r="J267" s="452"/>
      <c r="L267" s="451">
        <f>SUM(L268:L270)</f>
        <v>0</v>
      </c>
      <c r="M267" s="451"/>
      <c r="N267" s="451"/>
      <c r="O267" s="452"/>
      <c r="Q267" s="451">
        <f>SUM(Q268:Q270)</f>
        <v>0</v>
      </c>
      <c r="R267" s="451"/>
      <c r="S267" s="451"/>
      <c r="T267" s="452"/>
      <c r="V267" s="451">
        <f>SUM(V268:V270)</f>
        <v>0</v>
      </c>
      <c r="W267" s="451"/>
      <c r="X267" s="451"/>
      <c r="Y267" s="452"/>
      <c r="AA267" s="451">
        <f>SUM(AA268:AA270)</f>
        <v>0</v>
      </c>
      <c r="AB267" s="451"/>
      <c r="AC267" s="451"/>
      <c r="AD267" s="452"/>
      <c r="AF267" s="451">
        <f>SUM(AF268:AF270)</f>
        <v>0</v>
      </c>
      <c r="AG267" s="451"/>
      <c r="AH267" s="451"/>
      <c r="AI267" s="452"/>
      <c r="AK267" s="451">
        <f>SUM(AK268:AK270)</f>
        <v>0</v>
      </c>
      <c r="AL267" s="451"/>
      <c r="AM267" s="451"/>
      <c r="AN267" s="452"/>
      <c r="AP267" s="451">
        <f>SUM(AP268:AP270)</f>
        <v>0</v>
      </c>
      <c r="AQ267" s="451"/>
      <c r="AR267" s="451"/>
      <c r="AS267" s="452"/>
      <c r="AU267" s="451">
        <f>SUM(AU268:AU270)</f>
        <v>0</v>
      </c>
      <c r="AV267" s="451"/>
      <c r="AW267" s="451"/>
      <c r="AX267" s="452"/>
      <c r="AZ267" s="451">
        <f>SUM(AZ268:AZ270)</f>
        <v>0</v>
      </c>
      <c r="BA267" s="451"/>
      <c r="BB267" s="451"/>
      <c r="BC267" s="452"/>
      <c r="BE267" s="451">
        <f>SUM(BE268:BE270)</f>
        <v>0</v>
      </c>
      <c r="BF267" s="451"/>
      <c r="BG267" s="451"/>
      <c r="BH267" s="452"/>
      <c r="BJ267" s="451">
        <f>SUM(BJ268:BJ270)</f>
        <v>0</v>
      </c>
      <c r="BK267" s="451"/>
      <c r="BL267" s="451"/>
      <c r="BM267" s="452"/>
      <c r="BO267" s="451">
        <f>SUM(BO268:BO270)</f>
        <v>0</v>
      </c>
      <c r="BP267" s="451"/>
      <c r="BQ267" s="451"/>
      <c r="BR267" s="452"/>
      <c r="BT267" s="451">
        <f>SUM(BT268:BT270)</f>
        <v>0</v>
      </c>
      <c r="BU267" s="451"/>
      <c r="BV267" s="451"/>
      <c r="BW267" s="452"/>
      <c r="BY267" s="451">
        <f>SUM(BY268:BY270)</f>
        <v>1026241</v>
      </c>
      <c r="BZ267" s="451"/>
      <c r="CA267" s="451"/>
      <c r="CB267" s="452"/>
      <c r="CD267" s="451">
        <f>SUM(CD268:CD270)</f>
        <v>0</v>
      </c>
      <c r="CE267" s="451"/>
      <c r="CF267" s="451"/>
      <c r="CG267" s="452"/>
      <c r="CI267" s="451">
        <f>SUM(CI268:CI270)</f>
        <v>1026241</v>
      </c>
      <c r="CJ267" s="451"/>
      <c r="CK267" s="451"/>
      <c r="CL267" s="452"/>
      <c r="CN267" s="451">
        <f>SUM(CN268:CN270)</f>
        <v>0</v>
      </c>
      <c r="CO267" s="451"/>
      <c r="CP267" s="451"/>
      <c r="CQ267" s="452"/>
      <c r="CS267" s="451">
        <f>SUM(CS268:CS270)</f>
        <v>0</v>
      </c>
      <c r="CT267" s="451"/>
      <c r="CU267" s="451"/>
      <c r="CV267" s="452"/>
      <c r="CX267" s="451">
        <f>SUM(CX268:CX270)</f>
        <v>0</v>
      </c>
      <c r="CY267" s="451"/>
      <c r="CZ267" s="451"/>
      <c r="DA267" s="452"/>
      <c r="DC267" s="451">
        <f>SUM(DC268:DC270)</f>
        <v>0</v>
      </c>
      <c r="DD267" s="451"/>
      <c r="DE267" s="451"/>
      <c r="DF267" s="452"/>
      <c r="DH267" s="451">
        <f>SUM(DH268:DH270)</f>
        <v>0</v>
      </c>
      <c r="DI267" s="451"/>
      <c r="DJ267" s="451"/>
      <c r="DK267" s="452"/>
      <c r="DM267" s="451">
        <f>SUM(DM268:DM270)</f>
        <v>0</v>
      </c>
      <c r="DN267" s="451"/>
      <c r="DO267" s="451"/>
      <c r="DP267" s="452"/>
      <c r="DR267" s="451">
        <f>SUM(DR268:DR270)</f>
        <v>0</v>
      </c>
      <c r="DS267" s="451"/>
      <c r="DT267" s="451"/>
      <c r="DU267" s="452"/>
      <c r="DW267" s="451">
        <f>SUM(DW268:DW270)</f>
        <v>0</v>
      </c>
      <c r="DX267" s="451"/>
      <c r="DY267" s="451"/>
      <c r="DZ267" s="452"/>
      <c r="EB267" s="451">
        <f>SUM(EB268:EB270)</f>
        <v>0</v>
      </c>
      <c r="EC267" s="451"/>
      <c r="ED267" s="451"/>
      <c r="EE267" s="452"/>
      <c r="EG267" s="451">
        <f>SUM(EG268:EG270)</f>
        <v>0</v>
      </c>
      <c r="EH267" s="451"/>
      <c r="EI267" s="451"/>
      <c r="EJ267" s="452"/>
      <c r="EL267" s="451">
        <f>SUM(EL268:EL270)</f>
        <v>1026241</v>
      </c>
      <c r="EM267" s="451"/>
      <c r="EN267" s="451"/>
      <c r="EO267" s="13"/>
      <c r="ER267" s="14"/>
      <c r="ES267" s="14"/>
    </row>
    <row r="268" spans="4:149" ht="12.75" customHeight="1" x14ac:dyDescent="0.2">
      <c r="D268" s="13" t="s">
        <v>347</v>
      </c>
      <c r="E268" s="479"/>
      <c r="F268" s="374"/>
      <c r="G268" s="449">
        <v>0</v>
      </c>
      <c r="H268" s="450"/>
      <c r="I268" s="451"/>
      <c r="J268" s="452"/>
      <c r="K268" s="374"/>
      <c r="L268" s="449">
        <v>0</v>
      </c>
      <c r="M268" s="450"/>
      <c r="N268" s="451"/>
      <c r="O268" s="452"/>
      <c r="P268" s="374"/>
      <c r="Q268" s="449">
        <v>0</v>
      </c>
      <c r="R268" s="450"/>
      <c r="S268" s="451"/>
      <c r="T268" s="452"/>
      <c r="U268" s="374"/>
      <c r="V268" s="449">
        <v>0</v>
      </c>
      <c r="W268" s="450"/>
      <c r="X268" s="451"/>
      <c r="Y268" s="452"/>
      <c r="Z268" s="374"/>
      <c r="AA268" s="449">
        <v>0</v>
      </c>
      <c r="AB268" s="450"/>
      <c r="AC268" s="451"/>
      <c r="AD268" s="452"/>
      <c r="AE268" s="374"/>
      <c r="AF268" s="449">
        <v>0</v>
      </c>
      <c r="AG268" s="450"/>
      <c r="AH268" s="451"/>
      <c r="AI268" s="452"/>
      <c r="AJ268" s="374"/>
      <c r="AK268" s="449">
        <v>0</v>
      </c>
      <c r="AL268" s="450"/>
      <c r="AM268" s="451"/>
      <c r="AN268" s="452"/>
      <c r="AO268" s="374"/>
      <c r="AP268" s="449">
        <v>0</v>
      </c>
      <c r="AQ268" s="450"/>
      <c r="AR268" s="451"/>
      <c r="AS268" s="452"/>
      <c r="AT268" s="374"/>
      <c r="AU268" s="449">
        <v>0</v>
      </c>
      <c r="AV268" s="450"/>
      <c r="AW268" s="451"/>
      <c r="AX268" s="452"/>
      <c r="AY268" s="374"/>
      <c r="AZ268" s="449">
        <v>0</v>
      </c>
      <c r="BA268" s="450"/>
      <c r="BB268" s="451"/>
      <c r="BC268" s="452"/>
      <c r="BD268" s="374"/>
      <c r="BE268" s="449">
        <v>0</v>
      </c>
      <c r="BF268" s="450"/>
      <c r="BG268" s="451"/>
      <c r="BH268" s="452"/>
      <c r="BI268" s="374"/>
      <c r="BJ268" s="449">
        <v>0</v>
      </c>
      <c r="BK268" s="450"/>
      <c r="BL268" s="451"/>
      <c r="BM268" s="452"/>
      <c r="BN268" s="374"/>
      <c r="BO268" s="449">
        <v>0</v>
      </c>
      <c r="BP268" s="450"/>
      <c r="BQ268" s="451"/>
      <c r="BR268" s="452"/>
      <c r="BS268" s="374"/>
      <c r="BT268" s="449">
        <f>SUM(L268:BO268)</f>
        <v>0</v>
      </c>
      <c r="BU268" s="450"/>
      <c r="BV268" s="451"/>
      <c r="BW268" s="452"/>
      <c r="BX268" s="374"/>
      <c r="BY268" s="449">
        <v>938161</v>
      </c>
      <c r="BZ268" s="450"/>
      <c r="CA268" s="451"/>
      <c r="CB268" s="452"/>
      <c r="CC268" s="374"/>
      <c r="CD268" s="449">
        <v>0</v>
      </c>
      <c r="CE268" s="450"/>
      <c r="CF268" s="451"/>
      <c r="CG268" s="452"/>
      <c r="CH268" s="374"/>
      <c r="CI268" s="449">
        <f>1026241-88080</f>
        <v>938161</v>
      </c>
      <c r="CJ268" s="450"/>
      <c r="CK268" s="451"/>
      <c r="CL268" s="452"/>
      <c r="CM268" s="374"/>
      <c r="CN268" s="449">
        <v>0</v>
      </c>
      <c r="CO268" s="450"/>
      <c r="CP268" s="451"/>
      <c r="CQ268" s="452"/>
      <c r="CR268" s="374"/>
      <c r="CS268" s="449">
        <v>0</v>
      </c>
      <c r="CT268" s="450"/>
      <c r="CU268" s="451"/>
      <c r="CV268" s="452"/>
      <c r="CW268" s="374"/>
      <c r="CX268" s="449">
        <v>0</v>
      </c>
      <c r="CY268" s="450"/>
      <c r="CZ268" s="451"/>
      <c r="DA268" s="452"/>
      <c r="DB268" s="374"/>
      <c r="DC268" s="449">
        <v>0</v>
      </c>
      <c r="DD268" s="450"/>
      <c r="DE268" s="451"/>
      <c r="DF268" s="452"/>
      <c r="DG268" s="374"/>
      <c r="DH268" s="449">
        <v>0</v>
      </c>
      <c r="DI268" s="450"/>
      <c r="DJ268" s="451"/>
      <c r="DK268" s="452"/>
      <c r="DL268" s="374"/>
      <c r="DM268" s="449">
        <v>0</v>
      </c>
      <c r="DN268" s="450"/>
      <c r="DO268" s="451"/>
      <c r="DP268" s="452"/>
      <c r="DQ268" s="374"/>
      <c r="DR268" s="449">
        <v>0</v>
      </c>
      <c r="DS268" s="450"/>
      <c r="DT268" s="451"/>
      <c r="DU268" s="452"/>
      <c r="DV268" s="374"/>
      <c r="DW268" s="449">
        <v>0</v>
      </c>
      <c r="DX268" s="450"/>
      <c r="DY268" s="451"/>
      <c r="DZ268" s="452"/>
      <c r="EA268" s="374"/>
      <c r="EB268" s="449">
        <v>0</v>
      </c>
      <c r="EC268" s="450"/>
      <c r="ED268" s="451"/>
      <c r="EE268" s="452"/>
      <c r="EF268" s="374"/>
      <c r="EG268" s="449">
        <v>0</v>
      </c>
      <c r="EH268" s="450"/>
      <c r="EI268" s="451"/>
      <c r="EJ268" s="452"/>
      <c r="EK268" s="374"/>
      <c r="EL268" s="449">
        <f>SUM(CD268:DW268)</f>
        <v>938161</v>
      </c>
      <c r="EM268" s="450"/>
      <c r="EN268" s="451"/>
      <c r="EO268" s="13"/>
      <c r="ER268" s="14"/>
      <c r="ES268" s="14"/>
    </row>
    <row r="269" spans="4:149" ht="12.75" customHeight="1" x14ac:dyDescent="0.2">
      <c r="D269" s="13" t="s">
        <v>349</v>
      </c>
      <c r="E269" s="479"/>
      <c r="F269" s="198"/>
      <c r="G269" s="451">
        <v>0</v>
      </c>
      <c r="H269" s="455"/>
      <c r="I269" s="451"/>
      <c r="J269" s="452"/>
      <c r="K269" s="198"/>
      <c r="L269" s="451">
        <v>0</v>
      </c>
      <c r="M269" s="455"/>
      <c r="N269" s="451"/>
      <c r="O269" s="452"/>
      <c r="P269" s="198"/>
      <c r="Q269" s="451">
        <v>0</v>
      </c>
      <c r="R269" s="455"/>
      <c r="S269" s="451"/>
      <c r="T269" s="452"/>
      <c r="U269" s="198"/>
      <c r="V269" s="451">
        <v>0</v>
      </c>
      <c r="W269" s="455"/>
      <c r="X269" s="451"/>
      <c r="Y269" s="452"/>
      <c r="Z269" s="198"/>
      <c r="AA269" s="451">
        <v>0</v>
      </c>
      <c r="AB269" s="455"/>
      <c r="AC269" s="451"/>
      <c r="AD269" s="452"/>
      <c r="AE269" s="198"/>
      <c r="AF269" s="451">
        <v>0</v>
      </c>
      <c r="AG269" s="455"/>
      <c r="AH269" s="451"/>
      <c r="AI269" s="452"/>
      <c r="AJ269" s="198"/>
      <c r="AK269" s="451">
        <v>0</v>
      </c>
      <c r="AL269" s="455"/>
      <c r="AM269" s="451"/>
      <c r="AN269" s="452"/>
      <c r="AO269" s="198"/>
      <c r="AP269" s="451">
        <v>0</v>
      </c>
      <c r="AQ269" s="455"/>
      <c r="AR269" s="451"/>
      <c r="AS269" s="452"/>
      <c r="AT269" s="198"/>
      <c r="AU269" s="451">
        <v>0</v>
      </c>
      <c r="AV269" s="455"/>
      <c r="AW269" s="451"/>
      <c r="AX269" s="452"/>
      <c r="AY269" s="198"/>
      <c r="AZ269" s="451">
        <v>0</v>
      </c>
      <c r="BA269" s="455"/>
      <c r="BB269" s="451"/>
      <c r="BC269" s="452"/>
      <c r="BD269" s="198"/>
      <c r="BE269" s="451">
        <v>0</v>
      </c>
      <c r="BF269" s="455"/>
      <c r="BG269" s="451"/>
      <c r="BH269" s="452"/>
      <c r="BI269" s="198"/>
      <c r="BJ269" s="451">
        <v>0</v>
      </c>
      <c r="BK269" s="455"/>
      <c r="BL269" s="451"/>
      <c r="BM269" s="452"/>
      <c r="BN269" s="198"/>
      <c r="BO269" s="451">
        <v>0</v>
      </c>
      <c r="BP269" s="455"/>
      <c r="BQ269" s="451"/>
      <c r="BR269" s="452"/>
      <c r="BS269" s="198"/>
      <c r="BT269" s="451">
        <f>SUM(L269:BO269)</f>
        <v>0</v>
      </c>
      <c r="BU269" s="455"/>
      <c r="BV269" s="451"/>
      <c r="BW269" s="452"/>
      <c r="BX269" s="198"/>
      <c r="BY269" s="451">
        <v>88080</v>
      </c>
      <c r="BZ269" s="455"/>
      <c r="CA269" s="451"/>
      <c r="CB269" s="452"/>
      <c r="CC269" s="198"/>
      <c r="CD269" s="451">
        <v>0</v>
      </c>
      <c r="CE269" s="455"/>
      <c r="CF269" s="451"/>
      <c r="CG269" s="452"/>
      <c r="CH269" s="198"/>
      <c r="CI269" s="451">
        <v>88080</v>
      </c>
      <c r="CJ269" s="455"/>
      <c r="CK269" s="451"/>
      <c r="CL269" s="452"/>
      <c r="CM269" s="198"/>
      <c r="CN269" s="451">
        <v>0</v>
      </c>
      <c r="CO269" s="455"/>
      <c r="CP269" s="451"/>
      <c r="CQ269" s="452"/>
      <c r="CR269" s="198"/>
      <c r="CS269" s="451">
        <v>0</v>
      </c>
      <c r="CT269" s="455"/>
      <c r="CU269" s="451"/>
      <c r="CV269" s="452"/>
      <c r="CW269" s="198"/>
      <c r="CX269" s="451">
        <v>0</v>
      </c>
      <c r="CY269" s="455"/>
      <c r="CZ269" s="451"/>
      <c r="DA269" s="452"/>
      <c r="DB269" s="198"/>
      <c r="DC269" s="451">
        <v>0</v>
      </c>
      <c r="DD269" s="455"/>
      <c r="DE269" s="451"/>
      <c r="DF269" s="452"/>
      <c r="DG269" s="198"/>
      <c r="DH269" s="451">
        <v>0</v>
      </c>
      <c r="DI269" s="455"/>
      <c r="DJ269" s="451"/>
      <c r="DK269" s="452"/>
      <c r="DL269" s="198"/>
      <c r="DM269" s="451">
        <v>0</v>
      </c>
      <c r="DN269" s="455"/>
      <c r="DO269" s="451"/>
      <c r="DP269" s="452"/>
      <c r="DQ269" s="198"/>
      <c r="DR269" s="451">
        <v>0</v>
      </c>
      <c r="DS269" s="455"/>
      <c r="DT269" s="451"/>
      <c r="DU269" s="452"/>
      <c r="DV269" s="198"/>
      <c r="DW269" s="451">
        <v>0</v>
      </c>
      <c r="DX269" s="455"/>
      <c r="DY269" s="451"/>
      <c r="DZ269" s="452"/>
      <c r="EA269" s="198"/>
      <c r="EB269" s="451">
        <v>0</v>
      </c>
      <c r="EC269" s="455"/>
      <c r="ED269" s="451"/>
      <c r="EE269" s="452"/>
      <c r="EF269" s="198"/>
      <c r="EG269" s="451">
        <v>0</v>
      </c>
      <c r="EH269" s="455"/>
      <c r="EI269" s="451"/>
      <c r="EJ269" s="452"/>
      <c r="EK269" s="198"/>
      <c r="EL269" s="451">
        <f>SUM(CD269:DW269)</f>
        <v>88080</v>
      </c>
      <c r="EM269" s="455"/>
      <c r="EN269" s="451"/>
      <c r="EO269" s="13"/>
      <c r="ER269" s="14"/>
      <c r="ES269" s="14"/>
    </row>
    <row r="270" spans="4:149" ht="12.75" customHeight="1" x14ac:dyDescent="0.2">
      <c r="D270" s="13" t="s">
        <v>350</v>
      </c>
      <c r="E270" s="479"/>
      <c r="F270" s="385"/>
      <c r="G270" s="463">
        <v>0</v>
      </c>
      <c r="H270" s="464"/>
      <c r="I270" s="451"/>
      <c r="J270" s="452"/>
      <c r="K270" s="385"/>
      <c r="L270" s="463">
        <v>0</v>
      </c>
      <c r="M270" s="464"/>
      <c r="N270" s="451"/>
      <c r="O270" s="452"/>
      <c r="P270" s="385"/>
      <c r="Q270" s="463">
        <v>0</v>
      </c>
      <c r="R270" s="464"/>
      <c r="S270" s="451"/>
      <c r="T270" s="452"/>
      <c r="U270" s="385"/>
      <c r="V270" s="463">
        <v>0</v>
      </c>
      <c r="W270" s="464"/>
      <c r="X270" s="451"/>
      <c r="Y270" s="452"/>
      <c r="Z270" s="385"/>
      <c r="AA270" s="463">
        <v>0</v>
      </c>
      <c r="AB270" s="464"/>
      <c r="AC270" s="451"/>
      <c r="AD270" s="452"/>
      <c r="AE270" s="385"/>
      <c r="AF270" s="463">
        <v>0</v>
      </c>
      <c r="AG270" s="464"/>
      <c r="AH270" s="451"/>
      <c r="AI270" s="452"/>
      <c r="AJ270" s="385"/>
      <c r="AK270" s="463">
        <v>0</v>
      </c>
      <c r="AL270" s="464"/>
      <c r="AM270" s="451"/>
      <c r="AN270" s="452"/>
      <c r="AO270" s="385"/>
      <c r="AP270" s="463">
        <v>0</v>
      </c>
      <c r="AQ270" s="464"/>
      <c r="AR270" s="451"/>
      <c r="AS270" s="452"/>
      <c r="AT270" s="385"/>
      <c r="AU270" s="463">
        <v>0</v>
      </c>
      <c r="AV270" s="464"/>
      <c r="AW270" s="451"/>
      <c r="AX270" s="452"/>
      <c r="AY270" s="385"/>
      <c r="AZ270" s="463">
        <v>0</v>
      </c>
      <c r="BA270" s="464"/>
      <c r="BB270" s="451"/>
      <c r="BC270" s="452"/>
      <c r="BD270" s="385"/>
      <c r="BE270" s="463">
        <v>0</v>
      </c>
      <c r="BF270" s="464"/>
      <c r="BG270" s="451"/>
      <c r="BH270" s="452"/>
      <c r="BI270" s="385"/>
      <c r="BJ270" s="463">
        <v>0</v>
      </c>
      <c r="BK270" s="464"/>
      <c r="BL270" s="451"/>
      <c r="BM270" s="452"/>
      <c r="BN270" s="385"/>
      <c r="BO270" s="463">
        <v>0</v>
      </c>
      <c r="BP270" s="464"/>
      <c r="BQ270" s="451"/>
      <c r="BR270" s="452"/>
      <c r="BS270" s="385"/>
      <c r="BT270" s="463">
        <f>SUM(L270:BO270)</f>
        <v>0</v>
      </c>
      <c r="BU270" s="464"/>
      <c r="BV270" s="451"/>
      <c r="BW270" s="452"/>
      <c r="BX270" s="385"/>
      <c r="BY270" s="463">
        <v>0</v>
      </c>
      <c r="BZ270" s="464"/>
      <c r="CA270" s="451"/>
      <c r="CB270" s="452"/>
      <c r="CC270" s="385"/>
      <c r="CD270" s="463">
        <v>0</v>
      </c>
      <c r="CE270" s="464"/>
      <c r="CF270" s="451"/>
      <c r="CG270" s="452"/>
      <c r="CH270" s="385"/>
      <c r="CI270" s="463">
        <v>0</v>
      </c>
      <c r="CJ270" s="464"/>
      <c r="CK270" s="451"/>
      <c r="CL270" s="452"/>
      <c r="CM270" s="385"/>
      <c r="CN270" s="463">
        <v>0</v>
      </c>
      <c r="CO270" s="464"/>
      <c r="CP270" s="451"/>
      <c r="CQ270" s="452"/>
      <c r="CR270" s="385"/>
      <c r="CS270" s="463">
        <v>0</v>
      </c>
      <c r="CT270" s="464"/>
      <c r="CU270" s="451"/>
      <c r="CV270" s="452"/>
      <c r="CW270" s="385"/>
      <c r="CX270" s="463">
        <v>0</v>
      </c>
      <c r="CY270" s="464"/>
      <c r="CZ270" s="451"/>
      <c r="DA270" s="452"/>
      <c r="DB270" s="385"/>
      <c r="DC270" s="463">
        <v>0</v>
      </c>
      <c r="DD270" s="464"/>
      <c r="DE270" s="451"/>
      <c r="DF270" s="452"/>
      <c r="DG270" s="385"/>
      <c r="DH270" s="463">
        <v>0</v>
      </c>
      <c r="DI270" s="464"/>
      <c r="DJ270" s="451"/>
      <c r="DK270" s="452"/>
      <c r="DL270" s="385"/>
      <c r="DM270" s="463">
        <v>0</v>
      </c>
      <c r="DN270" s="464"/>
      <c r="DO270" s="451"/>
      <c r="DP270" s="452"/>
      <c r="DQ270" s="385"/>
      <c r="DR270" s="463">
        <v>0</v>
      </c>
      <c r="DS270" s="464"/>
      <c r="DT270" s="451"/>
      <c r="DU270" s="452"/>
      <c r="DV270" s="385"/>
      <c r="DW270" s="463">
        <v>0</v>
      </c>
      <c r="DX270" s="464"/>
      <c r="DY270" s="451"/>
      <c r="DZ270" s="452"/>
      <c r="EA270" s="385"/>
      <c r="EB270" s="463">
        <v>0</v>
      </c>
      <c r="EC270" s="464"/>
      <c r="ED270" s="451"/>
      <c r="EE270" s="452"/>
      <c r="EF270" s="385"/>
      <c r="EG270" s="463">
        <v>0</v>
      </c>
      <c r="EH270" s="464"/>
      <c r="EI270" s="451"/>
      <c r="EJ270" s="452"/>
      <c r="EK270" s="385"/>
      <c r="EL270" s="463">
        <f>SUM(CD270:DW270)</f>
        <v>0</v>
      </c>
      <c r="EM270" s="464"/>
      <c r="EN270" s="451"/>
      <c r="EO270" s="13"/>
      <c r="ER270" s="14"/>
      <c r="ES270" s="14"/>
    </row>
    <row r="271" spans="4:149" ht="12.75" customHeight="1" x14ac:dyDescent="0.2">
      <c r="D271" s="13"/>
      <c r="E271" s="479"/>
      <c r="G271" s="451"/>
      <c r="H271" s="451"/>
      <c r="I271" s="451"/>
      <c r="J271" s="452"/>
      <c r="L271" s="451"/>
      <c r="M271" s="451"/>
      <c r="N271" s="451"/>
      <c r="O271" s="452"/>
      <c r="Q271" s="451"/>
      <c r="R271" s="451"/>
      <c r="S271" s="451"/>
      <c r="T271" s="452"/>
      <c r="V271" s="451"/>
      <c r="W271" s="451"/>
      <c r="X271" s="451"/>
      <c r="Y271" s="452"/>
      <c r="AA271" s="451"/>
      <c r="AB271" s="451"/>
      <c r="AC271" s="451"/>
      <c r="AD271" s="452"/>
      <c r="AF271" s="451"/>
      <c r="AG271" s="451"/>
      <c r="AH271" s="451"/>
      <c r="AI271" s="452"/>
      <c r="AK271" s="451"/>
      <c r="AL271" s="451"/>
      <c r="AM271" s="451"/>
      <c r="AN271" s="452"/>
      <c r="AP271" s="451"/>
      <c r="AQ271" s="451"/>
      <c r="AR271" s="451"/>
      <c r="AS271" s="452"/>
      <c r="AU271" s="451"/>
      <c r="AV271" s="451"/>
      <c r="AW271" s="451"/>
      <c r="AX271" s="452"/>
      <c r="AZ271" s="451"/>
      <c r="BA271" s="451"/>
      <c r="BB271" s="451"/>
      <c r="BC271" s="452"/>
      <c r="BE271" s="451"/>
      <c r="BF271" s="451"/>
      <c r="BG271" s="451"/>
      <c r="BH271" s="452"/>
      <c r="BJ271" s="451"/>
      <c r="BK271" s="451"/>
      <c r="BL271" s="451"/>
      <c r="BM271" s="452"/>
      <c r="BO271" s="451"/>
      <c r="BP271" s="451"/>
      <c r="BQ271" s="451"/>
      <c r="BR271" s="452"/>
      <c r="BT271" s="451"/>
      <c r="BU271" s="451"/>
      <c r="BV271" s="451"/>
      <c r="BW271" s="452"/>
      <c r="BY271" s="451"/>
      <c r="BZ271" s="451"/>
      <c r="CA271" s="451"/>
      <c r="CB271" s="452"/>
      <c r="CD271" s="451"/>
      <c r="CE271" s="451"/>
      <c r="CF271" s="451"/>
      <c r="CG271" s="452"/>
      <c r="CI271" s="451"/>
      <c r="CJ271" s="451"/>
      <c r="CK271" s="451"/>
      <c r="CL271" s="452"/>
      <c r="CN271" s="451"/>
      <c r="CO271" s="451"/>
      <c r="CP271" s="451"/>
      <c r="CQ271" s="452"/>
      <c r="CS271" s="451"/>
      <c r="CT271" s="451"/>
      <c r="CU271" s="451"/>
      <c r="CV271" s="452"/>
      <c r="CX271" s="451"/>
      <c r="CY271" s="451"/>
      <c r="CZ271" s="451"/>
      <c r="DA271" s="452"/>
      <c r="DC271" s="451"/>
      <c r="DD271" s="451"/>
      <c r="DE271" s="451"/>
      <c r="DF271" s="452"/>
      <c r="DH271" s="451"/>
      <c r="DI271" s="451"/>
      <c r="DJ271" s="451"/>
      <c r="DK271" s="452"/>
      <c r="DM271" s="451"/>
      <c r="DN271" s="451"/>
      <c r="DO271" s="451"/>
      <c r="DP271" s="452"/>
      <c r="DR271" s="451"/>
      <c r="DS271" s="451"/>
      <c r="DT271" s="451"/>
      <c r="DU271" s="452"/>
      <c r="DW271" s="451"/>
      <c r="DX271" s="451"/>
      <c r="DY271" s="451"/>
      <c r="DZ271" s="452"/>
      <c r="EB271" s="451"/>
      <c r="EC271" s="451"/>
      <c r="ED271" s="451"/>
      <c r="EE271" s="452"/>
      <c r="EG271" s="451"/>
      <c r="EH271" s="451"/>
      <c r="EI271" s="451"/>
      <c r="EJ271" s="452"/>
      <c r="EL271" s="451"/>
      <c r="EM271" s="451"/>
      <c r="EN271" s="451"/>
      <c r="EO271" s="13"/>
      <c r="ER271" s="14"/>
      <c r="ES271" s="14"/>
    </row>
    <row r="272" spans="4:149" ht="12.75" customHeight="1" x14ac:dyDescent="0.2">
      <c r="D272" s="13" t="s">
        <v>406</v>
      </c>
      <c r="G272" s="451">
        <f>SUM(G273:G275)</f>
        <v>0</v>
      </c>
      <c r="H272" s="451"/>
      <c r="I272" s="451"/>
      <c r="J272" s="452"/>
      <c r="K272" s="451"/>
      <c r="L272" s="451">
        <f>SUM(L273:L275)</f>
        <v>0</v>
      </c>
      <c r="M272" s="451"/>
      <c r="N272" s="451"/>
      <c r="O272" s="452"/>
      <c r="P272" s="451"/>
      <c r="Q272" s="451">
        <f>SUM(Q273:Q275)</f>
        <v>0</v>
      </c>
      <c r="R272" s="451"/>
      <c r="S272" s="451"/>
      <c r="T272" s="452"/>
      <c r="U272" s="451"/>
      <c r="V272" s="451">
        <f>SUM(V273:V275)</f>
        <v>0</v>
      </c>
      <c r="W272" s="451"/>
      <c r="X272" s="451"/>
      <c r="Y272" s="452"/>
      <c r="Z272" s="451"/>
      <c r="AA272" s="451">
        <f>SUM(AA273:AA275)</f>
        <v>0</v>
      </c>
      <c r="AB272" s="451"/>
      <c r="AC272" s="451"/>
      <c r="AD272" s="452"/>
      <c r="AE272" s="451"/>
      <c r="AF272" s="451">
        <f>SUM(AF273:AF275)</f>
        <v>0</v>
      </c>
      <c r="AG272" s="451"/>
      <c r="AH272" s="451"/>
      <c r="AI272" s="452"/>
      <c r="AJ272" s="451"/>
      <c r="AK272" s="451">
        <f>SUM(AK273:AK275)</f>
        <v>0</v>
      </c>
      <c r="AL272" s="451"/>
      <c r="AM272" s="451"/>
      <c r="AN272" s="452"/>
      <c r="AO272" s="451"/>
      <c r="AP272" s="451">
        <f>SUM(AP273:AP275)</f>
        <v>0</v>
      </c>
      <c r="AQ272" s="451"/>
      <c r="AR272" s="451"/>
      <c r="AS272" s="452"/>
      <c r="AT272" s="451"/>
      <c r="AU272" s="451">
        <f>SUM(AU273:AU275)</f>
        <v>0</v>
      </c>
      <c r="AV272" s="451"/>
      <c r="AW272" s="451"/>
      <c r="AX272" s="452"/>
      <c r="AY272" s="451"/>
      <c r="AZ272" s="451">
        <f>SUM(AZ273:AZ275)</f>
        <v>0</v>
      </c>
      <c r="BA272" s="451"/>
      <c r="BB272" s="451"/>
      <c r="BC272" s="452"/>
      <c r="BD272" s="451"/>
      <c r="BE272" s="451">
        <f>SUM(BE273:BE275)</f>
        <v>0</v>
      </c>
      <c r="BF272" s="451"/>
      <c r="BG272" s="451"/>
      <c r="BH272" s="452"/>
      <c r="BI272" s="451"/>
      <c r="BJ272" s="451">
        <f>SUM(BJ273:BJ275)</f>
        <v>0</v>
      </c>
      <c r="BK272" s="451"/>
      <c r="BL272" s="451"/>
      <c r="BM272" s="452"/>
      <c r="BN272" s="451"/>
      <c r="BO272" s="451">
        <f>SUM(BO273:BO275)</f>
        <v>0</v>
      </c>
      <c r="BP272" s="451"/>
      <c r="BQ272" s="451"/>
      <c r="BR272" s="452"/>
      <c r="BS272" s="451"/>
      <c r="BT272" s="451">
        <f>SUM(BT273:BT275)</f>
        <v>0</v>
      </c>
      <c r="BU272" s="451"/>
      <c r="BV272" s="451"/>
      <c r="BW272" s="452"/>
      <c r="BX272" s="451"/>
      <c r="BY272" s="451">
        <f>SUM(BY273:BY275)</f>
        <v>2981219</v>
      </c>
      <c r="BZ272" s="451"/>
      <c r="CA272" s="451"/>
      <c r="CB272" s="452"/>
      <c r="CC272" s="451"/>
      <c r="CD272" s="451">
        <f>SUM(CD273:CD275)</f>
        <v>0</v>
      </c>
      <c r="CE272" s="451"/>
      <c r="CF272" s="451"/>
      <c r="CG272" s="452"/>
      <c r="CH272" s="451"/>
      <c r="CI272" s="451">
        <f>SUM(CI273:CI275)</f>
        <v>2981219</v>
      </c>
      <c r="CJ272" s="451"/>
      <c r="CK272" s="451"/>
      <c r="CL272" s="452"/>
      <c r="CM272" s="451"/>
      <c r="CN272" s="451">
        <f>SUM(CN273:CN275)</f>
        <v>0</v>
      </c>
      <c r="CO272" s="451"/>
      <c r="CP272" s="451"/>
      <c r="CQ272" s="452"/>
      <c r="CR272" s="451"/>
      <c r="CS272" s="451">
        <f>SUM(CS273:CS275)</f>
        <v>0</v>
      </c>
      <c r="CT272" s="451"/>
      <c r="CU272" s="451"/>
      <c r="CV272" s="452"/>
      <c r="CW272" s="451"/>
      <c r="CX272" s="451">
        <f>SUM(CX273:CX275)</f>
        <v>0</v>
      </c>
      <c r="CY272" s="451"/>
      <c r="CZ272" s="451"/>
      <c r="DA272" s="452"/>
      <c r="DB272" s="451"/>
      <c r="DC272" s="451">
        <f>SUM(DC273:DC275)</f>
        <v>0</v>
      </c>
      <c r="DD272" s="451"/>
      <c r="DE272" s="451"/>
      <c r="DF272" s="452"/>
      <c r="DG272" s="451"/>
      <c r="DH272" s="451">
        <f>SUM(DH273:DH275)</f>
        <v>0</v>
      </c>
      <c r="DI272" s="451"/>
      <c r="DJ272" s="451"/>
      <c r="DK272" s="452"/>
      <c r="DL272" s="451"/>
      <c r="DM272" s="451">
        <f>SUM(DM273:DM275)</f>
        <v>0</v>
      </c>
      <c r="DN272" s="451"/>
      <c r="DO272" s="451"/>
      <c r="DP272" s="452"/>
      <c r="DQ272" s="451"/>
      <c r="DR272" s="451">
        <f>SUM(DR273:DR275)</f>
        <v>0</v>
      </c>
      <c r="DS272" s="451"/>
      <c r="DT272" s="451"/>
      <c r="DU272" s="452"/>
      <c r="DV272" s="451"/>
      <c r="DW272" s="451">
        <f>SUM(DW273:DW275)</f>
        <v>0</v>
      </c>
      <c r="DX272" s="451"/>
      <c r="DY272" s="451"/>
      <c r="DZ272" s="452"/>
      <c r="EA272" s="451"/>
      <c r="EB272" s="451">
        <f>SUM(EB273:EB275)</f>
        <v>0</v>
      </c>
      <c r="EC272" s="451"/>
      <c r="ED272" s="451"/>
      <c r="EE272" s="452"/>
      <c r="EF272" s="451"/>
      <c r="EG272" s="451">
        <f>SUM(EG273:EG275)</f>
        <v>0</v>
      </c>
      <c r="EH272" s="451"/>
      <c r="EI272" s="451"/>
      <c r="EJ272" s="452"/>
      <c r="EK272" s="451"/>
      <c r="EL272" s="451">
        <f>SUM(EL273:EL275)</f>
        <v>2981219</v>
      </c>
      <c r="EM272" s="451"/>
      <c r="EN272" s="451"/>
      <c r="EO272" s="13"/>
      <c r="ER272" s="14"/>
      <c r="ES272" s="14"/>
    </row>
    <row r="273" spans="4:149" ht="12.75" customHeight="1" x14ac:dyDescent="0.2">
      <c r="D273" s="13" t="s">
        <v>347</v>
      </c>
      <c r="F273" s="374"/>
      <c r="G273" s="449">
        <v>0</v>
      </c>
      <c r="H273" s="450"/>
      <c r="I273" s="451"/>
      <c r="J273" s="452"/>
      <c r="K273" s="453"/>
      <c r="L273" s="449">
        <v>0</v>
      </c>
      <c r="M273" s="450"/>
      <c r="N273" s="451"/>
      <c r="O273" s="452"/>
      <c r="P273" s="453"/>
      <c r="Q273" s="449">
        <v>0</v>
      </c>
      <c r="R273" s="450"/>
      <c r="S273" s="451"/>
      <c r="T273" s="452"/>
      <c r="U273" s="453"/>
      <c r="V273" s="449">
        <v>0</v>
      </c>
      <c r="W273" s="450"/>
      <c r="X273" s="451"/>
      <c r="Y273" s="452"/>
      <c r="Z273" s="453"/>
      <c r="AA273" s="449">
        <v>0</v>
      </c>
      <c r="AB273" s="450"/>
      <c r="AC273" s="451"/>
      <c r="AD273" s="452"/>
      <c r="AE273" s="453"/>
      <c r="AF273" s="449">
        <v>0</v>
      </c>
      <c r="AG273" s="450"/>
      <c r="AH273" s="451"/>
      <c r="AI273" s="452"/>
      <c r="AJ273" s="453"/>
      <c r="AK273" s="449">
        <v>0</v>
      </c>
      <c r="AL273" s="450"/>
      <c r="AM273" s="451"/>
      <c r="AN273" s="452"/>
      <c r="AO273" s="453"/>
      <c r="AP273" s="449">
        <v>0</v>
      </c>
      <c r="AQ273" s="450"/>
      <c r="AR273" s="451"/>
      <c r="AS273" s="452"/>
      <c r="AT273" s="453"/>
      <c r="AU273" s="449">
        <v>0</v>
      </c>
      <c r="AV273" s="450"/>
      <c r="AW273" s="451"/>
      <c r="AX273" s="452"/>
      <c r="AY273" s="453"/>
      <c r="AZ273" s="449">
        <v>0</v>
      </c>
      <c r="BA273" s="450"/>
      <c r="BB273" s="451"/>
      <c r="BC273" s="452"/>
      <c r="BD273" s="453"/>
      <c r="BE273" s="449">
        <v>0</v>
      </c>
      <c r="BF273" s="450"/>
      <c r="BG273" s="451"/>
      <c r="BH273" s="452"/>
      <c r="BI273" s="453"/>
      <c r="BJ273" s="449">
        <v>0</v>
      </c>
      <c r="BK273" s="450"/>
      <c r="BL273" s="451"/>
      <c r="BM273" s="452"/>
      <c r="BN273" s="453"/>
      <c r="BO273" s="449">
        <v>0</v>
      </c>
      <c r="BP273" s="450"/>
      <c r="BQ273" s="451"/>
      <c r="BR273" s="452"/>
      <c r="BS273" s="453"/>
      <c r="BT273" s="449">
        <f>SUM(L273:BO273)</f>
        <v>0</v>
      </c>
      <c r="BU273" s="450"/>
      <c r="BV273" s="451"/>
      <c r="BW273" s="452"/>
      <c r="BX273" s="453"/>
      <c r="BY273" s="449">
        <v>2157480</v>
      </c>
      <c r="BZ273" s="450"/>
      <c r="CA273" s="451"/>
      <c r="CB273" s="452"/>
      <c r="CC273" s="453"/>
      <c r="CD273" s="449">
        <v>0</v>
      </c>
      <c r="CE273" s="450"/>
      <c r="CF273" s="451"/>
      <c r="CG273" s="452"/>
      <c r="CH273" s="453"/>
      <c r="CI273" s="449">
        <f>2981219-823739</f>
        <v>2157480</v>
      </c>
      <c r="CJ273" s="450"/>
      <c r="CK273" s="451"/>
      <c r="CL273" s="452"/>
      <c r="CM273" s="453"/>
      <c r="CN273" s="449">
        <v>0</v>
      </c>
      <c r="CO273" s="450"/>
      <c r="CP273" s="451"/>
      <c r="CQ273" s="452"/>
      <c r="CR273" s="453"/>
      <c r="CS273" s="449">
        <v>0</v>
      </c>
      <c r="CT273" s="450"/>
      <c r="CU273" s="451"/>
      <c r="CV273" s="452"/>
      <c r="CW273" s="453"/>
      <c r="CX273" s="449">
        <v>0</v>
      </c>
      <c r="CY273" s="450"/>
      <c r="CZ273" s="451"/>
      <c r="DA273" s="452"/>
      <c r="DB273" s="453"/>
      <c r="DC273" s="449">
        <v>0</v>
      </c>
      <c r="DD273" s="450"/>
      <c r="DE273" s="451"/>
      <c r="DF273" s="452"/>
      <c r="DG273" s="453"/>
      <c r="DH273" s="449">
        <v>0</v>
      </c>
      <c r="DI273" s="450"/>
      <c r="DJ273" s="451"/>
      <c r="DK273" s="452"/>
      <c r="DL273" s="453"/>
      <c r="DM273" s="449">
        <v>0</v>
      </c>
      <c r="DN273" s="450"/>
      <c r="DO273" s="451"/>
      <c r="DP273" s="452"/>
      <c r="DQ273" s="453"/>
      <c r="DR273" s="449">
        <v>0</v>
      </c>
      <c r="DS273" s="450"/>
      <c r="DT273" s="451"/>
      <c r="DU273" s="452"/>
      <c r="DV273" s="453"/>
      <c r="DW273" s="449">
        <v>0</v>
      </c>
      <c r="DX273" s="450"/>
      <c r="DY273" s="451"/>
      <c r="DZ273" s="452"/>
      <c r="EA273" s="453"/>
      <c r="EB273" s="449">
        <v>0</v>
      </c>
      <c r="EC273" s="450"/>
      <c r="ED273" s="451"/>
      <c r="EE273" s="452"/>
      <c r="EF273" s="453"/>
      <c r="EG273" s="449">
        <v>0</v>
      </c>
      <c r="EH273" s="450"/>
      <c r="EI273" s="451"/>
      <c r="EJ273" s="452"/>
      <c r="EK273" s="453"/>
      <c r="EL273" s="449">
        <f>SUM(CD273:DW273)</f>
        <v>2157480</v>
      </c>
      <c r="EM273" s="450"/>
      <c r="EN273" s="451"/>
      <c r="EO273" s="13"/>
      <c r="ER273" s="14"/>
      <c r="ES273" s="14"/>
    </row>
    <row r="274" spans="4:149" ht="12.75" customHeight="1" x14ac:dyDescent="0.2">
      <c r="D274" s="13" t="s">
        <v>349</v>
      </c>
      <c r="F274" s="198"/>
      <c r="G274" s="451">
        <v>0</v>
      </c>
      <c r="H274" s="455"/>
      <c r="I274" s="451"/>
      <c r="J274" s="452"/>
      <c r="K274" s="452"/>
      <c r="L274" s="451">
        <v>0</v>
      </c>
      <c r="M274" s="455"/>
      <c r="N274" s="451"/>
      <c r="O274" s="452"/>
      <c r="P274" s="452"/>
      <c r="Q274" s="451">
        <v>0</v>
      </c>
      <c r="R274" s="455"/>
      <c r="S274" s="451"/>
      <c r="T274" s="452"/>
      <c r="U274" s="452"/>
      <c r="V274" s="451">
        <v>0</v>
      </c>
      <c r="W274" s="455"/>
      <c r="X274" s="451"/>
      <c r="Y274" s="452"/>
      <c r="Z274" s="452"/>
      <c r="AA274" s="451">
        <v>0</v>
      </c>
      <c r="AB274" s="455"/>
      <c r="AC274" s="451"/>
      <c r="AD274" s="452"/>
      <c r="AE274" s="452"/>
      <c r="AF274" s="451">
        <v>0</v>
      </c>
      <c r="AG274" s="455"/>
      <c r="AH274" s="451"/>
      <c r="AI274" s="452"/>
      <c r="AJ274" s="452"/>
      <c r="AK274" s="451">
        <v>0</v>
      </c>
      <c r="AL274" s="455"/>
      <c r="AM274" s="451"/>
      <c r="AN274" s="452"/>
      <c r="AO274" s="452"/>
      <c r="AP274" s="451">
        <v>0</v>
      </c>
      <c r="AQ274" s="455"/>
      <c r="AR274" s="451"/>
      <c r="AS274" s="452"/>
      <c r="AT274" s="452"/>
      <c r="AU274" s="451">
        <v>0</v>
      </c>
      <c r="AV274" s="455"/>
      <c r="AW274" s="451"/>
      <c r="AX274" s="452"/>
      <c r="AY274" s="452"/>
      <c r="AZ274" s="451">
        <v>0</v>
      </c>
      <c r="BA274" s="455"/>
      <c r="BB274" s="451"/>
      <c r="BC274" s="452"/>
      <c r="BD274" s="452"/>
      <c r="BE274" s="451">
        <v>0</v>
      </c>
      <c r="BF274" s="455"/>
      <c r="BG274" s="451"/>
      <c r="BH274" s="452"/>
      <c r="BI274" s="452"/>
      <c r="BJ274" s="451">
        <v>0</v>
      </c>
      <c r="BK274" s="455"/>
      <c r="BL274" s="451"/>
      <c r="BM274" s="452"/>
      <c r="BN274" s="452"/>
      <c r="BO274" s="451">
        <v>0</v>
      </c>
      <c r="BP274" s="455"/>
      <c r="BQ274" s="451"/>
      <c r="BR274" s="452"/>
      <c r="BS274" s="452"/>
      <c r="BT274" s="451">
        <f>SUM(L274:BO274)</f>
        <v>0</v>
      </c>
      <c r="BU274" s="455"/>
      <c r="BV274" s="451"/>
      <c r="BW274" s="452"/>
      <c r="BX274" s="452"/>
      <c r="BY274" s="451">
        <v>823739</v>
      </c>
      <c r="BZ274" s="455"/>
      <c r="CA274" s="451"/>
      <c r="CB274" s="452"/>
      <c r="CC274" s="452"/>
      <c r="CD274" s="451">
        <v>0</v>
      </c>
      <c r="CE274" s="455"/>
      <c r="CF274" s="451"/>
      <c r="CG274" s="452"/>
      <c r="CH274" s="452"/>
      <c r="CI274" s="451">
        <v>823739</v>
      </c>
      <c r="CJ274" s="455"/>
      <c r="CK274" s="451"/>
      <c r="CL274" s="452"/>
      <c r="CM274" s="452"/>
      <c r="CN274" s="451">
        <v>0</v>
      </c>
      <c r="CO274" s="455"/>
      <c r="CP274" s="451"/>
      <c r="CQ274" s="452"/>
      <c r="CR274" s="452"/>
      <c r="CS274" s="451">
        <v>0</v>
      </c>
      <c r="CT274" s="455"/>
      <c r="CU274" s="451"/>
      <c r="CV274" s="452"/>
      <c r="CW274" s="452"/>
      <c r="CX274" s="451">
        <v>0</v>
      </c>
      <c r="CY274" s="455"/>
      <c r="CZ274" s="451"/>
      <c r="DA274" s="452"/>
      <c r="DB274" s="452"/>
      <c r="DC274" s="451">
        <v>0</v>
      </c>
      <c r="DD274" s="455"/>
      <c r="DE274" s="451"/>
      <c r="DF274" s="452"/>
      <c r="DG274" s="452"/>
      <c r="DH274" s="451">
        <v>0</v>
      </c>
      <c r="DI274" s="455"/>
      <c r="DJ274" s="451"/>
      <c r="DK274" s="452"/>
      <c r="DL274" s="452"/>
      <c r="DM274" s="451">
        <v>0</v>
      </c>
      <c r="DN274" s="455"/>
      <c r="DO274" s="451"/>
      <c r="DP274" s="452"/>
      <c r="DQ274" s="452"/>
      <c r="DR274" s="451">
        <v>0</v>
      </c>
      <c r="DS274" s="455"/>
      <c r="DT274" s="451"/>
      <c r="DU274" s="452"/>
      <c r="DV274" s="452"/>
      <c r="DW274" s="451">
        <v>0</v>
      </c>
      <c r="DX274" s="455"/>
      <c r="DY274" s="451"/>
      <c r="DZ274" s="452"/>
      <c r="EA274" s="452"/>
      <c r="EB274" s="451">
        <v>0</v>
      </c>
      <c r="EC274" s="455"/>
      <c r="ED274" s="451"/>
      <c r="EE274" s="452"/>
      <c r="EF274" s="452"/>
      <c r="EG274" s="451">
        <v>0</v>
      </c>
      <c r="EH274" s="455"/>
      <c r="EI274" s="451"/>
      <c r="EJ274" s="452"/>
      <c r="EK274" s="452"/>
      <c r="EL274" s="451">
        <f>SUM(CD274:DW274)</f>
        <v>823739</v>
      </c>
      <c r="EM274" s="455"/>
      <c r="EN274" s="451"/>
      <c r="EO274" s="13"/>
      <c r="ER274" s="14"/>
      <c r="ES274" s="14"/>
    </row>
    <row r="275" spans="4:149" ht="12.75" customHeight="1" x14ac:dyDescent="0.2">
      <c r="D275" s="13" t="s">
        <v>350</v>
      </c>
      <c r="F275" s="385"/>
      <c r="G275" s="463">
        <v>0</v>
      </c>
      <c r="H275" s="464"/>
      <c r="I275" s="451"/>
      <c r="J275" s="452"/>
      <c r="K275" s="465"/>
      <c r="L275" s="463">
        <v>0</v>
      </c>
      <c r="M275" s="464"/>
      <c r="N275" s="451"/>
      <c r="O275" s="452"/>
      <c r="P275" s="465"/>
      <c r="Q275" s="463">
        <v>0</v>
      </c>
      <c r="R275" s="464"/>
      <c r="S275" s="451"/>
      <c r="T275" s="452"/>
      <c r="U275" s="465"/>
      <c r="V275" s="463">
        <v>0</v>
      </c>
      <c r="W275" s="464"/>
      <c r="X275" s="451"/>
      <c r="Y275" s="452"/>
      <c r="Z275" s="465"/>
      <c r="AA275" s="463">
        <v>0</v>
      </c>
      <c r="AB275" s="464"/>
      <c r="AC275" s="451"/>
      <c r="AD275" s="452"/>
      <c r="AE275" s="465"/>
      <c r="AF275" s="463">
        <v>0</v>
      </c>
      <c r="AG275" s="464"/>
      <c r="AH275" s="451"/>
      <c r="AI275" s="452"/>
      <c r="AJ275" s="465"/>
      <c r="AK275" s="463">
        <v>0</v>
      </c>
      <c r="AL275" s="464"/>
      <c r="AM275" s="451"/>
      <c r="AN275" s="452"/>
      <c r="AO275" s="465"/>
      <c r="AP275" s="463">
        <v>0</v>
      </c>
      <c r="AQ275" s="464"/>
      <c r="AR275" s="451"/>
      <c r="AS275" s="452"/>
      <c r="AT275" s="465"/>
      <c r="AU275" s="463">
        <v>0</v>
      </c>
      <c r="AV275" s="464"/>
      <c r="AW275" s="451"/>
      <c r="AX275" s="452"/>
      <c r="AY275" s="465"/>
      <c r="AZ275" s="463">
        <v>0</v>
      </c>
      <c r="BA275" s="464"/>
      <c r="BB275" s="451"/>
      <c r="BC275" s="452"/>
      <c r="BD275" s="465"/>
      <c r="BE275" s="463">
        <v>0</v>
      </c>
      <c r="BF275" s="464"/>
      <c r="BG275" s="451"/>
      <c r="BH275" s="452"/>
      <c r="BI275" s="465"/>
      <c r="BJ275" s="463">
        <v>0</v>
      </c>
      <c r="BK275" s="464"/>
      <c r="BL275" s="451"/>
      <c r="BM275" s="452"/>
      <c r="BN275" s="465"/>
      <c r="BO275" s="463">
        <v>0</v>
      </c>
      <c r="BP275" s="464"/>
      <c r="BQ275" s="451"/>
      <c r="BR275" s="452"/>
      <c r="BS275" s="465"/>
      <c r="BT275" s="463">
        <f>SUM(L275:BO275)</f>
        <v>0</v>
      </c>
      <c r="BU275" s="464"/>
      <c r="BV275" s="451"/>
      <c r="BW275" s="452"/>
      <c r="BX275" s="465"/>
      <c r="BY275" s="463">
        <v>0</v>
      </c>
      <c r="BZ275" s="464"/>
      <c r="CA275" s="451"/>
      <c r="CB275" s="452"/>
      <c r="CC275" s="465"/>
      <c r="CD275" s="463">
        <v>0</v>
      </c>
      <c r="CE275" s="464"/>
      <c r="CF275" s="451"/>
      <c r="CG275" s="452"/>
      <c r="CH275" s="465"/>
      <c r="CI275" s="463">
        <v>0</v>
      </c>
      <c r="CJ275" s="464"/>
      <c r="CK275" s="451"/>
      <c r="CL275" s="452"/>
      <c r="CM275" s="465"/>
      <c r="CN275" s="463">
        <v>0</v>
      </c>
      <c r="CO275" s="464"/>
      <c r="CP275" s="451"/>
      <c r="CQ275" s="452"/>
      <c r="CR275" s="465"/>
      <c r="CS275" s="463">
        <v>0</v>
      </c>
      <c r="CT275" s="464"/>
      <c r="CU275" s="451"/>
      <c r="CV275" s="452"/>
      <c r="CW275" s="465"/>
      <c r="CX275" s="463">
        <v>0</v>
      </c>
      <c r="CY275" s="464"/>
      <c r="CZ275" s="451"/>
      <c r="DA275" s="452"/>
      <c r="DB275" s="465"/>
      <c r="DC275" s="463">
        <v>0</v>
      </c>
      <c r="DD275" s="464"/>
      <c r="DE275" s="451"/>
      <c r="DF275" s="452"/>
      <c r="DG275" s="465"/>
      <c r="DH275" s="463">
        <v>0</v>
      </c>
      <c r="DI275" s="464"/>
      <c r="DJ275" s="451"/>
      <c r="DK275" s="452"/>
      <c r="DL275" s="465"/>
      <c r="DM275" s="463">
        <v>0</v>
      </c>
      <c r="DN275" s="464"/>
      <c r="DO275" s="451"/>
      <c r="DP275" s="452"/>
      <c r="DQ275" s="465"/>
      <c r="DR275" s="463">
        <v>0</v>
      </c>
      <c r="DS275" s="464"/>
      <c r="DT275" s="451"/>
      <c r="DU275" s="452"/>
      <c r="DV275" s="465"/>
      <c r="DW275" s="463">
        <v>0</v>
      </c>
      <c r="DX275" s="464"/>
      <c r="DY275" s="451"/>
      <c r="DZ275" s="452"/>
      <c r="EA275" s="465"/>
      <c r="EB275" s="463">
        <v>0</v>
      </c>
      <c r="EC275" s="464"/>
      <c r="ED275" s="451"/>
      <c r="EE275" s="452"/>
      <c r="EF275" s="465"/>
      <c r="EG275" s="463">
        <v>0</v>
      </c>
      <c r="EH275" s="464"/>
      <c r="EI275" s="451"/>
      <c r="EJ275" s="452"/>
      <c r="EK275" s="465"/>
      <c r="EL275" s="463">
        <f>SUM(CD275:DW275)</f>
        <v>0</v>
      </c>
      <c r="EM275" s="464"/>
      <c r="EN275" s="451"/>
      <c r="EO275" s="13"/>
      <c r="ER275" s="14"/>
      <c r="ES275" s="14"/>
    </row>
    <row r="276" spans="4:149" x14ac:dyDescent="0.2">
      <c r="D276" s="13"/>
      <c r="E276" s="479"/>
      <c r="G276" s="451"/>
      <c r="H276" s="451"/>
      <c r="I276" s="451"/>
      <c r="J276" s="452"/>
      <c r="L276" s="451"/>
      <c r="M276" s="451"/>
      <c r="N276" s="451"/>
      <c r="O276" s="452"/>
      <c r="Q276" s="451"/>
      <c r="R276" s="451"/>
      <c r="S276" s="451"/>
      <c r="T276" s="452"/>
      <c r="V276" s="451"/>
      <c r="W276" s="451"/>
      <c r="X276" s="451"/>
      <c r="Y276" s="452"/>
      <c r="AA276" s="451"/>
      <c r="AB276" s="451"/>
      <c r="AC276" s="451"/>
      <c r="AD276" s="452"/>
      <c r="AF276" s="451"/>
      <c r="AG276" s="451"/>
      <c r="AH276" s="451"/>
      <c r="AI276" s="452"/>
      <c r="AK276" s="451"/>
      <c r="AL276" s="451"/>
      <c r="AM276" s="451"/>
      <c r="AN276" s="452"/>
      <c r="AP276" s="451"/>
      <c r="AQ276" s="451"/>
      <c r="AR276" s="451"/>
      <c r="AS276" s="452"/>
      <c r="AU276" s="451"/>
      <c r="AV276" s="451"/>
      <c r="AW276" s="451"/>
      <c r="AX276" s="452"/>
      <c r="AZ276" s="451"/>
      <c r="BA276" s="451"/>
      <c r="BB276" s="451"/>
      <c r="BC276" s="452"/>
      <c r="BE276" s="451"/>
      <c r="BF276" s="451"/>
      <c r="BG276" s="451"/>
      <c r="BH276" s="452"/>
      <c r="BJ276" s="451"/>
      <c r="BK276" s="451"/>
      <c r="BL276" s="451"/>
      <c r="BM276" s="452"/>
      <c r="BO276" s="451"/>
      <c r="BP276" s="451"/>
      <c r="BQ276" s="451"/>
      <c r="BR276" s="452"/>
      <c r="BT276" s="451"/>
      <c r="BU276" s="451"/>
      <c r="BV276" s="451"/>
      <c r="BW276" s="452"/>
      <c r="BY276" s="451"/>
      <c r="BZ276" s="451"/>
      <c r="CA276" s="451"/>
      <c r="CB276" s="452"/>
      <c r="CD276" s="451"/>
      <c r="CE276" s="451"/>
      <c r="CF276" s="451"/>
      <c r="CG276" s="452"/>
      <c r="CI276" s="451"/>
      <c r="CJ276" s="451"/>
      <c r="CK276" s="451"/>
      <c r="CL276" s="452"/>
      <c r="CN276" s="451"/>
      <c r="CO276" s="451"/>
      <c r="CP276" s="451"/>
      <c r="CQ276" s="452"/>
      <c r="CS276" s="451"/>
      <c r="CT276" s="451"/>
      <c r="CU276" s="451"/>
      <c r="CV276" s="452"/>
      <c r="CX276" s="451"/>
      <c r="CY276" s="451"/>
      <c r="CZ276" s="451"/>
      <c r="DA276" s="452"/>
      <c r="DC276" s="451"/>
      <c r="DD276" s="451"/>
      <c r="DE276" s="451"/>
      <c r="DF276" s="452"/>
      <c r="DH276" s="451"/>
      <c r="DI276" s="451"/>
      <c r="DJ276" s="451"/>
      <c r="DK276" s="452"/>
      <c r="DM276" s="451"/>
      <c r="DN276" s="451"/>
      <c r="DO276" s="451"/>
      <c r="DP276" s="452"/>
      <c r="DR276" s="451"/>
      <c r="DS276" s="451"/>
      <c r="DT276" s="451"/>
      <c r="DU276" s="452"/>
      <c r="DW276" s="451"/>
      <c r="DX276" s="451"/>
      <c r="DY276" s="451"/>
      <c r="DZ276" s="452"/>
      <c r="EB276" s="451"/>
      <c r="EC276" s="451"/>
      <c r="ED276" s="451"/>
      <c r="EE276" s="452"/>
      <c r="EG276" s="451"/>
      <c r="EH276" s="451"/>
      <c r="EI276" s="451"/>
      <c r="EJ276" s="452"/>
      <c r="EL276" s="451"/>
      <c r="EM276" s="451"/>
      <c r="EN276" s="451"/>
      <c r="EO276" s="13"/>
      <c r="ER276" s="14"/>
      <c r="ES276" s="14"/>
    </row>
    <row r="277" spans="4:149" s="14" customFormat="1" x14ac:dyDescent="0.2">
      <c r="D277" s="177" t="s">
        <v>340</v>
      </c>
      <c r="E277" s="484"/>
      <c r="F277" s="178"/>
      <c r="G277" s="446">
        <f>SUM(G278:G278)</f>
        <v>0</v>
      </c>
      <c r="H277" s="446"/>
      <c r="I277" s="446"/>
      <c r="J277" s="447"/>
      <c r="K277" s="446"/>
      <c r="L277" s="446">
        <f>SUM(L278:L278)</f>
        <v>487336</v>
      </c>
      <c r="M277" s="446"/>
      <c r="N277" s="446"/>
      <c r="O277" s="447"/>
      <c r="P277" s="446"/>
      <c r="Q277" s="446">
        <f>SUM(Q278:Q278)</f>
        <v>29682</v>
      </c>
      <c r="R277" s="446"/>
      <c r="S277" s="446"/>
      <c r="T277" s="447"/>
      <c r="U277" s="446"/>
      <c r="V277" s="446">
        <f>SUM(V278:V278)</f>
        <v>28489</v>
      </c>
      <c r="W277" s="446"/>
      <c r="X277" s="446"/>
      <c r="Y277" s="447"/>
      <c r="Z277" s="446"/>
      <c r="AA277" s="446">
        <f>SUM(AA278:AA278)</f>
        <v>0</v>
      </c>
      <c r="AB277" s="446"/>
      <c r="AC277" s="446"/>
      <c r="AD277" s="447"/>
      <c r="AE277" s="446"/>
      <c r="AF277" s="446">
        <f>SUM(AF278:AF278)</f>
        <v>41191</v>
      </c>
      <c r="AG277" s="446"/>
      <c r="AH277" s="446"/>
      <c r="AI277" s="447"/>
      <c r="AJ277" s="446"/>
      <c r="AK277" s="446">
        <f>SUM(AK278:AK278)</f>
        <v>18552</v>
      </c>
      <c r="AL277" s="446"/>
      <c r="AM277" s="446"/>
      <c r="AN277" s="447"/>
      <c r="AO277" s="188"/>
      <c r="AP277" s="446">
        <f>SUM(AP278:AP278)</f>
        <v>0</v>
      </c>
      <c r="AQ277" s="451"/>
      <c r="AR277" s="446"/>
      <c r="AS277" s="447"/>
      <c r="AT277" s="446"/>
      <c r="AU277" s="446">
        <f>SUM(AU278:AU278)</f>
        <v>85877</v>
      </c>
      <c r="AV277" s="446"/>
      <c r="AW277" s="446"/>
      <c r="AX277" s="447"/>
      <c r="AY277" s="446"/>
      <c r="AZ277" s="446">
        <f>SUM(AZ278:AZ278)</f>
        <v>204461</v>
      </c>
      <c r="BA277" s="446"/>
      <c r="BB277" s="446"/>
      <c r="BC277" s="447"/>
      <c r="BD277" s="446"/>
      <c r="BE277" s="446">
        <f>SUM(BE278:BE278)</f>
        <v>132680</v>
      </c>
      <c r="BF277" s="446"/>
      <c r="BG277" s="446"/>
      <c r="BH277" s="447"/>
      <c r="BI277" s="446"/>
      <c r="BJ277" s="446">
        <f>SUM(BJ278:BJ278)</f>
        <v>0</v>
      </c>
      <c r="BK277" s="446"/>
      <c r="BL277" s="446"/>
      <c r="BM277" s="447"/>
      <c r="BN277" s="446"/>
      <c r="BO277" s="446">
        <f>SUM(BO278:BO278)</f>
        <v>0</v>
      </c>
      <c r="BP277" s="446"/>
      <c r="BQ277" s="446"/>
      <c r="BR277" s="447"/>
      <c r="BS277" s="446"/>
      <c r="BT277" s="446">
        <f>SUM(BT278:BT278)</f>
        <v>1028268</v>
      </c>
      <c r="BU277" s="446"/>
      <c r="BV277" s="446"/>
      <c r="BW277" s="447"/>
      <c r="BX277" s="446"/>
      <c r="BY277" s="446">
        <f>SUM(BY278:BY278)</f>
        <v>4361282</v>
      </c>
      <c r="BZ277" s="446"/>
      <c r="CA277" s="446"/>
      <c r="CB277" s="447"/>
      <c r="CC277" s="446"/>
      <c r="CD277" s="446">
        <f>SUM(CD278:CD278)</f>
        <v>3109689</v>
      </c>
      <c r="CE277" s="446"/>
      <c r="CF277" s="446"/>
      <c r="CG277" s="447"/>
      <c r="CH277" s="446"/>
      <c r="CI277" s="446">
        <f>SUM(CI278:CI278)</f>
        <v>0</v>
      </c>
      <c r="CJ277" s="446"/>
      <c r="CK277" s="446"/>
      <c r="CL277" s="447"/>
      <c r="CM277" s="446"/>
      <c r="CN277" s="446">
        <f>SUM(CN278:CN278)</f>
        <v>0</v>
      </c>
      <c r="CO277" s="446"/>
      <c r="CP277" s="446"/>
      <c r="CQ277" s="447"/>
      <c r="CR277" s="446"/>
      <c r="CS277" s="446">
        <f>SUM(CS278:CS278)</f>
        <v>0</v>
      </c>
      <c r="CT277" s="446"/>
      <c r="CU277" s="446"/>
      <c r="CV277" s="447"/>
      <c r="CW277" s="446"/>
      <c r="CX277" s="446">
        <f>SUM(CX278:CX278)</f>
        <v>289217</v>
      </c>
      <c r="CY277" s="446"/>
      <c r="CZ277" s="446"/>
      <c r="DA277" s="447"/>
      <c r="DB277" s="446"/>
      <c r="DC277" s="446">
        <f>SUM(DC278:DC278)</f>
        <v>235010</v>
      </c>
      <c r="DD277" s="446"/>
      <c r="DE277" s="446"/>
      <c r="DF277" s="447"/>
      <c r="DG277" s="188"/>
      <c r="DH277" s="446">
        <f>SUM(DH278:DH278)</f>
        <v>0</v>
      </c>
      <c r="DI277" s="451"/>
      <c r="DJ277" s="446"/>
      <c r="DK277" s="447"/>
      <c r="DL277" s="446"/>
      <c r="DM277" s="446">
        <f>SUM(DM278:DM278)</f>
        <v>64127</v>
      </c>
      <c r="DN277" s="446"/>
      <c r="DO277" s="446"/>
      <c r="DP277" s="447"/>
      <c r="DQ277" s="446"/>
      <c r="DR277" s="446">
        <f>SUM(DR278:DR278)</f>
        <v>0</v>
      </c>
      <c r="DS277" s="446"/>
      <c r="DT277" s="446"/>
      <c r="DU277" s="447"/>
      <c r="DV277" s="446"/>
      <c r="DW277" s="446">
        <f>SUM(DW278:DW278)</f>
        <v>0</v>
      </c>
      <c r="DX277" s="446"/>
      <c r="DY277" s="446"/>
      <c r="DZ277" s="447"/>
      <c r="EA277" s="446"/>
      <c r="EB277" s="446">
        <f>SUM(EB278:EB278)</f>
        <v>0</v>
      </c>
      <c r="EC277" s="446"/>
      <c r="ED277" s="446"/>
      <c r="EE277" s="447"/>
      <c r="EF277" s="446"/>
      <c r="EG277" s="446">
        <f>SUM(EG278:EG278)</f>
        <v>663239</v>
      </c>
      <c r="EH277" s="446"/>
      <c r="EI277" s="446"/>
      <c r="EJ277" s="447"/>
      <c r="EK277" s="446"/>
      <c r="EL277" s="446">
        <f>SUM(EL278:EL278)</f>
        <v>3698043</v>
      </c>
      <c r="EM277" s="446"/>
      <c r="EN277" s="446"/>
      <c r="EO277" s="93"/>
      <c r="EQ277" s="1"/>
    </row>
    <row r="278" spans="4:149" x14ac:dyDescent="0.2">
      <c r="D278" s="13" t="s">
        <v>347</v>
      </c>
      <c r="E278" s="479"/>
      <c r="F278" s="485"/>
      <c r="G278" s="457">
        <f>G284+G287+G319+G290+G296+G299+G302+G305+G307+G316+G322+G325+G328+G331+G334+G337+G340+G281+G312+G293</f>
        <v>0</v>
      </c>
      <c r="H278" s="458"/>
      <c r="I278" s="451"/>
      <c r="J278" s="452"/>
      <c r="K278" s="459"/>
      <c r="L278" s="457">
        <f>L284+L287+L319+L290+L296+L299+L302+L305+L307+L316+L322+L325+L328+L331+L334+L337+L340+L281+L312+L293</f>
        <v>487336</v>
      </c>
      <c r="M278" s="458"/>
      <c r="N278" s="451"/>
      <c r="O278" s="452"/>
      <c r="P278" s="459"/>
      <c r="Q278" s="457">
        <f>Q284+Q287+Q319+Q290+Q296+Q299+Q302+Q305+Q307+Q316+Q322+Q325+Q328+Q331+Q334+Q337+Q340+Q281+Q312+Q293</f>
        <v>29682</v>
      </c>
      <c r="R278" s="458"/>
      <c r="S278" s="451"/>
      <c r="T278" s="452"/>
      <c r="U278" s="459"/>
      <c r="V278" s="457">
        <f>V284+V287+V319+V290+V296+V299+V302+V305+V307+V316+V322+V325+V328+V331+V334+V337+V340+V281+V312+V293</f>
        <v>28489</v>
      </c>
      <c r="W278" s="458"/>
      <c r="X278" s="451"/>
      <c r="Y278" s="452"/>
      <c r="Z278" s="459"/>
      <c r="AA278" s="457">
        <f>AA284+AA287+AA319+AA290+AA296+AA299+AA302+AA305+AA307+AA316+AA322+AA325+AA328+AA331+AA334+AA337+AA340+AA281+AA312+AA293</f>
        <v>0</v>
      </c>
      <c r="AB278" s="458"/>
      <c r="AC278" s="451"/>
      <c r="AD278" s="452"/>
      <c r="AE278" s="459"/>
      <c r="AF278" s="457">
        <f>AF284+AF287+AF319+AF290+AF296+AF299+AF302+AF305+AF307+AF316+AF322+AF325+AF328+AF331+AF334+AF337+AF340+AF281+AF312+AF293</f>
        <v>41191</v>
      </c>
      <c r="AG278" s="458"/>
      <c r="AH278" s="451"/>
      <c r="AI278" s="452"/>
      <c r="AJ278" s="459"/>
      <c r="AK278" s="457">
        <f>AK284+AK287+AK319+AK290+AK296+AK299+AK302+AK305+AK307+AK316+AK322+AK325+AK328+AK331+AK334+AK337+AK340+AK281+AK312+AK293</f>
        <v>18552</v>
      </c>
      <c r="AL278" s="458"/>
      <c r="AM278" s="451"/>
      <c r="AN278" s="452"/>
      <c r="AO278" s="459"/>
      <c r="AP278" s="457">
        <f>AP284+AP287+AP319+AP290+AP296+AP299+AP302+AP305+AP307+AP316+AP322+AP325+AP328+AP331+AP334+AP337+AP340+AP281+AP312+AP293</f>
        <v>0</v>
      </c>
      <c r="AQ278" s="458"/>
      <c r="AR278" s="451"/>
      <c r="AS278" s="452"/>
      <c r="AT278" s="459"/>
      <c r="AU278" s="457">
        <f>AU284+AU287+AU319+AU290+AU296+AU299+AU302+AU305+AU307+AU316+AU322+AU325+AU328+AU331+AU334+AU337+AU340+AU281+AU312+AU293</f>
        <v>85877</v>
      </c>
      <c r="AV278" s="458"/>
      <c r="AW278" s="451"/>
      <c r="AX278" s="452"/>
      <c r="AY278" s="459"/>
      <c r="AZ278" s="457">
        <f>AZ284+AZ287+AZ319+AZ290+AZ296+AZ299+AZ302+AZ305+AZ307+AZ316+AZ322+AZ325+AZ328+AZ331+AZ334+AZ337+AZ340+AZ281+AZ312+AZ293</f>
        <v>204461</v>
      </c>
      <c r="BA278" s="458"/>
      <c r="BB278" s="451"/>
      <c r="BC278" s="452"/>
      <c r="BD278" s="459"/>
      <c r="BE278" s="457">
        <f>BE284+BE287+BE319+BE290+BE296+BE299+BE302+BE305+BE307+BE316+BE322+BE325+BE328+BE331+BE334+BE337+BE340+BE281+BE312+BE293</f>
        <v>132680</v>
      </c>
      <c r="BF278" s="458"/>
      <c r="BG278" s="451"/>
      <c r="BH278" s="452"/>
      <c r="BI278" s="459"/>
      <c r="BJ278" s="457">
        <v>0</v>
      </c>
      <c r="BK278" s="458"/>
      <c r="BL278" s="451"/>
      <c r="BM278" s="452"/>
      <c r="BN278" s="459"/>
      <c r="BO278" s="457">
        <f>BO284+BO287+BO319+BO290+BO296+BO299+BO302+BO305+BO307+BO316+BO322+BO325+BO328+BO331+BO334+BO337+BO340+BO281+BO312+BO293</f>
        <v>0</v>
      </c>
      <c r="BP278" s="458"/>
      <c r="BQ278" s="451"/>
      <c r="BR278" s="452"/>
      <c r="BS278" s="459"/>
      <c r="BT278" s="486">
        <f>BT284+BT287+BT319+BT290+BT296+BT299+BT302+BT305+BT307+BT316+BT322+BT325+BT328+BT331+BT334+BT337+BT340+BT281+BT312+BT293</f>
        <v>1028268</v>
      </c>
      <c r="BU278" s="458"/>
      <c r="BV278" s="451"/>
      <c r="BW278" s="452"/>
      <c r="BX278" s="459"/>
      <c r="BY278" s="486">
        <f>BY284+BY287+BY319+BY290+BY296+BY299+BY302+BY305+BY307+BY316+BY322+BY325+BY328+BY331+BY334+BY337+BY340+BY281+BY312+BY293</f>
        <v>4361282</v>
      </c>
      <c r="BZ278" s="458"/>
      <c r="CA278" s="451"/>
      <c r="CB278" s="452"/>
      <c r="CC278" s="459"/>
      <c r="CD278" s="457">
        <f>CD284+CD287+CD319+CD290+CD296+CD299+CD302+CD305+CD307+CD316+CD322+CD325+CD328+CD331+CD334+CD337+CD340+CD281+CD312+CD293</f>
        <v>3109689</v>
      </c>
      <c r="CE278" s="458"/>
      <c r="CF278" s="451"/>
      <c r="CG278" s="452"/>
      <c r="CH278" s="459"/>
      <c r="CI278" s="457">
        <f>CI284+CI287+CI319+CI290+CI296+CI299+CI302+CI305+CI307+CI316+CI322+CI325+CI328+CI331+CI334+CI337+CI340+CI281+CI312+CI293</f>
        <v>0</v>
      </c>
      <c r="CJ278" s="458"/>
      <c r="CK278" s="451"/>
      <c r="CL278" s="452"/>
      <c r="CM278" s="459"/>
      <c r="CN278" s="457">
        <f>CN284+CN287+CN319+CN290+CN296+CN299+CN302+CN305+CN307+CN316+CN322+CN325+CN328+CN331+CN334+CN337+CN340+CN281+CN312+CN293</f>
        <v>0</v>
      </c>
      <c r="CO278" s="458"/>
      <c r="CP278" s="451"/>
      <c r="CQ278" s="452"/>
      <c r="CR278" s="459"/>
      <c r="CS278" s="457">
        <f>CS284+CS287+CS319+CS290+CS296+CS299+CS302+CS305+CS307+CS316+CS322+CS325+CS328+CS331+CS334+CS337+CS340+CS281+CS312+CS293</f>
        <v>0</v>
      </c>
      <c r="CT278" s="458"/>
      <c r="CU278" s="451"/>
      <c r="CV278" s="452"/>
      <c r="CW278" s="459"/>
      <c r="CX278" s="457">
        <f>CX284+CX287+CX319+CX290+CX296+CX299+CX302+CX305+CX307+CX316+CX322+CX325+CX328+CX331+CX334+CX337+CX340+CX281+CX312+CX293</f>
        <v>289217</v>
      </c>
      <c r="CY278" s="458"/>
      <c r="CZ278" s="451"/>
      <c r="DA278" s="452"/>
      <c r="DB278" s="459"/>
      <c r="DC278" s="457">
        <f>DC284+DC287+DC319+DC290+DC296+DC299+DC302+DC305+DC307+DC316+DC322+DC325+DC328+DC331+DC334+DC337+DC340+DC281+DC312+DC293</f>
        <v>235010</v>
      </c>
      <c r="DD278" s="458"/>
      <c r="DE278" s="451"/>
      <c r="DF278" s="452"/>
      <c r="DG278" s="459"/>
      <c r="DH278" s="457">
        <f>DH284+DH287+DH319+DH290+DH296+DH299+DH302+DH305+DH307+DH316+DH322+DH325+DH328+DH331+DH334+DH337+DH340+DH281+DH312+DH293</f>
        <v>0</v>
      </c>
      <c r="DI278" s="458"/>
      <c r="DJ278" s="451"/>
      <c r="DK278" s="452"/>
      <c r="DL278" s="459"/>
      <c r="DM278" s="457">
        <f>DM284+DM287+DM319+DM290+DM296+DM299+DM302+DM305+DM307+DM316+DM322+DM325+DM328+DM331+DM334+DM337+DM340+DM281+DM312+DM293</f>
        <v>64127</v>
      </c>
      <c r="DN278" s="458"/>
      <c r="DO278" s="451"/>
      <c r="DP278" s="452"/>
      <c r="DQ278" s="459"/>
      <c r="DR278" s="457">
        <v>0</v>
      </c>
      <c r="DS278" s="458"/>
      <c r="DT278" s="451"/>
      <c r="DU278" s="452"/>
      <c r="DV278" s="459"/>
      <c r="DW278" s="457">
        <v>0</v>
      </c>
      <c r="DX278" s="458"/>
      <c r="DY278" s="451"/>
      <c r="DZ278" s="452"/>
      <c r="EA278" s="459"/>
      <c r="EB278" s="457">
        <v>0</v>
      </c>
      <c r="EC278" s="458"/>
      <c r="ED278" s="451"/>
      <c r="EE278" s="452"/>
      <c r="EF278" s="459"/>
      <c r="EG278" s="457">
        <f>EG284+EG287+EG319+EG290+EG296+EG299+EG302+EG305+EG307+EG316+EG322+EG325+EG328+EG331+EG334+EG337+EG340+EG281+EG312+EG293</f>
        <v>663239</v>
      </c>
      <c r="EH278" s="458"/>
      <c r="EI278" s="451"/>
      <c r="EJ278" s="452"/>
      <c r="EK278" s="459"/>
      <c r="EL278" s="457">
        <f>SUM(CD278:DW278)</f>
        <v>3698043</v>
      </c>
      <c r="EM278" s="458"/>
      <c r="EN278" s="451"/>
      <c r="EO278" s="13"/>
      <c r="ER278" s="14"/>
      <c r="ES278" s="14"/>
    </row>
    <row r="279" spans="4:149" x14ac:dyDescent="0.2">
      <c r="D279" s="13"/>
      <c r="E279" s="479"/>
      <c r="F279" s="188"/>
      <c r="G279" s="451"/>
      <c r="H279" s="451"/>
      <c r="I279" s="451"/>
      <c r="J279" s="452"/>
      <c r="K279" s="451"/>
      <c r="L279" s="451"/>
      <c r="M279" s="451"/>
      <c r="N279" s="451"/>
      <c r="O279" s="452"/>
      <c r="P279" s="451"/>
      <c r="Q279" s="451"/>
      <c r="R279" s="451"/>
      <c r="S279" s="451"/>
      <c r="T279" s="452"/>
      <c r="U279" s="451"/>
      <c r="V279" s="451"/>
      <c r="W279" s="451"/>
      <c r="X279" s="451"/>
      <c r="Y279" s="452"/>
      <c r="Z279" s="451"/>
      <c r="AA279" s="451"/>
      <c r="AB279" s="451"/>
      <c r="AC279" s="451"/>
      <c r="AD279" s="452"/>
      <c r="AE279" s="451"/>
      <c r="AF279" s="451"/>
      <c r="AG279" s="451"/>
      <c r="AH279" s="451"/>
      <c r="AI279" s="452"/>
      <c r="AJ279" s="451"/>
      <c r="AK279" s="451"/>
      <c r="AL279" s="451"/>
      <c r="AM279" s="451"/>
      <c r="AN279" s="452"/>
      <c r="AO279" s="451"/>
      <c r="AP279" s="451"/>
      <c r="AQ279" s="451"/>
      <c r="AR279" s="451"/>
      <c r="AS279" s="452"/>
      <c r="AT279" s="451"/>
      <c r="AU279" s="451"/>
      <c r="AV279" s="451"/>
      <c r="AW279" s="451"/>
      <c r="AX279" s="452"/>
      <c r="AY279" s="451"/>
      <c r="AZ279" s="451"/>
      <c r="BA279" s="451"/>
      <c r="BB279" s="451"/>
      <c r="BC279" s="452"/>
      <c r="BD279" s="451"/>
      <c r="BE279" s="451"/>
      <c r="BF279" s="451"/>
      <c r="BG279" s="451"/>
      <c r="BH279" s="452"/>
      <c r="BI279" s="451"/>
      <c r="BJ279" s="451"/>
      <c r="BK279" s="451"/>
      <c r="BL279" s="451"/>
      <c r="BM279" s="452"/>
      <c r="BN279" s="451"/>
      <c r="BO279" s="451"/>
      <c r="BP279" s="451"/>
      <c r="BQ279" s="451"/>
      <c r="BR279" s="452"/>
      <c r="BS279" s="451"/>
      <c r="BT279" s="451"/>
      <c r="BU279" s="451"/>
      <c r="BV279" s="451"/>
      <c r="BW279" s="452"/>
      <c r="BX279" s="451"/>
      <c r="BY279" s="451"/>
      <c r="BZ279" s="451"/>
      <c r="CA279" s="451"/>
      <c r="CB279" s="452"/>
      <c r="CC279" s="451"/>
      <c r="CD279" s="451"/>
      <c r="CE279" s="451"/>
      <c r="CF279" s="451"/>
      <c r="CG279" s="452"/>
      <c r="CH279" s="451"/>
      <c r="CI279" s="451"/>
      <c r="CJ279" s="451"/>
      <c r="CK279" s="451"/>
      <c r="CL279" s="452"/>
      <c r="CM279" s="451"/>
      <c r="CN279" s="451"/>
      <c r="CO279" s="451"/>
      <c r="CP279" s="451"/>
      <c r="CQ279" s="452"/>
      <c r="CR279" s="451"/>
      <c r="CS279" s="451"/>
      <c r="CT279" s="451"/>
      <c r="CU279" s="451"/>
      <c r="CV279" s="452"/>
      <c r="CW279" s="451"/>
      <c r="CX279" s="451"/>
      <c r="CY279" s="451"/>
      <c r="CZ279" s="451"/>
      <c r="DA279" s="452"/>
      <c r="DB279" s="451"/>
      <c r="DC279" s="451"/>
      <c r="DD279" s="451"/>
      <c r="DE279" s="451"/>
      <c r="DF279" s="452"/>
      <c r="DG279" s="451"/>
      <c r="DH279" s="451"/>
      <c r="DI279" s="451"/>
      <c r="DJ279" s="451"/>
      <c r="DK279" s="452"/>
      <c r="DL279" s="451"/>
      <c r="DM279" s="451"/>
      <c r="DN279" s="451"/>
      <c r="DO279" s="451"/>
      <c r="DP279" s="452"/>
      <c r="DQ279" s="451"/>
      <c r="DR279" s="451"/>
      <c r="DS279" s="451"/>
      <c r="DT279" s="451"/>
      <c r="DU279" s="452"/>
      <c r="DV279" s="451"/>
      <c r="DW279" s="451"/>
      <c r="DX279" s="451"/>
      <c r="DY279" s="451"/>
      <c r="DZ279" s="452"/>
      <c r="EA279" s="451"/>
      <c r="EB279" s="451"/>
      <c r="EC279" s="451"/>
      <c r="ED279" s="451"/>
      <c r="EE279" s="452"/>
      <c r="EF279" s="451"/>
      <c r="EG279" s="451"/>
      <c r="EH279" s="451"/>
      <c r="EI279" s="451"/>
      <c r="EJ279" s="452"/>
      <c r="EK279" s="451"/>
      <c r="EL279" s="451"/>
      <c r="EM279" s="451"/>
      <c r="EN279" s="451"/>
      <c r="EO279" s="13"/>
      <c r="ER279" s="14"/>
      <c r="ES279" s="14"/>
    </row>
    <row r="280" spans="4:149" ht="12.75" hidden="1" customHeight="1" x14ac:dyDescent="0.2">
      <c r="D280" s="13" t="s">
        <v>407</v>
      </c>
      <c r="G280" s="451">
        <v>0</v>
      </c>
      <c r="H280" s="451"/>
      <c r="I280" s="451"/>
      <c r="J280" s="452"/>
      <c r="K280" s="451"/>
      <c r="L280" s="451">
        <f>SUM(L281:L281)</f>
        <v>0</v>
      </c>
      <c r="M280" s="451"/>
      <c r="N280" s="451"/>
      <c r="O280" s="452"/>
      <c r="P280" s="451"/>
      <c r="Q280" s="451">
        <f>SUM(Q281:Q281)</f>
        <v>0</v>
      </c>
      <c r="R280" s="451"/>
      <c r="S280" s="451"/>
      <c r="T280" s="452"/>
      <c r="U280" s="451"/>
      <c r="V280" s="451">
        <f>SUM(V281:V281)</f>
        <v>0</v>
      </c>
      <c r="W280" s="451"/>
      <c r="X280" s="451"/>
      <c r="Y280" s="452"/>
      <c r="Z280" s="451"/>
      <c r="AA280" s="451">
        <f>SUM(AA281:AA281)</f>
        <v>0</v>
      </c>
      <c r="AB280" s="451"/>
      <c r="AC280" s="451"/>
      <c r="AD280" s="452"/>
      <c r="AE280" s="451"/>
      <c r="AF280" s="451">
        <f>SUM(AF281:AF281)</f>
        <v>0</v>
      </c>
      <c r="AG280" s="451"/>
      <c r="AH280" s="451"/>
      <c r="AI280" s="452"/>
      <c r="AJ280" s="451"/>
      <c r="AK280" s="451">
        <f>SUM(AK281:AK281)</f>
        <v>0</v>
      </c>
      <c r="AL280" s="451"/>
      <c r="AM280" s="451"/>
      <c r="AN280" s="452"/>
      <c r="AO280" s="451"/>
      <c r="AP280" s="451">
        <f>SUM(AP281:AP281)</f>
        <v>0</v>
      </c>
      <c r="AQ280" s="451"/>
      <c r="AR280" s="451"/>
      <c r="AS280" s="452"/>
      <c r="AT280" s="451"/>
      <c r="AU280" s="451">
        <f>SUM(AU281:AU281)</f>
        <v>0</v>
      </c>
      <c r="AV280" s="451"/>
      <c r="AW280" s="451"/>
      <c r="AX280" s="452"/>
      <c r="AY280" s="451"/>
      <c r="AZ280" s="451">
        <f>SUM(AZ281:AZ281)</f>
        <v>0</v>
      </c>
      <c r="BA280" s="451"/>
      <c r="BB280" s="451"/>
      <c r="BC280" s="452"/>
      <c r="BD280" s="451"/>
      <c r="BE280" s="451">
        <f>SUM(BE281:BE281)</f>
        <v>0</v>
      </c>
      <c r="BF280" s="451"/>
      <c r="BG280" s="451"/>
      <c r="BH280" s="452"/>
      <c r="BI280" s="451"/>
      <c r="BJ280" s="451">
        <f>SUM(BJ281:BJ281)</f>
        <v>0</v>
      </c>
      <c r="BK280" s="451"/>
      <c r="BL280" s="451"/>
      <c r="BM280" s="452"/>
      <c r="BN280" s="451"/>
      <c r="BO280" s="451">
        <f>SUM(BO281:BO281)</f>
        <v>0</v>
      </c>
      <c r="BP280" s="451"/>
      <c r="BQ280" s="451"/>
      <c r="BR280" s="452"/>
      <c r="BS280" s="451"/>
      <c r="BT280" s="451">
        <f>SUM(BT281:BT281)</f>
        <v>0</v>
      </c>
      <c r="BU280" s="451"/>
      <c r="BV280" s="451"/>
      <c r="BW280" s="452"/>
      <c r="BX280" s="451"/>
      <c r="BY280" s="451">
        <f>SUM(BY281:BY281)</f>
        <v>0</v>
      </c>
      <c r="BZ280" s="451"/>
      <c r="CA280" s="451"/>
      <c r="CB280" s="452"/>
      <c r="CC280" s="451"/>
      <c r="CD280" s="451">
        <f>SUM(CD281:CD281)</f>
        <v>0</v>
      </c>
      <c r="CE280" s="451"/>
      <c r="CF280" s="451"/>
      <c r="CG280" s="452"/>
      <c r="CH280" s="451"/>
      <c r="CI280" s="451">
        <f>SUM(CI281:CI281)</f>
        <v>0</v>
      </c>
      <c r="CJ280" s="451"/>
      <c r="CK280" s="451"/>
      <c r="CL280" s="452"/>
      <c r="CM280" s="451"/>
      <c r="CN280" s="451">
        <f>SUM(CN281:CN281)</f>
        <v>0</v>
      </c>
      <c r="CO280" s="451"/>
      <c r="CP280" s="451"/>
      <c r="CQ280" s="452"/>
      <c r="CR280" s="451"/>
      <c r="CS280" s="451">
        <f>SUM(CS281:CS281)</f>
        <v>0</v>
      </c>
      <c r="CT280" s="451"/>
      <c r="CU280" s="451"/>
      <c r="CV280" s="452"/>
      <c r="CW280" s="451"/>
      <c r="CX280" s="451">
        <f>SUM(CX281:CX281)</f>
        <v>0</v>
      </c>
      <c r="CY280" s="451"/>
      <c r="CZ280" s="451"/>
      <c r="DA280" s="452"/>
      <c r="DB280" s="451"/>
      <c r="DC280" s="451">
        <f>SUM(DC281:DC281)</f>
        <v>0</v>
      </c>
      <c r="DD280" s="451"/>
      <c r="DE280" s="451"/>
      <c r="DF280" s="452"/>
      <c r="DG280" s="451"/>
      <c r="DH280" s="451">
        <f>SUM(DH281:DH281)</f>
        <v>0</v>
      </c>
      <c r="DI280" s="451"/>
      <c r="DJ280" s="451"/>
      <c r="DK280" s="452"/>
      <c r="DL280" s="451"/>
      <c r="DM280" s="451">
        <f>SUM(DM281:DM281)</f>
        <v>0</v>
      </c>
      <c r="DN280" s="451"/>
      <c r="DO280" s="451"/>
      <c r="DP280" s="452"/>
      <c r="DQ280" s="451"/>
      <c r="DR280" s="451">
        <f>SUM(DR281:DR281)</f>
        <v>0</v>
      </c>
      <c r="DS280" s="451"/>
      <c r="DT280" s="451"/>
      <c r="DU280" s="452"/>
      <c r="DV280" s="451"/>
      <c r="DW280" s="451">
        <f>SUM(DW281:DW281)</f>
        <v>0</v>
      </c>
      <c r="DX280" s="451"/>
      <c r="DY280" s="451"/>
      <c r="DZ280" s="452"/>
      <c r="EA280" s="451"/>
      <c r="EB280" s="451">
        <f>SUM(EB281:EB281)</f>
        <v>0</v>
      </c>
      <c r="EC280" s="451"/>
      <c r="ED280" s="451"/>
      <c r="EE280" s="452"/>
      <c r="EF280" s="451"/>
      <c r="EG280" s="451">
        <f>SUM(EG281:EG281)</f>
        <v>0</v>
      </c>
      <c r="EH280" s="451"/>
      <c r="EI280" s="451"/>
      <c r="EJ280" s="452"/>
      <c r="EK280" s="451"/>
      <c r="EL280" s="451">
        <f>SUM(EL281:EL281)</f>
        <v>0</v>
      </c>
      <c r="EM280" s="451"/>
      <c r="EN280" s="451"/>
      <c r="EO280" s="13"/>
      <c r="ER280" s="14"/>
      <c r="ES280" s="14"/>
    </row>
    <row r="281" spans="4:149" ht="12.75" hidden="1" customHeight="1" x14ac:dyDescent="0.2">
      <c r="D281" s="13" t="s">
        <v>347</v>
      </c>
      <c r="F281" s="456"/>
      <c r="G281" s="457">
        <v>0</v>
      </c>
      <c r="H281" s="458"/>
      <c r="I281" s="451"/>
      <c r="J281" s="452"/>
      <c r="K281" s="459"/>
      <c r="L281" s="457">
        <v>0</v>
      </c>
      <c r="M281" s="458"/>
      <c r="N281" s="451"/>
      <c r="O281" s="452"/>
      <c r="P281" s="459"/>
      <c r="Q281" s="457">
        <v>0</v>
      </c>
      <c r="R281" s="458"/>
      <c r="S281" s="451"/>
      <c r="T281" s="452"/>
      <c r="U281" s="459"/>
      <c r="V281" s="457">
        <v>0</v>
      </c>
      <c r="W281" s="458"/>
      <c r="X281" s="451"/>
      <c r="Y281" s="452"/>
      <c r="Z281" s="459"/>
      <c r="AA281" s="457">
        <v>0</v>
      </c>
      <c r="AB281" s="458"/>
      <c r="AC281" s="451"/>
      <c r="AD281" s="452"/>
      <c r="AE281" s="459"/>
      <c r="AF281" s="457">
        <v>0</v>
      </c>
      <c r="AG281" s="458"/>
      <c r="AH281" s="451"/>
      <c r="AI281" s="452"/>
      <c r="AJ281" s="459"/>
      <c r="AK281" s="457">
        <v>0</v>
      </c>
      <c r="AL281" s="458"/>
      <c r="AM281" s="451"/>
      <c r="AN281" s="452"/>
      <c r="AO281" s="459"/>
      <c r="AP281" s="457">
        <v>0</v>
      </c>
      <c r="AQ281" s="458"/>
      <c r="AR281" s="451"/>
      <c r="AS281" s="452"/>
      <c r="AT281" s="459"/>
      <c r="AU281" s="457">
        <v>0</v>
      </c>
      <c r="AV281" s="458"/>
      <c r="AW281" s="451"/>
      <c r="AX281" s="452"/>
      <c r="AY281" s="459"/>
      <c r="AZ281" s="457">
        <v>0</v>
      </c>
      <c r="BA281" s="458"/>
      <c r="BB281" s="451"/>
      <c r="BC281" s="452"/>
      <c r="BD281" s="459"/>
      <c r="BE281" s="457">
        <v>0</v>
      </c>
      <c r="BF281" s="458"/>
      <c r="BG281" s="451"/>
      <c r="BH281" s="452"/>
      <c r="BI281" s="459"/>
      <c r="BJ281" s="457">
        <v>0</v>
      </c>
      <c r="BK281" s="458"/>
      <c r="BL281" s="451"/>
      <c r="BM281" s="452"/>
      <c r="BN281" s="459"/>
      <c r="BO281" s="457">
        <v>0</v>
      </c>
      <c r="BP281" s="458"/>
      <c r="BQ281" s="451"/>
      <c r="BR281" s="452"/>
      <c r="BS281" s="459"/>
      <c r="BT281" s="457">
        <f>SUM(L281:BO281)</f>
        <v>0</v>
      </c>
      <c r="BU281" s="458"/>
      <c r="BV281" s="451"/>
      <c r="BW281" s="452"/>
      <c r="BX281" s="459"/>
      <c r="BY281" s="457">
        <f>SUM(Q281:BT281)</f>
        <v>0</v>
      </c>
      <c r="BZ281" s="458"/>
      <c r="CA281" s="451"/>
      <c r="CB281" s="452"/>
      <c r="CC281" s="459"/>
      <c r="CD281" s="457">
        <v>0</v>
      </c>
      <c r="CE281" s="458"/>
      <c r="CF281" s="451"/>
      <c r="CG281" s="452"/>
      <c r="CH281" s="459"/>
      <c r="CI281" s="457">
        <v>0</v>
      </c>
      <c r="CJ281" s="458"/>
      <c r="CK281" s="451"/>
      <c r="CL281" s="452"/>
      <c r="CM281" s="459"/>
      <c r="CN281" s="457">
        <v>0</v>
      </c>
      <c r="CO281" s="458"/>
      <c r="CP281" s="451"/>
      <c r="CQ281" s="452"/>
      <c r="CR281" s="459"/>
      <c r="CS281" s="457">
        <v>0</v>
      </c>
      <c r="CT281" s="458"/>
      <c r="CU281" s="451"/>
      <c r="CV281" s="452"/>
      <c r="CW281" s="459"/>
      <c r="CX281" s="457">
        <v>0</v>
      </c>
      <c r="CY281" s="458"/>
      <c r="CZ281" s="451"/>
      <c r="DA281" s="452"/>
      <c r="DB281" s="459"/>
      <c r="DC281" s="457">
        <v>0</v>
      </c>
      <c r="DD281" s="458"/>
      <c r="DE281" s="451"/>
      <c r="DF281" s="452"/>
      <c r="DG281" s="459"/>
      <c r="DH281" s="457">
        <v>0</v>
      </c>
      <c r="DI281" s="458"/>
      <c r="DJ281" s="451"/>
      <c r="DK281" s="452"/>
      <c r="DL281" s="459"/>
      <c r="DM281" s="457">
        <v>0</v>
      </c>
      <c r="DN281" s="458"/>
      <c r="DO281" s="451"/>
      <c r="DP281" s="452"/>
      <c r="DQ281" s="459"/>
      <c r="DR281" s="457">
        <v>0</v>
      </c>
      <c r="DS281" s="458"/>
      <c r="DT281" s="451"/>
      <c r="DU281" s="452"/>
      <c r="DV281" s="459"/>
      <c r="DW281" s="457">
        <v>0</v>
      </c>
      <c r="DX281" s="458"/>
      <c r="DY281" s="451"/>
      <c r="DZ281" s="452"/>
      <c r="EA281" s="459"/>
      <c r="EB281" s="457">
        <v>0</v>
      </c>
      <c r="EC281" s="458"/>
      <c r="ED281" s="451"/>
      <c r="EE281" s="452"/>
      <c r="EF281" s="459"/>
      <c r="EG281" s="457">
        <v>0</v>
      </c>
      <c r="EH281" s="458"/>
      <c r="EI281" s="451"/>
      <c r="EJ281" s="452"/>
      <c r="EK281" s="459"/>
      <c r="EL281" s="457">
        <f>SUM(CD281:EG281)</f>
        <v>0</v>
      </c>
      <c r="EM281" s="458"/>
      <c r="EN281" s="451"/>
      <c r="EO281" s="13"/>
      <c r="ER281" s="14"/>
      <c r="ES281" s="14"/>
    </row>
    <row r="282" spans="4:149" ht="12.75" hidden="1" customHeight="1" x14ac:dyDescent="0.2">
      <c r="D282" s="13"/>
      <c r="E282" s="479"/>
      <c r="F282" s="188"/>
      <c r="G282" s="451"/>
      <c r="H282" s="451"/>
      <c r="I282" s="451"/>
      <c r="J282" s="452"/>
      <c r="K282" s="451"/>
      <c r="L282" s="451"/>
      <c r="M282" s="451"/>
      <c r="N282" s="451"/>
      <c r="O282" s="452"/>
      <c r="P282" s="451"/>
      <c r="Q282" s="451"/>
      <c r="R282" s="451"/>
      <c r="S282" s="451"/>
      <c r="T282" s="452"/>
      <c r="U282" s="451"/>
      <c r="V282" s="451"/>
      <c r="W282" s="451"/>
      <c r="X282" s="451"/>
      <c r="Y282" s="452"/>
      <c r="Z282" s="451"/>
      <c r="AA282" s="451"/>
      <c r="AB282" s="451"/>
      <c r="AC282" s="451"/>
      <c r="AD282" s="452"/>
      <c r="AE282" s="451"/>
      <c r="AF282" s="451"/>
      <c r="AG282" s="451"/>
      <c r="AH282" s="451"/>
      <c r="AI282" s="452"/>
      <c r="AJ282" s="451"/>
      <c r="AK282" s="451"/>
      <c r="AL282" s="451"/>
      <c r="AM282" s="451"/>
      <c r="AN282" s="452"/>
      <c r="AO282" s="451"/>
      <c r="AP282" s="451"/>
      <c r="AQ282" s="451"/>
      <c r="AR282" s="451"/>
      <c r="AS282" s="452"/>
      <c r="AT282" s="451"/>
      <c r="AU282" s="451"/>
      <c r="AV282" s="451"/>
      <c r="AW282" s="451"/>
      <c r="AX282" s="452"/>
      <c r="AY282" s="451"/>
      <c r="AZ282" s="451"/>
      <c r="BA282" s="451"/>
      <c r="BB282" s="451"/>
      <c r="BC282" s="452"/>
      <c r="BD282" s="451"/>
      <c r="BE282" s="451"/>
      <c r="BF282" s="451"/>
      <c r="BG282" s="451"/>
      <c r="BH282" s="452"/>
      <c r="BI282" s="451"/>
      <c r="BJ282" s="451"/>
      <c r="BK282" s="451"/>
      <c r="BL282" s="451"/>
      <c r="BM282" s="452"/>
      <c r="BN282" s="451"/>
      <c r="BO282" s="451"/>
      <c r="BP282" s="451"/>
      <c r="BQ282" s="451"/>
      <c r="BR282" s="452"/>
      <c r="BS282" s="451"/>
      <c r="BT282" s="451"/>
      <c r="BU282" s="451"/>
      <c r="BV282" s="451"/>
      <c r="BW282" s="452"/>
      <c r="BX282" s="451"/>
      <c r="BY282" s="451"/>
      <c r="BZ282" s="451"/>
      <c r="CA282" s="451"/>
      <c r="CB282" s="452"/>
      <c r="CC282" s="451"/>
      <c r="CD282" s="451"/>
      <c r="CE282" s="451"/>
      <c r="CF282" s="451"/>
      <c r="CG282" s="452"/>
      <c r="CH282" s="451"/>
      <c r="CI282" s="451"/>
      <c r="CJ282" s="451"/>
      <c r="CK282" s="451"/>
      <c r="CL282" s="452"/>
      <c r="CM282" s="451"/>
      <c r="CN282" s="451"/>
      <c r="CO282" s="451"/>
      <c r="CP282" s="451"/>
      <c r="CQ282" s="452"/>
      <c r="CR282" s="451"/>
      <c r="CS282" s="451"/>
      <c r="CT282" s="451"/>
      <c r="CU282" s="451"/>
      <c r="CV282" s="452"/>
      <c r="CW282" s="451"/>
      <c r="CX282" s="451"/>
      <c r="CY282" s="451"/>
      <c r="CZ282" s="451"/>
      <c r="DA282" s="452"/>
      <c r="DB282" s="451"/>
      <c r="DC282" s="451"/>
      <c r="DD282" s="451"/>
      <c r="DE282" s="451"/>
      <c r="DF282" s="452"/>
      <c r="DG282" s="451"/>
      <c r="DH282" s="451"/>
      <c r="DI282" s="451"/>
      <c r="DJ282" s="451"/>
      <c r="DK282" s="452"/>
      <c r="DL282" s="451"/>
      <c r="DM282" s="451"/>
      <c r="DN282" s="451"/>
      <c r="DO282" s="451"/>
      <c r="DP282" s="452"/>
      <c r="DQ282" s="451"/>
      <c r="DR282" s="451"/>
      <c r="DS282" s="451"/>
      <c r="DT282" s="451"/>
      <c r="DU282" s="452"/>
      <c r="DV282" s="451"/>
      <c r="DW282" s="451"/>
      <c r="DX282" s="451"/>
      <c r="DY282" s="451"/>
      <c r="DZ282" s="452"/>
      <c r="EA282" s="451"/>
      <c r="EB282" s="451"/>
      <c r="EC282" s="451"/>
      <c r="ED282" s="451"/>
      <c r="EE282" s="452"/>
      <c r="EF282" s="451"/>
      <c r="EG282" s="451"/>
      <c r="EH282" s="451"/>
      <c r="EI282" s="451"/>
      <c r="EJ282" s="452"/>
      <c r="EK282" s="451"/>
      <c r="EL282" s="451"/>
      <c r="EM282" s="451"/>
      <c r="EN282" s="451"/>
      <c r="EO282" s="13"/>
      <c r="ER282" s="14"/>
      <c r="ES282" s="14"/>
    </row>
    <row r="283" spans="4:149" x14ac:dyDescent="0.2">
      <c r="D283" s="13" t="s">
        <v>374</v>
      </c>
      <c r="G283" s="451">
        <f>SUM(G284:G284)</f>
        <v>0</v>
      </c>
      <c r="H283" s="451"/>
      <c r="I283" s="451"/>
      <c r="J283" s="452"/>
      <c r="K283" s="451"/>
      <c r="L283" s="451">
        <f>SUM(L284:L284)</f>
        <v>487336</v>
      </c>
      <c r="M283" s="451"/>
      <c r="N283" s="451"/>
      <c r="O283" s="452"/>
      <c r="P283" s="451"/>
      <c r="Q283" s="451">
        <f>SUM(Q284:Q284)</f>
        <v>0</v>
      </c>
      <c r="R283" s="451"/>
      <c r="S283" s="451"/>
      <c r="T283" s="452"/>
      <c r="U283" s="451"/>
      <c r="V283" s="451">
        <f>SUM(V284:V284)</f>
        <v>0</v>
      </c>
      <c r="W283" s="451"/>
      <c r="X283" s="451"/>
      <c r="Y283" s="452"/>
      <c r="Z283" s="451"/>
      <c r="AA283" s="451">
        <f>SUM(AA284:AA284)</f>
        <v>0</v>
      </c>
      <c r="AB283" s="451"/>
      <c r="AC283" s="451"/>
      <c r="AD283" s="452"/>
      <c r="AE283" s="451"/>
      <c r="AF283" s="451">
        <f>SUM(AF284:AF284)</f>
        <v>0</v>
      </c>
      <c r="AG283" s="451"/>
      <c r="AH283" s="451"/>
      <c r="AI283" s="452"/>
      <c r="AJ283" s="451"/>
      <c r="AK283" s="451">
        <f>SUM(AK284:AK284)</f>
        <v>0</v>
      </c>
      <c r="AL283" s="451"/>
      <c r="AM283" s="451"/>
      <c r="AN283" s="452"/>
      <c r="AO283" s="451"/>
      <c r="AP283" s="451">
        <f>SUM(AP284:AP284)</f>
        <v>0</v>
      </c>
      <c r="AQ283" s="451"/>
      <c r="AR283" s="451"/>
      <c r="AS283" s="452"/>
      <c r="AT283" s="451"/>
      <c r="AU283" s="451">
        <f>SUM(AU284:AU284)</f>
        <v>0</v>
      </c>
      <c r="AV283" s="451"/>
      <c r="AW283" s="451"/>
      <c r="AX283" s="452"/>
      <c r="AY283" s="451"/>
      <c r="AZ283" s="451">
        <f>SUM(AZ284:AZ284)</f>
        <v>68220</v>
      </c>
      <c r="BA283" s="451"/>
      <c r="BB283" s="451"/>
      <c r="BC283" s="452"/>
      <c r="BD283" s="451"/>
      <c r="BE283" s="451">
        <f>SUM(BE284:BE284)</f>
        <v>0</v>
      </c>
      <c r="BF283" s="451"/>
      <c r="BG283" s="451"/>
      <c r="BH283" s="452"/>
      <c r="BI283" s="451"/>
      <c r="BJ283" s="451">
        <f>SUM(BJ284:BJ284)</f>
        <v>0</v>
      </c>
      <c r="BK283" s="451"/>
      <c r="BL283" s="451"/>
      <c r="BM283" s="452"/>
      <c r="BN283" s="451"/>
      <c r="BO283" s="451">
        <f>SUM(BO284:BO284)</f>
        <v>0</v>
      </c>
      <c r="BP283" s="451"/>
      <c r="BQ283" s="451"/>
      <c r="BR283" s="452"/>
      <c r="BS283" s="451"/>
      <c r="BT283" s="451">
        <f>SUM(BT284:BT284)</f>
        <v>555556</v>
      </c>
      <c r="BU283" s="451"/>
      <c r="BV283" s="451"/>
      <c r="BW283" s="452"/>
      <c r="BX283" s="451"/>
      <c r="BY283" s="451">
        <f>SUM(BY284:BY284)</f>
        <v>89569</v>
      </c>
      <c r="BZ283" s="451"/>
      <c r="CA283" s="451"/>
      <c r="CB283" s="452"/>
      <c r="CC283" s="451"/>
      <c r="CD283" s="451">
        <f>SUM(CD284:CD284)</f>
        <v>0</v>
      </c>
      <c r="CE283" s="451"/>
      <c r="CF283" s="451"/>
      <c r="CG283" s="452"/>
      <c r="CH283" s="451"/>
      <c r="CI283" s="451">
        <f>SUM(CI284:CI284)</f>
        <v>0</v>
      </c>
      <c r="CJ283" s="451"/>
      <c r="CK283" s="451"/>
      <c r="CL283" s="452"/>
      <c r="CM283" s="451"/>
      <c r="CN283" s="451">
        <f>SUM(CN284:CN284)</f>
        <v>0</v>
      </c>
      <c r="CO283" s="451"/>
      <c r="CP283" s="451"/>
      <c r="CQ283" s="452"/>
      <c r="CR283" s="451"/>
      <c r="CS283" s="451">
        <f>SUM(CS284:CS284)</f>
        <v>0</v>
      </c>
      <c r="CT283" s="451"/>
      <c r="CU283" s="451"/>
      <c r="CV283" s="452"/>
      <c r="CW283" s="451"/>
      <c r="CX283" s="451">
        <f>SUM(CX284:CX284)</f>
        <v>0</v>
      </c>
      <c r="CY283" s="451"/>
      <c r="CZ283" s="451"/>
      <c r="DA283" s="452"/>
      <c r="DB283" s="451"/>
      <c r="DC283" s="451">
        <f>SUM(DC284:DC284)</f>
        <v>0</v>
      </c>
      <c r="DD283" s="451"/>
      <c r="DE283" s="451"/>
      <c r="DF283" s="452"/>
      <c r="DG283" s="451"/>
      <c r="DH283" s="451">
        <f>SUM(DH284:DH284)</f>
        <v>0</v>
      </c>
      <c r="DI283" s="451"/>
      <c r="DJ283" s="451"/>
      <c r="DK283" s="452"/>
      <c r="DL283" s="451"/>
      <c r="DM283" s="451">
        <f>SUM(DM284:DM284)</f>
        <v>0</v>
      </c>
      <c r="DN283" s="451"/>
      <c r="DO283" s="451"/>
      <c r="DP283" s="452"/>
      <c r="DQ283" s="451"/>
      <c r="DR283" s="451">
        <f>SUM(DR284:DR284)</f>
        <v>0</v>
      </c>
      <c r="DS283" s="451"/>
      <c r="DT283" s="451"/>
      <c r="DU283" s="452"/>
      <c r="DV283" s="451"/>
      <c r="DW283" s="451">
        <f>SUM(DW284:DW284)</f>
        <v>0</v>
      </c>
      <c r="DX283" s="451"/>
      <c r="DY283" s="451"/>
      <c r="DZ283" s="452"/>
      <c r="EA283" s="451"/>
      <c r="EB283" s="451">
        <f>SUM(EB284:EB284)</f>
        <v>0</v>
      </c>
      <c r="EC283" s="451"/>
      <c r="ED283" s="451"/>
      <c r="EE283" s="452"/>
      <c r="EF283" s="451"/>
      <c r="EG283" s="451">
        <f>SUM(EG284:EG284)</f>
        <v>89569</v>
      </c>
      <c r="EH283" s="451"/>
      <c r="EI283" s="451"/>
      <c r="EJ283" s="452"/>
      <c r="EK283" s="451"/>
      <c r="EL283" s="451">
        <f>SUM(EL284:EL284)</f>
        <v>0</v>
      </c>
      <c r="EM283" s="451"/>
      <c r="EN283" s="451"/>
      <c r="EO283" s="13"/>
      <c r="ER283" s="14"/>
      <c r="ES283" s="14"/>
    </row>
    <row r="284" spans="4:149" x14ac:dyDescent="0.2">
      <c r="D284" s="13" t="s">
        <v>347</v>
      </c>
      <c r="F284" s="456"/>
      <c r="G284" s="457">
        <v>0</v>
      </c>
      <c r="H284" s="458"/>
      <c r="I284" s="451"/>
      <c r="J284" s="452"/>
      <c r="K284" s="459"/>
      <c r="L284" s="457">
        <v>487336</v>
      </c>
      <c r="M284" s="458"/>
      <c r="N284" s="451"/>
      <c r="O284" s="452"/>
      <c r="P284" s="459"/>
      <c r="Q284" s="457">
        <v>0</v>
      </c>
      <c r="R284" s="458"/>
      <c r="S284" s="451"/>
      <c r="T284" s="452"/>
      <c r="U284" s="459"/>
      <c r="V284" s="457">
        <v>0</v>
      </c>
      <c r="W284" s="458"/>
      <c r="X284" s="451"/>
      <c r="Y284" s="452"/>
      <c r="Z284" s="459"/>
      <c r="AA284" s="457">
        <v>0</v>
      </c>
      <c r="AB284" s="458"/>
      <c r="AC284" s="451"/>
      <c r="AD284" s="452"/>
      <c r="AE284" s="459"/>
      <c r="AF284" s="457">
        <v>0</v>
      </c>
      <c r="AG284" s="458"/>
      <c r="AH284" s="451"/>
      <c r="AI284" s="452"/>
      <c r="AJ284" s="459"/>
      <c r="AK284" s="457">
        <v>0</v>
      </c>
      <c r="AL284" s="458"/>
      <c r="AM284" s="451"/>
      <c r="AN284" s="452"/>
      <c r="AO284" s="459"/>
      <c r="AP284" s="457">
        <v>0</v>
      </c>
      <c r="AQ284" s="458"/>
      <c r="AR284" s="451"/>
      <c r="AS284" s="452"/>
      <c r="AT284" s="459"/>
      <c r="AU284" s="457">
        <v>0</v>
      </c>
      <c r="AV284" s="458"/>
      <c r="AW284" s="451"/>
      <c r="AX284" s="452"/>
      <c r="AY284" s="459"/>
      <c r="AZ284" s="457">
        <v>68220</v>
      </c>
      <c r="BA284" s="458"/>
      <c r="BB284" s="451"/>
      <c r="BC284" s="452"/>
      <c r="BD284" s="459"/>
      <c r="BE284" s="457">
        <v>0</v>
      </c>
      <c r="BF284" s="458"/>
      <c r="BG284" s="451"/>
      <c r="BH284" s="452"/>
      <c r="BI284" s="459"/>
      <c r="BJ284" s="457">
        <v>0</v>
      </c>
      <c r="BK284" s="458"/>
      <c r="BL284" s="451"/>
      <c r="BM284" s="452"/>
      <c r="BN284" s="459"/>
      <c r="BO284" s="457">
        <v>0</v>
      </c>
      <c r="BP284" s="458"/>
      <c r="BQ284" s="451"/>
      <c r="BR284" s="452"/>
      <c r="BS284" s="459"/>
      <c r="BT284" s="457">
        <f>SUM(L284:BO284)</f>
        <v>555556</v>
      </c>
      <c r="BU284" s="458"/>
      <c r="BV284" s="451"/>
      <c r="BW284" s="452"/>
      <c r="BX284" s="459"/>
      <c r="BY284" s="457">
        <v>89569</v>
      </c>
      <c r="BZ284" s="458"/>
      <c r="CA284" s="451"/>
      <c r="CB284" s="452"/>
      <c r="CC284" s="459"/>
      <c r="CD284" s="457">
        <v>0</v>
      </c>
      <c r="CE284" s="458"/>
      <c r="CF284" s="451"/>
      <c r="CG284" s="452"/>
      <c r="CH284" s="459"/>
      <c r="CI284" s="457">
        <v>0</v>
      </c>
      <c r="CJ284" s="458"/>
      <c r="CK284" s="451"/>
      <c r="CL284" s="452"/>
      <c r="CM284" s="459"/>
      <c r="CN284" s="457">
        <v>0</v>
      </c>
      <c r="CO284" s="458"/>
      <c r="CP284" s="451"/>
      <c r="CQ284" s="452"/>
      <c r="CR284" s="459"/>
      <c r="CS284" s="457">
        <v>0</v>
      </c>
      <c r="CT284" s="458"/>
      <c r="CU284" s="451"/>
      <c r="CV284" s="452"/>
      <c r="CW284" s="459"/>
      <c r="CX284" s="457">
        <v>0</v>
      </c>
      <c r="CY284" s="458"/>
      <c r="CZ284" s="451"/>
      <c r="DA284" s="452"/>
      <c r="DB284" s="459"/>
      <c r="DC284" s="457">
        <v>0</v>
      </c>
      <c r="DD284" s="458"/>
      <c r="DE284" s="451"/>
      <c r="DF284" s="452"/>
      <c r="DG284" s="459"/>
      <c r="DH284" s="457">
        <v>0</v>
      </c>
      <c r="DI284" s="458"/>
      <c r="DJ284" s="451"/>
      <c r="DK284" s="452"/>
      <c r="DL284" s="459"/>
      <c r="DM284" s="457">
        <v>0</v>
      </c>
      <c r="DN284" s="458"/>
      <c r="DO284" s="451"/>
      <c r="DP284" s="452"/>
      <c r="DQ284" s="459"/>
      <c r="DR284" s="457">
        <v>0</v>
      </c>
      <c r="DS284" s="458"/>
      <c r="DT284" s="451"/>
      <c r="DU284" s="452"/>
      <c r="DV284" s="459"/>
      <c r="DW284" s="457">
        <v>0</v>
      </c>
      <c r="DX284" s="458"/>
      <c r="DY284" s="451"/>
      <c r="DZ284" s="452"/>
      <c r="EA284" s="459"/>
      <c r="EB284" s="457">
        <v>0</v>
      </c>
      <c r="EC284" s="458"/>
      <c r="ED284" s="451"/>
      <c r="EE284" s="452"/>
      <c r="EF284" s="459"/>
      <c r="EG284" s="457">
        <v>89569</v>
      </c>
      <c r="EH284" s="458"/>
      <c r="EI284" s="451"/>
      <c r="EJ284" s="452"/>
      <c r="EK284" s="459"/>
      <c r="EL284" s="457">
        <f>SUM(CD284:DW284)</f>
        <v>0</v>
      </c>
      <c r="EM284" s="458"/>
      <c r="EN284" s="451"/>
      <c r="EO284" s="13"/>
      <c r="ER284" s="14"/>
      <c r="ES284" s="14"/>
    </row>
    <row r="285" spans="4:149" x14ac:dyDescent="0.2">
      <c r="D285" s="13"/>
      <c r="G285" s="451"/>
      <c r="H285" s="451"/>
      <c r="I285" s="451"/>
      <c r="J285" s="452"/>
      <c r="K285" s="451"/>
      <c r="L285" s="451"/>
      <c r="M285" s="451"/>
      <c r="N285" s="451"/>
      <c r="O285" s="452"/>
      <c r="P285" s="451"/>
      <c r="Q285" s="451"/>
      <c r="R285" s="451"/>
      <c r="S285" s="451"/>
      <c r="T285" s="452"/>
      <c r="U285" s="451"/>
      <c r="V285" s="451"/>
      <c r="W285" s="451"/>
      <c r="X285" s="451"/>
      <c r="Y285" s="452"/>
      <c r="Z285" s="451"/>
      <c r="AA285" s="451"/>
      <c r="AB285" s="451"/>
      <c r="AC285" s="451"/>
      <c r="AD285" s="452"/>
      <c r="AE285" s="451"/>
      <c r="AF285" s="451"/>
      <c r="AG285" s="451"/>
      <c r="AH285" s="451"/>
      <c r="AI285" s="452"/>
      <c r="AJ285" s="451"/>
      <c r="AK285" s="451"/>
      <c r="AL285" s="451"/>
      <c r="AM285" s="451"/>
      <c r="AN285" s="452"/>
      <c r="AO285" s="451"/>
      <c r="AP285" s="451"/>
      <c r="AQ285" s="451"/>
      <c r="AR285" s="451"/>
      <c r="AS285" s="452"/>
      <c r="AT285" s="451"/>
      <c r="AU285" s="451"/>
      <c r="AV285" s="451"/>
      <c r="AW285" s="451"/>
      <c r="AX285" s="452"/>
      <c r="AY285" s="451"/>
      <c r="AZ285" s="451"/>
      <c r="BA285" s="451"/>
      <c r="BB285" s="451"/>
      <c r="BC285" s="452"/>
      <c r="BD285" s="451"/>
      <c r="BE285" s="451"/>
      <c r="BF285" s="451"/>
      <c r="BG285" s="451"/>
      <c r="BH285" s="452"/>
      <c r="BI285" s="451"/>
      <c r="BJ285" s="451"/>
      <c r="BK285" s="451"/>
      <c r="BL285" s="451"/>
      <c r="BM285" s="452"/>
      <c r="BN285" s="451"/>
      <c r="BO285" s="451"/>
      <c r="BP285" s="451"/>
      <c r="BQ285" s="451"/>
      <c r="BR285" s="452"/>
      <c r="BS285" s="451"/>
      <c r="BT285" s="451"/>
      <c r="BU285" s="451"/>
      <c r="BV285" s="451"/>
      <c r="BW285" s="452"/>
      <c r="BX285" s="451"/>
      <c r="BY285" s="451"/>
      <c r="BZ285" s="451"/>
      <c r="CA285" s="451"/>
      <c r="CB285" s="452"/>
      <c r="CC285" s="451"/>
      <c r="CD285" s="451"/>
      <c r="CE285" s="451"/>
      <c r="CF285" s="451"/>
      <c r="CG285" s="452"/>
      <c r="CH285" s="451"/>
      <c r="CI285" s="451"/>
      <c r="CJ285" s="451"/>
      <c r="CK285" s="451"/>
      <c r="CL285" s="452"/>
      <c r="CM285" s="451"/>
      <c r="CN285" s="451"/>
      <c r="CO285" s="451"/>
      <c r="CP285" s="451"/>
      <c r="CQ285" s="452"/>
      <c r="CR285" s="451"/>
      <c r="CS285" s="451"/>
      <c r="CT285" s="451"/>
      <c r="CU285" s="451"/>
      <c r="CV285" s="452"/>
      <c r="CW285" s="451"/>
      <c r="CX285" s="451"/>
      <c r="CY285" s="451"/>
      <c r="CZ285" s="451"/>
      <c r="DA285" s="452"/>
      <c r="DB285" s="451"/>
      <c r="DC285" s="451"/>
      <c r="DD285" s="451"/>
      <c r="DE285" s="451"/>
      <c r="DF285" s="452"/>
      <c r="DG285" s="451"/>
      <c r="DH285" s="451"/>
      <c r="DI285" s="451"/>
      <c r="DJ285" s="451"/>
      <c r="DK285" s="452"/>
      <c r="DL285" s="451"/>
      <c r="DM285" s="451"/>
      <c r="DN285" s="451"/>
      <c r="DO285" s="451"/>
      <c r="DP285" s="452"/>
      <c r="DQ285" s="451"/>
      <c r="DR285" s="451"/>
      <c r="DS285" s="451"/>
      <c r="DT285" s="451"/>
      <c r="DU285" s="452"/>
      <c r="DV285" s="451"/>
      <c r="DW285" s="451"/>
      <c r="DX285" s="451"/>
      <c r="DY285" s="451"/>
      <c r="DZ285" s="452"/>
      <c r="EA285" s="451"/>
      <c r="EB285" s="451"/>
      <c r="EC285" s="451"/>
      <c r="ED285" s="451"/>
      <c r="EE285" s="452"/>
      <c r="EF285" s="451"/>
      <c r="EG285" s="451"/>
      <c r="EH285" s="451"/>
      <c r="EI285" s="451"/>
      <c r="EJ285" s="452"/>
      <c r="EK285" s="451"/>
      <c r="EL285" s="451"/>
      <c r="EM285" s="451"/>
      <c r="EN285" s="451"/>
      <c r="EO285" s="13"/>
      <c r="ER285" s="14"/>
      <c r="ES285" s="14"/>
    </row>
    <row r="286" spans="4:149" ht="12.75" customHeight="1" x14ac:dyDescent="0.2">
      <c r="D286" s="13" t="s">
        <v>408</v>
      </c>
      <c r="G286" s="451">
        <f>SUM(G287:G287)</f>
        <v>0</v>
      </c>
      <c r="H286" s="451"/>
      <c r="I286" s="451"/>
      <c r="J286" s="452"/>
      <c r="K286" s="451"/>
      <c r="L286" s="451">
        <f>SUM(L287:L287)</f>
        <v>0</v>
      </c>
      <c r="M286" s="451"/>
      <c r="N286" s="451"/>
      <c r="O286" s="452"/>
      <c r="P286" s="451"/>
      <c r="Q286" s="451">
        <f>SUM(Q287:Q287)</f>
        <v>0</v>
      </c>
      <c r="R286" s="451"/>
      <c r="S286" s="451"/>
      <c r="T286" s="452"/>
      <c r="U286" s="451"/>
      <c r="V286" s="451">
        <f>SUM(V287:V287)</f>
        <v>0</v>
      </c>
      <c r="W286" s="451"/>
      <c r="X286" s="451"/>
      <c r="Y286" s="452"/>
      <c r="Z286" s="451"/>
      <c r="AA286" s="451">
        <f>SUM(AA287:AA287)</f>
        <v>0</v>
      </c>
      <c r="AB286" s="451"/>
      <c r="AC286" s="451"/>
      <c r="AD286" s="452"/>
      <c r="AE286" s="451"/>
      <c r="AF286" s="451">
        <f>SUM(AF287:AF287)</f>
        <v>0</v>
      </c>
      <c r="AG286" s="451"/>
      <c r="AH286" s="451"/>
      <c r="AI286" s="452"/>
      <c r="AJ286" s="451"/>
      <c r="AK286" s="451">
        <f>SUM(AK287:AK287)</f>
        <v>0</v>
      </c>
      <c r="AL286" s="451"/>
      <c r="AM286" s="451"/>
      <c r="AN286" s="452"/>
      <c r="AO286" s="451"/>
      <c r="AP286" s="451">
        <f>SUM(AP287:AP287)</f>
        <v>0</v>
      </c>
      <c r="AQ286" s="451"/>
      <c r="AR286" s="451"/>
      <c r="AS286" s="452"/>
      <c r="AT286" s="451"/>
      <c r="AU286" s="451">
        <f>SUM(AU287:AU287)</f>
        <v>0</v>
      </c>
      <c r="AV286" s="451"/>
      <c r="AW286" s="451"/>
      <c r="AX286" s="452"/>
      <c r="AY286" s="451"/>
      <c r="AZ286" s="451">
        <f>SUM(AZ287:AZ287)</f>
        <v>77049</v>
      </c>
      <c r="BA286" s="451"/>
      <c r="BB286" s="451"/>
      <c r="BC286" s="452"/>
      <c r="BD286" s="451"/>
      <c r="BE286" s="451">
        <f>SUM(BE287:BE287)</f>
        <v>0</v>
      </c>
      <c r="BF286" s="451"/>
      <c r="BG286" s="451"/>
      <c r="BH286" s="452"/>
      <c r="BI286" s="451"/>
      <c r="BJ286" s="451">
        <f>SUM(BJ287:BJ287)</f>
        <v>0</v>
      </c>
      <c r="BK286" s="451"/>
      <c r="BL286" s="451"/>
      <c r="BM286" s="452"/>
      <c r="BN286" s="451"/>
      <c r="BO286" s="451">
        <f>SUM(BO287:BO287)</f>
        <v>0</v>
      </c>
      <c r="BP286" s="451"/>
      <c r="BQ286" s="451"/>
      <c r="BR286" s="452"/>
      <c r="BS286" s="451"/>
      <c r="BT286" s="451">
        <f>SUM(BT287:BT287)</f>
        <v>77049</v>
      </c>
      <c r="BU286" s="451"/>
      <c r="BV286" s="451"/>
      <c r="BW286" s="452"/>
      <c r="BX286" s="451"/>
      <c r="BY286" s="451">
        <f>SUM(BY287:BY287)</f>
        <v>0</v>
      </c>
      <c r="BZ286" s="451"/>
      <c r="CA286" s="451"/>
      <c r="CB286" s="452"/>
      <c r="CC286" s="451"/>
      <c r="CD286" s="451">
        <f>SUM(CD287:CD287)</f>
        <v>0</v>
      </c>
      <c r="CE286" s="451"/>
      <c r="CF286" s="451"/>
      <c r="CG286" s="452"/>
      <c r="CH286" s="451"/>
      <c r="CI286" s="451">
        <f>SUM(CI287:CI287)</f>
        <v>0</v>
      </c>
      <c r="CJ286" s="451"/>
      <c r="CK286" s="451"/>
      <c r="CL286" s="452"/>
      <c r="CM286" s="451"/>
      <c r="CN286" s="451">
        <f>SUM(CN287:CN287)</f>
        <v>0</v>
      </c>
      <c r="CO286" s="451"/>
      <c r="CP286" s="451"/>
      <c r="CQ286" s="452"/>
      <c r="CR286" s="451"/>
      <c r="CS286" s="451">
        <f>SUM(CS287:CS287)</f>
        <v>0</v>
      </c>
      <c r="CT286" s="451"/>
      <c r="CU286" s="451"/>
      <c r="CV286" s="452"/>
      <c r="CW286" s="451"/>
      <c r="CX286" s="451">
        <f>SUM(CX287:CX287)</f>
        <v>0</v>
      </c>
      <c r="CY286" s="451"/>
      <c r="CZ286" s="451"/>
      <c r="DA286" s="452"/>
      <c r="DB286" s="451"/>
      <c r="DC286" s="451">
        <f>SUM(DC287:DC287)</f>
        <v>0</v>
      </c>
      <c r="DD286" s="451"/>
      <c r="DE286" s="451"/>
      <c r="DF286" s="452"/>
      <c r="DG286" s="451"/>
      <c r="DH286" s="451">
        <f>SUM(DH287:DH287)</f>
        <v>0</v>
      </c>
      <c r="DI286" s="451"/>
      <c r="DJ286" s="451"/>
      <c r="DK286" s="452"/>
      <c r="DL286" s="451"/>
      <c r="DM286" s="451">
        <f>SUM(DM287:DM287)</f>
        <v>0</v>
      </c>
      <c r="DN286" s="451"/>
      <c r="DO286" s="451"/>
      <c r="DP286" s="452"/>
      <c r="DQ286" s="451"/>
      <c r="DR286" s="451">
        <f>SUM(DR287:DR287)</f>
        <v>0</v>
      </c>
      <c r="DS286" s="451"/>
      <c r="DT286" s="451"/>
      <c r="DU286" s="452"/>
      <c r="DV286" s="451"/>
      <c r="DW286" s="451">
        <f>SUM(DW287:DW287)</f>
        <v>0</v>
      </c>
      <c r="DX286" s="451"/>
      <c r="DY286" s="451"/>
      <c r="DZ286" s="452"/>
      <c r="EA286" s="451"/>
      <c r="EB286" s="451">
        <f>SUM(EB287:EB287)</f>
        <v>0</v>
      </c>
      <c r="EC286" s="451"/>
      <c r="ED286" s="451"/>
      <c r="EE286" s="452"/>
      <c r="EF286" s="451"/>
      <c r="EG286" s="451">
        <f>SUM(EG287:EG287)</f>
        <v>0</v>
      </c>
      <c r="EH286" s="451"/>
      <c r="EI286" s="451"/>
      <c r="EJ286" s="452"/>
      <c r="EK286" s="451"/>
      <c r="EL286" s="451">
        <f>SUM(EL287:EL287)</f>
        <v>0</v>
      </c>
      <c r="EM286" s="451"/>
      <c r="EN286" s="451"/>
      <c r="EO286" s="13"/>
      <c r="ER286" s="14"/>
      <c r="ES286" s="14"/>
    </row>
    <row r="287" spans="4:149" ht="12.75" customHeight="1" x14ac:dyDescent="0.2">
      <c r="D287" s="13" t="s">
        <v>347</v>
      </c>
      <c r="F287" s="456"/>
      <c r="G287" s="457">
        <v>0</v>
      </c>
      <c r="H287" s="458"/>
      <c r="I287" s="451"/>
      <c r="J287" s="452"/>
      <c r="K287" s="459"/>
      <c r="L287" s="457">
        <v>0</v>
      </c>
      <c r="M287" s="458"/>
      <c r="N287" s="451"/>
      <c r="O287" s="452"/>
      <c r="P287" s="459"/>
      <c r="Q287" s="457">
        <v>0</v>
      </c>
      <c r="R287" s="458"/>
      <c r="S287" s="451"/>
      <c r="T287" s="452"/>
      <c r="U287" s="459"/>
      <c r="V287" s="457">
        <v>0</v>
      </c>
      <c r="W287" s="458"/>
      <c r="X287" s="451"/>
      <c r="Y287" s="452"/>
      <c r="Z287" s="459"/>
      <c r="AA287" s="457">
        <v>0</v>
      </c>
      <c r="AB287" s="458"/>
      <c r="AC287" s="451"/>
      <c r="AD287" s="452"/>
      <c r="AE287" s="459"/>
      <c r="AF287" s="457">
        <v>0</v>
      </c>
      <c r="AG287" s="458"/>
      <c r="AH287" s="451"/>
      <c r="AI287" s="452"/>
      <c r="AJ287" s="459"/>
      <c r="AK287" s="457">
        <v>0</v>
      </c>
      <c r="AL287" s="458"/>
      <c r="AM287" s="451"/>
      <c r="AN287" s="452"/>
      <c r="AO287" s="459"/>
      <c r="AP287" s="457">
        <v>0</v>
      </c>
      <c r="AQ287" s="458"/>
      <c r="AR287" s="451"/>
      <c r="AS287" s="452"/>
      <c r="AT287" s="459"/>
      <c r="AU287" s="457">
        <v>0</v>
      </c>
      <c r="AV287" s="458"/>
      <c r="AW287" s="451"/>
      <c r="AX287" s="452"/>
      <c r="AY287" s="459"/>
      <c r="AZ287" s="457">
        <v>77049</v>
      </c>
      <c r="BA287" s="458"/>
      <c r="BB287" s="451"/>
      <c r="BC287" s="452"/>
      <c r="BD287" s="459"/>
      <c r="BE287" s="457">
        <v>0</v>
      </c>
      <c r="BF287" s="458"/>
      <c r="BG287" s="451"/>
      <c r="BH287" s="452"/>
      <c r="BI287" s="459"/>
      <c r="BJ287" s="457">
        <v>0</v>
      </c>
      <c r="BK287" s="458"/>
      <c r="BL287" s="451"/>
      <c r="BM287" s="452"/>
      <c r="BN287" s="459"/>
      <c r="BO287" s="457">
        <v>0</v>
      </c>
      <c r="BP287" s="458"/>
      <c r="BQ287" s="451"/>
      <c r="BR287" s="452"/>
      <c r="BS287" s="459"/>
      <c r="BT287" s="457">
        <f>SUM(L287:BO287)</f>
        <v>77049</v>
      </c>
      <c r="BU287" s="458"/>
      <c r="BV287" s="451"/>
      <c r="BW287" s="452"/>
      <c r="BX287" s="459"/>
      <c r="BY287" s="457">
        <v>0</v>
      </c>
      <c r="BZ287" s="458"/>
      <c r="CA287" s="451"/>
      <c r="CB287" s="452"/>
      <c r="CC287" s="459"/>
      <c r="CD287" s="457">
        <v>0</v>
      </c>
      <c r="CE287" s="458"/>
      <c r="CF287" s="451"/>
      <c r="CG287" s="452"/>
      <c r="CH287" s="459"/>
      <c r="CI287" s="457">
        <v>0</v>
      </c>
      <c r="CJ287" s="458"/>
      <c r="CK287" s="451"/>
      <c r="CL287" s="452"/>
      <c r="CM287" s="459"/>
      <c r="CN287" s="457">
        <v>0</v>
      </c>
      <c r="CO287" s="458"/>
      <c r="CP287" s="451"/>
      <c r="CQ287" s="452"/>
      <c r="CR287" s="459"/>
      <c r="CS287" s="457">
        <v>0</v>
      </c>
      <c r="CT287" s="458"/>
      <c r="CU287" s="451"/>
      <c r="CV287" s="452"/>
      <c r="CW287" s="459"/>
      <c r="CX287" s="457">
        <v>0</v>
      </c>
      <c r="CY287" s="458"/>
      <c r="CZ287" s="451"/>
      <c r="DA287" s="452"/>
      <c r="DB287" s="459"/>
      <c r="DC287" s="457">
        <v>0</v>
      </c>
      <c r="DD287" s="458"/>
      <c r="DE287" s="451"/>
      <c r="DF287" s="452"/>
      <c r="DG287" s="459"/>
      <c r="DH287" s="457">
        <v>0</v>
      </c>
      <c r="DI287" s="458"/>
      <c r="DJ287" s="451"/>
      <c r="DK287" s="452"/>
      <c r="DL287" s="459"/>
      <c r="DM287" s="457">
        <v>0</v>
      </c>
      <c r="DN287" s="458"/>
      <c r="DO287" s="451"/>
      <c r="DP287" s="452"/>
      <c r="DQ287" s="459"/>
      <c r="DR287" s="457">
        <v>0</v>
      </c>
      <c r="DS287" s="458"/>
      <c r="DT287" s="451"/>
      <c r="DU287" s="452"/>
      <c r="DV287" s="459"/>
      <c r="DW287" s="457">
        <v>0</v>
      </c>
      <c r="DX287" s="458"/>
      <c r="DY287" s="451"/>
      <c r="DZ287" s="452"/>
      <c r="EA287" s="459"/>
      <c r="EB287" s="457">
        <v>0</v>
      </c>
      <c r="EC287" s="458"/>
      <c r="ED287" s="451"/>
      <c r="EE287" s="452"/>
      <c r="EF287" s="459"/>
      <c r="EG287" s="457">
        <v>0</v>
      </c>
      <c r="EH287" s="458"/>
      <c r="EI287" s="451"/>
      <c r="EJ287" s="452"/>
      <c r="EK287" s="459"/>
      <c r="EL287" s="457">
        <f>SUM(CD287:DW287)</f>
        <v>0</v>
      </c>
      <c r="EM287" s="458"/>
      <c r="EN287" s="451"/>
      <c r="EO287" s="13"/>
      <c r="ER287" s="14"/>
      <c r="ES287" s="14"/>
    </row>
    <row r="288" spans="4:149" ht="12.75" customHeight="1" x14ac:dyDescent="0.2">
      <c r="D288" s="13"/>
      <c r="G288" s="451"/>
      <c r="H288" s="451"/>
      <c r="I288" s="451"/>
      <c r="J288" s="452"/>
      <c r="K288" s="451"/>
      <c r="L288" s="451"/>
      <c r="M288" s="451"/>
      <c r="N288" s="451"/>
      <c r="O288" s="452"/>
      <c r="P288" s="451"/>
      <c r="Q288" s="451"/>
      <c r="R288" s="451"/>
      <c r="S288" s="451"/>
      <c r="T288" s="452"/>
      <c r="U288" s="451"/>
      <c r="V288" s="451"/>
      <c r="W288" s="451"/>
      <c r="X288" s="451"/>
      <c r="Y288" s="452"/>
      <c r="Z288" s="451"/>
      <c r="AA288" s="451"/>
      <c r="AB288" s="451"/>
      <c r="AC288" s="451"/>
      <c r="AD288" s="452"/>
      <c r="AE288" s="451"/>
      <c r="AF288" s="451"/>
      <c r="AG288" s="451"/>
      <c r="AH288" s="451"/>
      <c r="AI288" s="452"/>
      <c r="AJ288" s="451"/>
      <c r="AK288" s="451"/>
      <c r="AL288" s="451"/>
      <c r="AM288" s="451"/>
      <c r="AN288" s="452"/>
      <c r="AO288" s="451"/>
      <c r="AP288" s="451"/>
      <c r="AQ288" s="451"/>
      <c r="AR288" s="451"/>
      <c r="AS288" s="452"/>
      <c r="AT288" s="451"/>
      <c r="AU288" s="451"/>
      <c r="AV288" s="451"/>
      <c r="AW288" s="451"/>
      <c r="AX288" s="452"/>
      <c r="AY288" s="451"/>
      <c r="AZ288" s="451"/>
      <c r="BA288" s="451"/>
      <c r="BB288" s="451"/>
      <c r="BC288" s="452"/>
      <c r="BD288" s="451"/>
      <c r="BE288" s="451"/>
      <c r="BF288" s="451"/>
      <c r="BG288" s="451"/>
      <c r="BH288" s="452"/>
      <c r="BI288" s="451"/>
      <c r="BJ288" s="451"/>
      <c r="BK288" s="451"/>
      <c r="BL288" s="451"/>
      <c r="BM288" s="452"/>
      <c r="BN288" s="451"/>
      <c r="BO288" s="451"/>
      <c r="BP288" s="451"/>
      <c r="BQ288" s="451"/>
      <c r="BR288" s="452"/>
      <c r="BS288" s="451"/>
      <c r="BT288" s="451"/>
      <c r="BU288" s="451"/>
      <c r="BV288" s="451"/>
      <c r="BW288" s="452"/>
      <c r="BX288" s="451"/>
      <c r="BY288" s="451"/>
      <c r="BZ288" s="451"/>
      <c r="CA288" s="451"/>
      <c r="CB288" s="452"/>
      <c r="CC288" s="451"/>
      <c r="CD288" s="451"/>
      <c r="CE288" s="451"/>
      <c r="CF288" s="451"/>
      <c r="CG288" s="452"/>
      <c r="CH288" s="451"/>
      <c r="CI288" s="451"/>
      <c r="CJ288" s="451"/>
      <c r="CK288" s="451"/>
      <c r="CL288" s="452"/>
      <c r="CM288" s="451"/>
      <c r="CN288" s="451"/>
      <c r="CO288" s="451"/>
      <c r="CP288" s="451"/>
      <c r="CQ288" s="452"/>
      <c r="CR288" s="451"/>
      <c r="CS288" s="451"/>
      <c r="CT288" s="451"/>
      <c r="CU288" s="451"/>
      <c r="CV288" s="452"/>
      <c r="CW288" s="451"/>
      <c r="CX288" s="451"/>
      <c r="CY288" s="451"/>
      <c r="CZ288" s="451"/>
      <c r="DA288" s="452"/>
      <c r="DB288" s="451"/>
      <c r="DC288" s="451"/>
      <c r="DD288" s="451"/>
      <c r="DE288" s="451"/>
      <c r="DF288" s="452"/>
      <c r="DG288" s="451"/>
      <c r="DH288" s="451"/>
      <c r="DI288" s="451"/>
      <c r="DJ288" s="451"/>
      <c r="DK288" s="452"/>
      <c r="DL288" s="451"/>
      <c r="DM288" s="451"/>
      <c r="DN288" s="451"/>
      <c r="DO288" s="451"/>
      <c r="DP288" s="452"/>
      <c r="DQ288" s="451"/>
      <c r="DR288" s="451"/>
      <c r="DS288" s="451"/>
      <c r="DT288" s="451"/>
      <c r="DU288" s="452"/>
      <c r="DV288" s="451"/>
      <c r="DW288" s="451"/>
      <c r="DX288" s="451"/>
      <c r="DY288" s="451"/>
      <c r="DZ288" s="452"/>
      <c r="EA288" s="451"/>
      <c r="EB288" s="451"/>
      <c r="EC288" s="451"/>
      <c r="ED288" s="451"/>
      <c r="EE288" s="452"/>
      <c r="EF288" s="451"/>
      <c r="EG288" s="451"/>
      <c r="EH288" s="451"/>
      <c r="EI288" s="451"/>
      <c r="EJ288" s="452"/>
      <c r="EK288" s="451"/>
      <c r="EL288" s="451"/>
      <c r="EM288" s="451"/>
      <c r="EN288" s="451"/>
      <c r="EO288" s="13"/>
      <c r="ER288" s="14"/>
      <c r="ES288" s="14"/>
    </row>
    <row r="289" spans="4:149" x14ac:dyDescent="0.2">
      <c r="D289" s="13" t="s">
        <v>358</v>
      </c>
      <c r="G289" s="451">
        <f>SUM(G290:G290)</f>
        <v>0</v>
      </c>
      <c r="H289" s="451"/>
      <c r="I289" s="451"/>
      <c r="J289" s="452"/>
      <c r="K289" s="451"/>
      <c r="L289" s="451">
        <f>SUM(L290:L290)</f>
        <v>0</v>
      </c>
      <c r="M289" s="451"/>
      <c r="N289" s="451"/>
      <c r="O289" s="452"/>
      <c r="P289" s="451"/>
      <c r="Q289" s="451">
        <f>SUM(Q290:Q290)</f>
        <v>29682</v>
      </c>
      <c r="R289" s="451"/>
      <c r="S289" s="451"/>
      <c r="T289" s="452"/>
      <c r="U289" s="451"/>
      <c r="V289" s="451">
        <f>SUM(V290:V290)</f>
        <v>28489</v>
      </c>
      <c r="W289" s="451"/>
      <c r="X289" s="451"/>
      <c r="Y289" s="452"/>
      <c r="Z289" s="451"/>
      <c r="AA289" s="451">
        <f>SUM(AA290:AA290)</f>
        <v>0</v>
      </c>
      <c r="AB289" s="451"/>
      <c r="AC289" s="451"/>
      <c r="AD289" s="452"/>
      <c r="AE289" s="451"/>
      <c r="AF289" s="451">
        <f>SUM(AF290:AF290)</f>
        <v>0</v>
      </c>
      <c r="AG289" s="451"/>
      <c r="AH289" s="451"/>
      <c r="AI289" s="452"/>
      <c r="AJ289" s="451"/>
      <c r="AK289" s="451">
        <f>SUM(AK290:AK290)</f>
        <v>0</v>
      </c>
      <c r="AL289" s="451"/>
      <c r="AM289" s="451"/>
      <c r="AN289" s="452"/>
      <c r="AO289" s="451"/>
      <c r="AP289" s="451">
        <f>SUM(AP290:AP290)</f>
        <v>0</v>
      </c>
      <c r="AQ289" s="451"/>
      <c r="AR289" s="451"/>
      <c r="AS289" s="452"/>
      <c r="AT289" s="451"/>
      <c r="AU289" s="451">
        <f>SUM(AU290:AU290)</f>
        <v>0</v>
      </c>
      <c r="AV289" s="451"/>
      <c r="AW289" s="451"/>
      <c r="AX289" s="452"/>
      <c r="AY289" s="451"/>
      <c r="AZ289" s="451">
        <f>SUM(AZ290:AZ290)</f>
        <v>59192</v>
      </c>
      <c r="BA289" s="451"/>
      <c r="BB289" s="451"/>
      <c r="BC289" s="452"/>
      <c r="BD289" s="451"/>
      <c r="BE289" s="451">
        <f>SUM(BE290:BE290)</f>
        <v>0</v>
      </c>
      <c r="BF289" s="451"/>
      <c r="BG289" s="451"/>
      <c r="BH289" s="452"/>
      <c r="BI289" s="451"/>
      <c r="BJ289" s="451">
        <f>SUM(BJ290:BJ290)</f>
        <v>0</v>
      </c>
      <c r="BK289" s="451"/>
      <c r="BL289" s="451"/>
      <c r="BM289" s="452"/>
      <c r="BN289" s="451"/>
      <c r="BO289" s="451">
        <f>SUM(BO290:BO290)</f>
        <v>0</v>
      </c>
      <c r="BP289" s="451"/>
      <c r="BQ289" s="451"/>
      <c r="BR289" s="452"/>
      <c r="BS289" s="451"/>
      <c r="BT289" s="451">
        <f>SUM(BT290:BT290)</f>
        <v>117363</v>
      </c>
      <c r="BU289" s="451"/>
      <c r="BV289" s="451"/>
      <c r="BW289" s="452"/>
      <c r="BX289" s="451"/>
      <c r="BY289" s="451">
        <f>SUM(BY290:BY290)</f>
        <v>3225244</v>
      </c>
      <c r="BZ289" s="451"/>
      <c r="CA289" s="451"/>
      <c r="CB289" s="452"/>
      <c r="CC289" s="451"/>
      <c r="CD289" s="451">
        <f>SUM(CD290:CD290)</f>
        <v>3109689</v>
      </c>
      <c r="CE289" s="451"/>
      <c r="CF289" s="451"/>
      <c r="CG289" s="452"/>
      <c r="CH289" s="451"/>
      <c r="CI289" s="451">
        <f>SUM(CI290:CI290)</f>
        <v>0</v>
      </c>
      <c r="CJ289" s="451"/>
      <c r="CK289" s="451"/>
      <c r="CL289" s="452"/>
      <c r="CM289" s="451"/>
      <c r="CN289" s="451">
        <f>SUM(CN290:CN290)</f>
        <v>0</v>
      </c>
      <c r="CO289" s="451"/>
      <c r="CP289" s="451"/>
      <c r="CQ289" s="452"/>
      <c r="CR289" s="451"/>
      <c r="CS289" s="451">
        <f>SUM(CS290:CS290)</f>
        <v>0</v>
      </c>
      <c r="CT289" s="451"/>
      <c r="CU289" s="451"/>
      <c r="CV289" s="452"/>
      <c r="CW289" s="451"/>
      <c r="CX289" s="451">
        <f>SUM(CX290:CX290)</f>
        <v>0</v>
      </c>
      <c r="CY289" s="451"/>
      <c r="CZ289" s="451"/>
      <c r="DA289" s="452"/>
      <c r="DB289" s="451"/>
      <c r="DC289" s="451">
        <f>SUM(DC290:DC290)</f>
        <v>115555</v>
      </c>
      <c r="DD289" s="451"/>
      <c r="DE289" s="451"/>
      <c r="DF289" s="452"/>
      <c r="DG289" s="451"/>
      <c r="DH289" s="451">
        <f>SUM(DH290:DH290)</f>
        <v>0</v>
      </c>
      <c r="DI289" s="451"/>
      <c r="DJ289" s="451"/>
      <c r="DK289" s="452"/>
      <c r="DL289" s="451"/>
      <c r="DM289" s="451">
        <f>SUM(DM290:DM290)</f>
        <v>0</v>
      </c>
      <c r="DN289" s="451"/>
      <c r="DO289" s="451"/>
      <c r="DP289" s="452"/>
      <c r="DQ289" s="451"/>
      <c r="DR289" s="451">
        <f>SUM(DR290:DR290)</f>
        <v>0</v>
      </c>
      <c r="DS289" s="451"/>
      <c r="DT289" s="451"/>
      <c r="DU289" s="452"/>
      <c r="DV289" s="451"/>
      <c r="DW289" s="451">
        <f>SUM(DW290:DW290)</f>
        <v>0</v>
      </c>
      <c r="DX289" s="451"/>
      <c r="DY289" s="451"/>
      <c r="DZ289" s="452"/>
      <c r="EA289" s="451"/>
      <c r="EB289" s="451">
        <f>SUM(EB290:EB290)</f>
        <v>0</v>
      </c>
      <c r="EC289" s="451"/>
      <c r="ED289" s="451"/>
      <c r="EE289" s="452"/>
      <c r="EF289" s="451"/>
      <c r="EG289" s="451">
        <f>SUM(EG290:EG290)</f>
        <v>0</v>
      </c>
      <c r="EH289" s="451"/>
      <c r="EI289" s="451"/>
      <c r="EJ289" s="452"/>
      <c r="EK289" s="451"/>
      <c r="EL289" s="451">
        <f>SUM(EL290:EL290)</f>
        <v>3225244</v>
      </c>
      <c r="EM289" s="451"/>
      <c r="EN289" s="451"/>
      <c r="EO289" s="13"/>
      <c r="ER289" s="14"/>
      <c r="ES289" s="14"/>
    </row>
    <row r="290" spans="4:149" x14ac:dyDescent="0.2">
      <c r="D290" s="13" t="s">
        <v>347</v>
      </c>
      <c r="F290" s="456"/>
      <c r="G290" s="457">
        <v>0</v>
      </c>
      <c r="H290" s="458"/>
      <c r="I290" s="451"/>
      <c r="J290" s="452"/>
      <c r="K290" s="459"/>
      <c r="L290" s="457">
        <v>0</v>
      </c>
      <c r="M290" s="458"/>
      <c r="N290" s="451"/>
      <c r="O290" s="452"/>
      <c r="P290" s="459"/>
      <c r="Q290" s="457">
        <v>29682</v>
      </c>
      <c r="R290" s="458"/>
      <c r="S290" s="451"/>
      <c r="T290" s="452"/>
      <c r="U290" s="459"/>
      <c r="V290" s="457">
        <v>28489</v>
      </c>
      <c r="W290" s="458"/>
      <c r="X290" s="451"/>
      <c r="Y290" s="452"/>
      <c r="Z290" s="459"/>
      <c r="AA290" s="457">
        <v>0</v>
      </c>
      <c r="AB290" s="458"/>
      <c r="AC290" s="451"/>
      <c r="AD290" s="452"/>
      <c r="AE290" s="459"/>
      <c r="AF290" s="457">
        <v>0</v>
      </c>
      <c r="AG290" s="458"/>
      <c r="AH290" s="451"/>
      <c r="AI290" s="452"/>
      <c r="AJ290" s="459"/>
      <c r="AK290" s="457">
        <v>0</v>
      </c>
      <c r="AL290" s="458"/>
      <c r="AM290" s="451"/>
      <c r="AN290" s="452"/>
      <c r="AO290" s="459"/>
      <c r="AP290" s="457">
        <v>0</v>
      </c>
      <c r="AQ290" s="458"/>
      <c r="AR290" s="451"/>
      <c r="AS290" s="452"/>
      <c r="AT290" s="459"/>
      <c r="AU290" s="457">
        <v>0</v>
      </c>
      <c r="AV290" s="458"/>
      <c r="AW290" s="451"/>
      <c r="AX290" s="452"/>
      <c r="AY290" s="459"/>
      <c r="AZ290" s="457">
        <v>59192</v>
      </c>
      <c r="BA290" s="458"/>
      <c r="BB290" s="451"/>
      <c r="BC290" s="452"/>
      <c r="BD290" s="459"/>
      <c r="BE290" s="457">
        <v>0</v>
      </c>
      <c r="BF290" s="458"/>
      <c r="BG290" s="451"/>
      <c r="BH290" s="452"/>
      <c r="BI290" s="459"/>
      <c r="BJ290" s="457">
        <v>0</v>
      </c>
      <c r="BK290" s="458"/>
      <c r="BL290" s="451"/>
      <c r="BM290" s="452"/>
      <c r="BN290" s="459"/>
      <c r="BO290" s="457">
        <v>0</v>
      </c>
      <c r="BP290" s="458"/>
      <c r="BQ290" s="451"/>
      <c r="BR290" s="452"/>
      <c r="BS290" s="459"/>
      <c r="BT290" s="457">
        <f>SUM(L290:BO290)</f>
        <v>117363</v>
      </c>
      <c r="BU290" s="458"/>
      <c r="BV290" s="451"/>
      <c r="BW290" s="452"/>
      <c r="BX290" s="459"/>
      <c r="BY290" s="457">
        <v>3225244</v>
      </c>
      <c r="BZ290" s="458"/>
      <c r="CA290" s="451"/>
      <c r="CB290" s="452"/>
      <c r="CC290" s="459"/>
      <c r="CD290" s="457">
        <v>3109689</v>
      </c>
      <c r="CE290" s="458"/>
      <c r="CF290" s="451"/>
      <c r="CG290" s="452"/>
      <c r="CH290" s="459"/>
      <c r="CI290" s="457">
        <v>0</v>
      </c>
      <c r="CJ290" s="458"/>
      <c r="CK290" s="451"/>
      <c r="CL290" s="452"/>
      <c r="CM290" s="459"/>
      <c r="CN290" s="457">
        <v>0</v>
      </c>
      <c r="CO290" s="458"/>
      <c r="CP290" s="451"/>
      <c r="CQ290" s="452"/>
      <c r="CR290" s="459"/>
      <c r="CS290" s="457">
        <v>0</v>
      </c>
      <c r="CT290" s="458"/>
      <c r="CU290" s="451"/>
      <c r="CV290" s="452"/>
      <c r="CW290" s="459"/>
      <c r="CX290" s="457">
        <v>0</v>
      </c>
      <c r="CY290" s="458"/>
      <c r="CZ290" s="451"/>
      <c r="DA290" s="452"/>
      <c r="DB290" s="459"/>
      <c r="DC290" s="457">
        <v>115555</v>
      </c>
      <c r="DD290" s="458"/>
      <c r="DE290" s="451"/>
      <c r="DF290" s="452"/>
      <c r="DG290" s="459"/>
      <c r="DH290" s="457">
        <v>0</v>
      </c>
      <c r="DI290" s="458"/>
      <c r="DJ290" s="451"/>
      <c r="DK290" s="452"/>
      <c r="DL290" s="459"/>
      <c r="DM290" s="457">
        <v>0</v>
      </c>
      <c r="DN290" s="458"/>
      <c r="DO290" s="451"/>
      <c r="DP290" s="452"/>
      <c r="DQ290" s="459"/>
      <c r="DR290" s="457">
        <v>0</v>
      </c>
      <c r="DS290" s="458"/>
      <c r="DT290" s="451"/>
      <c r="DU290" s="452"/>
      <c r="DV290" s="459"/>
      <c r="DW290" s="457">
        <v>0</v>
      </c>
      <c r="DX290" s="458"/>
      <c r="DY290" s="451"/>
      <c r="DZ290" s="452"/>
      <c r="EA290" s="459"/>
      <c r="EB290" s="457">
        <v>0</v>
      </c>
      <c r="EC290" s="458"/>
      <c r="ED290" s="451"/>
      <c r="EE290" s="452"/>
      <c r="EF290" s="459"/>
      <c r="EG290" s="457">
        <v>0</v>
      </c>
      <c r="EH290" s="458"/>
      <c r="EI290" s="451"/>
      <c r="EJ290" s="452"/>
      <c r="EK290" s="459"/>
      <c r="EL290" s="457">
        <f>SUM(CD290:DW290)</f>
        <v>3225244</v>
      </c>
      <c r="EM290" s="458"/>
      <c r="EN290" s="451"/>
      <c r="EO290" s="13"/>
      <c r="ER290" s="14"/>
      <c r="ES290" s="14"/>
    </row>
    <row r="291" spans="4:149" x14ac:dyDescent="0.2">
      <c r="D291" s="13"/>
      <c r="G291" s="451"/>
      <c r="H291" s="451"/>
      <c r="I291" s="451"/>
      <c r="J291" s="452"/>
      <c r="K291" s="451"/>
      <c r="L291" s="451"/>
      <c r="M291" s="451"/>
      <c r="N291" s="451"/>
      <c r="O291" s="452"/>
      <c r="P291" s="451"/>
      <c r="Q291" s="451"/>
      <c r="R291" s="451"/>
      <c r="S291" s="451"/>
      <c r="T291" s="452"/>
      <c r="U291" s="451"/>
      <c r="V291" s="451"/>
      <c r="W291" s="451"/>
      <c r="X291" s="451"/>
      <c r="Y291" s="452"/>
      <c r="Z291" s="451"/>
      <c r="AA291" s="451"/>
      <c r="AB291" s="451"/>
      <c r="AC291" s="451"/>
      <c r="AD291" s="452"/>
      <c r="AE291" s="451"/>
      <c r="AF291" s="451"/>
      <c r="AG291" s="451"/>
      <c r="AH291" s="451"/>
      <c r="AI291" s="452"/>
      <c r="AJ291" s="451"/>
      <c r="AK291" s="451"/>
      <c r="AL291" s="451"/>
      <c r="AM291" s="451"/>
      <c r="AN291" s="452"/>
      <c r="AO291" s="451"/>
      <c r="AP291" s="451"/>
      <c r="AQ291" s="451"/>
      <c r="AR291" s="451"/>
      <c r="AS291" s="452"/>
      <c r="AT291" s="451"/>
      <c r="AU291" s="451"/>
      <c r="AV291" s="451"/>
      <c r="AW291" s="451"/>
      <c r="AX291" s="452"/>
      <c r="AY291" s="451"/>
      <c r="AZ291" s="451"/>
      <c r="BA291" s="451"/>
      <c r="BB291" s="451"/>
      <c r="BC291" s="452"/>
      <c r="BD291" s="451"/>
      <c r="BE291" s="451"/>
      <c r="BF291" s="451"/>
      <c r="BG291" s="451"/>
      <c r="BH291" s="452"/>
      <c r="BI291" s="451"/>
      <c r="BJ291" s="451"/>
      <c r="BK291" s="451"/>
      <c r="BL291" s="451"/>
      <c r="BM291" s="452"/>
      <c r="BN291" s="451"/>
      <c r="BO291" s="451"/>
      <c r="BP291" s="451"/>
      <c r="BQ291" s="451"/>
      <c r="BR291" s="452"/>
      <c r="BS291" s="451"/>
      <c r="BT291" s="451"/>
      <c r="BU291" s="451"/>
      <c r="BV291" s="451"/>
      <c r="BW291" s="452"/>
      <c r="BX291" s="451"/>
      <c r="BY291" s="451"/>
      <c r="BZ291" s="451"/>
      <c r="CA291" s="451"/>
      <c r="CB291" s="452"/>
      <c r="CC291" s="451"/>
      <c r="CD291" s="451"/>
      <c r="CE291" s="451"/>
      <c r="CF291" s="451"/>
      <c r="CG291" s="452"/>
      <c r="CH291" s="451"/>
      <c r="CI291" s="451"/>
      <c r="CJ291" s="451"/>
      <c r="CK291" s="451"/>
      <c r="CL291" s="452"/>
      <c r="CM291" s="451"/>
      <c r="CN291" s="451"/>
      <c r="CO291" s="451"/>
      <c r="CP291" s="451"/>
      <c r="CQ291" s="452"/>
      <c r="CR291" s="451"/>
      <c r="CS291" s="451"/>
      <c r="CT291" s="451"/>
      <c r="CU291" s="451"/>
      <c r="CV291" s="452"/>
      <c r="CW291" s="451"/>
      <c r="CX291" s="451"/>
      <c r="CY291" s="451"/>
      <c r="CZ291" s="451"/>
      <c r="DA291" s="452"/>
      <c r="DB291" s="451"/>
      <c r="DC291" s="451"/>
      <c r="DD291" s="451"/>
      <c r="DE291" s="451"/>
      <c r="DF291" s="452"/>
      <c r="DG291" s="451"/>
      <c r="DH291" s="451"/>
      <c r="DI291" s="451"/>
      <c r="DJ291" s="451"/>
      <c r="DK291" s="452"/>
      <c r="DL291" s="451"/>
      <c r="DM291" s="451"/>
      <c r="DN291" s="451"/>
      <c r="DO291" s="451"/>
      <c r="DP291" s="452"/>
      <c r="DQ291" s="451"/>
      <c r="DR291" s="451"/>
      <c r="DS291" s="451"/>
      <c r="DT291" s="451"/>
      <c r="DU291" s="452"/>
      <c r="DV291" s="451"/>
      <c r="DW291" s="451"/>
      <c r="DX291" s="451"/>
      <c r="DY291" s="451"/>
      <c r="DZ291" s="452"/>
      <c r="EA291" s="451"/>
      <c r="EB291" s="451"/>
      <c r="EC291" s="451"/>
      <c r="ED291" s="451"/>
      <c r="EE291" s="452"/>
      <c r="EF291" s="451"/>
      <c r="EG291" s="451"/>
      <c r="EH291" s="451"/>
      <c r="EI291" s="451"/>
      <c r="EJ291" s="452"/>
      <c r="EK291" s="451"/>
      <c r="EL291" s="451"/>
      <c r="EM291" s="451"/>
      <c r="EN291" s="451"/>
      <c r="EO291" s="13"/>
      <c r="ER291" s="14"/>
      <c r="ES291" s="14"/>
    </row>
    <row r="292" spans="4:149" ht="12.75" customHeight="1" x14ac:dyDescent="0.2">
      <c r="D292" s="13" t="s">
        <v>373</v>
      </c>
      <c r="G292" s="451">
        <f>SUM(G293:G293)</f>
        <v>0</v>
      </c>
      <c r="H292" s="451"/>
      <c r="I292" s="451"/>
      <c r="J292" s="452"/>
      <c r="K292" s="451"/>
      <c r="L292" s="451">
        <f>SUM(L293:L293)</f>
        <v>0</v>
      </c>
      <c r="M292" s="451"/>
      <c r="N292" s="451"/>
      <c r="O292" s="452"/>
      <c r="P292" s="451"/>
      <c r="Q292" s="451">
        <f>SUM(Q293:Q293)</f>
        <v>0</v>
      </c>
      <c r="R292" s="451"/>
      <c r="S292" s="451"/>
      <c r="T292" s="452"/>
      <c r="U292" s="451"/>
      <c r="V292" s="451"/>
      <c r="W292" s="451"/>
      <c r="X292" s="451"/>
      <c r="Y292" s="452"/>
      <c r="Z292" s="451"/>
      <c r="AA292" s="451">
        <f>+AA293</f>
        <v>0</v>
      </c>
      <c r="AB292" s="451"/>
      <c r="AC292" s="451"/>
      <c r="AD292" s="452"/>
      <c r="AE292" s="451"/>
      <c r="AF292" s="451"/>
      <c r="AG292" s="451"/>
      <c r="AH292" s="451"/>
      <c r="AI292" s="452"/>
      <c r="AJ292" s="451"/>
      <c r="AK292" s="451">
        <f>SUM(AK293:AK293)</f>
        <v>0</v>
      </c>
      <c r="AL292" s="451"/>
      <c r="AM292" s="451"/>
      <c r="AN292" s="452"/>
      <c r="AO292" s="451"/>
      <c r="AP292" s="451"/>
      <c r="AQ292" s="451"/>
      <c r="AR292" s="451"/>
      <c r="AS292" s="452"/>
      <c r="AT292" s="451"/>
      <c r="AU292" s="451">
        <f>SUM(AU293)</f>
        <v>85877</v>
      </c>
      <c r="AV292" s="451"/>
      <c r="AW292" s="451"/>
      <c r="AX292" s="452"/>
      <c r="AY292" s="451"/>
      <c r="AZ292" s="451"/>
      <c r="BA292" s="451"/>
      <c r="BB292" s="451"/>
      <c r="BC292" s="452"/>
      <c r="BD292" s="451"/>
      <c r="BE292" s="451">
        <f>SUM(BE293:BE293)</f>
        <v>132680</v>
      </c>
      <c r="BF292" s="451"/>
      <c r="BG292" s="451"/>
      <c r="BH292" s="452"/>
      <c r="BI292" s="451"/>
      <c r="BJ292" s="451">
        <f>SUM(BJ293:BJ293)</f>
        <v>0</v>
      </c>
      <c r="BK292" s="451"/>
      <c r="BL292" s="451"/>
      <c r="BM292" s="452"/>
      <c r="BN292" s="451"/>
      <c r="BO292" s="451">
        <f>SUM(BO293:BO293)</f>
        <v>0</v>
      </c>
      <c r="BP292" s="451"/>
      <c r="BQ292" s="451"/>
      <c r="BR292" s="452"/>
      <c r="BS292" s="451"/>
      <c r="BT292" s="451">
        <f>SUM(BT293:BT293)</f>
        <v>218557</v>
      </c>
      <c r="BU292" s="451"/>
      <c r="BV292" s="451"/>
      <c r="BW292" s="452"/>
      <c r="BX292" s="451"/>
      <c r="BY292" s="451">
        <f>SUM(BY293:BY293)</f>
        <v>0</v>
      </c>
      <c r="BZ292" s="451"/>
      <c r="CA292" s="451"/>
      <c r="CB292" s="452"/>
      <c r="CC292" s="451"/>
      <c r="CD292" s="451">
        <f>SUM(CD293:CD293)</f>
        <v>0</v>
      </c>
      <c r="CE292" s="451"/>
      <c r="CF292" s="451"/>
      <c r="CG292" s="452"/>
      <c r="CH292" s="451"/>
      <c r="CI292" s="451">
        <f>SUM(CI293:CI293)</f>
        <v>0</v>
      </c>
      <c r="CJ292" s="451"/>
      <c r="CK292" s="451"/>
      <c r="CL292" s="452"/>
      <c r="CM292" s="451"/>
      <c r="CN292" s="451"/>
      <c r="CO292" s="451"/>
      <c r="CP292" s="451"/>
      <c r="CQ292" s="452"/>
      <c r="CR292" s="451"/>
      <c r="CS292" s="451">
        <f>+CS293</f>
        <v>0</v>
      </c>
      <c r="CT292" s="451"/>
      <c r="CU292" s="451"/>
      <c r="CV292" s="452"/>
      <c r="CW292" s="451"/>
      <c r="CX292" s="451"/>
      <c r="CY292" s="451"/>
      <c r="CZ292" s="451"/>
      <c r="DA292" s="452"/>
      <c r="DB292" s="451"/>
      <c r="DC292" s="451">
        <f>SUM(DC293:DC293)</f>
        <v>0</v>
      </c>
      <c r="DD292" s="451"/>
      <c r="DE292" s="451"/>
      <c r="DF292" s="452"/>
      <c r="DG292" s="451"/>
      <c r="DH292" s="451"/>
      <c r="DI292" s="451"/>
      <c r="DJ292" s="451"/>
      <c r="DK292" s="452"/>
      <c r="DL292" s="451"/>
      <c r="DM292" s="451">
        <f>SUM(DM293)</f>
        <v>0</v>
      </c>
      <c r="DN292" s="451"/>
      <c r="DO292" s="451"/>
      <c r="DP292" s="452"/>
      <c r="DQ292" s="451"/>
      <c r="DR292" s="451"/>
      <c r="DS292" s="451"/>
      <c r="DT292" s="451"/>
      <c r="DU292" s="452"/>
      <c r="DV292" s="451"/>
      <c r="DW292" s="451">
        <f>SUM(DW293:DW293)</f>
        <v>0</v>
      </c>
      <c r="DX292" s="451"/>
      <c r="DY292" s="451"/>
      <c r="DZ292" s="452"/>
      <c r="EA292" s="451"/>
      <c r="EB292" s="451">
        <f>SUM(EB293:EB293)</f>
        <v>0</v>
      </c>
      <c r="EC292" s="451"/>
      <c r="ED292" s="451"/>
      <c r="EE292" s="452"/>
      <c r="EF292" s="451"/>
      <c r="EG292" s="451">
        <f>SUM(EG293:EG293)</f>
        <v>0</v>
      </c>
      <c r="EH292" s="451"/>
      <c r="EI292" s="451"/>
      <c r="EJ292" s="452"/>
      <c r="EK292" s="451"/>
      <c r="EL292" s="451">
        <f>SUM(EL293:EL293)</f>
        <v>0</v>
      </c>
      <c r="EM292" s="451"/>
      <c r="EN292" s="451"/>
      <c r="EO292" s="13"/>
      <c r="ER292" s="14"/>
      <c r="ES292" s="14"/>
    </row>
    <row r="293" spans="4:149" ht="12.75" customHeight="1" x14ac:dyDescent="0.2">
      <c r="D293" s="13" t="s">
        <v>347</v>
      </c>
      <c r="F293" s="456"/>
      <c r="G293" s="457">
        <v>0</v>
      </c>
      <c r="H293" s="458"/>
      <c r="I293" s="451"/>
      <c r="J293" s="452"/>
      <c r="K293" s="459"/>
      <c r="L293" s="487">
        <v>0</v>
      </c>
      <c r="M293" s="458"/>
      <c r="N293" s="451"/>
      <c r="O293" s="452"/>
      <c r="P293" s="459"/>
      <c r="Q293" s="487">
        <v>0</v>
      </c>
      <c r="R293" s="458"/>
      <c r="S293" s="451"/>
      <c r="T293" s="452"/>
      <c r="U293" s="459"/>
      <c r="V293" s="487">
        <v>0</v>
      </c>
      <c r="W293" s="458"/>
      <c r="X293" s="455"/>
      <c r="Y293" s="452"/>
      <c r="Z293" s="459"/>
      <c r="AA293" s="487">
        <v>0</v>
      </c>
      <c r="AB293" s="458"/>
      <c r="AC293" s="462"/>
      <c r="AD293" s="452"/>
      <c r="AE293" s="459"/>
      <c r="AF293" s="487">
        <v>0</v>
      </c>
      <c r="AG293" s="458"/>
      <c r="AH293" s="451"/>
      <c r="AI293" s="452"/>
      <c r="AJ293" s="459"/>
      <c r="AK293" s="487">
        <v>0</v>
      </c>
      <c r="AL293" s="458"/>
      <c r="AM293" s="451"/>
      <c r="AN293" s="452"/>
      <c r="AO293" s="459"/>
      <c r="AP293" s="487">
        <v>0</v>
      </c>
      <c r="AQ293" s="458"/>
      <c r="AR293" s="451"/>
      <c r="AS293" s="452"/>
      <c r="AT293" s="459"/>
      <c r="AU293" s="487">
        <v>85877</v>
      </c>
      <c r="AV293" s="458"/>
      <c r="AW293" s="451"/>
      <c r="AX293" s="452"/>
      <c r="AY293" s="459"/>
      <c r="AZ293" s="487">
        <v>0</v>
      </c>
      <c r="BA293" s="458"/>
      <c r="BB293" s="451"/>
      <c r="BC293" s="452"/>
      <c r="BD293" s="459"/>
      <c r="BE293" s="487">
        <v>132680</v>
      </c>
      <c r="BF293" s="458"/>
      <c r="BG293" s="451"/>
      <c r="BH293" s="452"/>
      <c r="BI293" s="459"/>
      <c r="BJ293" s="487">
        <v>0</v>
      </c>
      <c r="BK293" s="458"/>
      <c r="BL293" s="451"/>
      <c r="BM293" s="452"/>
      <c r="BN293" s="459"/>
      <c r="BO293" s="487">
        <v>0</v>
      </c>
      <c r="BP293" s="458"/>
      <c r="BQ293" s="451"/>
      <c r="BR293" s="452"/>
      <c r="BS293" s="456"/>
      <c r="BT293" s="487">
        <f>SUM(L293:BO293)</f>
        <v>218557</v>
      </c>
      <c r="BU293" s="458"/>
      <c r="BV293" s="451"/>
      <c r="BW293" s="462"/>
      <c r="BX293" s="456"/>
      <c r="BY293" s="487">
        <v>0</v>
      </c>
      <c r="BZ293" s="458"/>
      <c r="CA293" s="451"/>
      <c r="CB293" s="452"/>
      <c r="CC293" s="459"/>
      <c r="CD293" s="487">
        <v>0</v>
      </c>
      <c r="CE293" s="458"/>
      <c r="CF293" s="451"/>
      <c r="CG293" s="452"/>
      <c r="CH293" s="459"/>
      <c r="CI293" s="487">
        <v>0</v>
      </c>
      <c r="CJ293" s="458"/>
      <c r="CK293" s="451"/>
      <c r="CL293" s="452"/>
      <c r="CM293" s="459"/>
      <c r="CN293" s="487">
        <v>0</v>
      </c>
      <c r="CO293" s="458"/>
      <c r="CP293" s="455"/>
      <c r="CQ293" s="452"/>
      <c r="CR293" s="459"/>
      <c r="CS293" s="487">
        <v>0</v>
      </c>
      <c r="CT293" s="458"/>
      <c r="CU293" s="462"/>
      <c r="CV293" s="452"/>
      <c r="CW293" s="459"/>
      <c r="CX293" s="487">
        <v>0</v>
      </c>
      <c r="CY293" s="458"/>
      <c r="CZ293" s="451"/>
      <c r="DA293" s="452"/>
      <c r="DB293" s="459"/>
      <c r="DC293" s="487">
        <v>0</v>
      </c>
      <c r="DD293" s="458"/>
      <c r="DE293" s="451"/>
      <c r="DF293" s="452"/>
      <c r="DG293" s="459"/>
      <c r="DH293" s="487">
        <v>0</v>
      </c>
      <c r="DI293" s="458"/>
      <c r="DJ293" s="451"/>
      <c r="DK293" s="452"/>
      <c r="DL293" s="459"/>
      <c r="DM293" s="487">
        <v>0</v>
      </c>
      <c r="DN293" s="458"/>
      <c r="DO293" s="451"/>
      <c r="DP293" s="452"/>
      <c r="DQ293" s="459"/>
      <c r="DR293" s="487">
        <v>0</v>
      </c>
      <c r="DS293" s="458"/>
      <c r="DT293" s="451"/>
      <c r="DU293" s="452"/>
      <c r="DV293" s="459"/>
      <c r="DW293" s="487">
        <v>0</v>
      </c>
      <c r="DX293" s="458"/>
      <c r="DY293" s="451"/>
      <c r="DZ293" s="452"/>
      <c r="EA293" s="459"/>
      <c r="EB293" s="487">
        <v>0</v>
      </c>
      <c r="EC293" s="458"/>
      <c r="ED293" s="451"/>
      <c r="EE293" s="452"/>
      <c r="EF293" s="459"/>
      <c r="EG293" s="487">
        <v>0</v>
      </c>
      <c r="EH293" s="458"/>
      <c r="EI293" s="451"/>
      <c r="EJ293" s="452"/>
      <c r="EK293" s="459"/>
      <c r="EL293" s="487">
        <f>SUM(CD293:DW293)</f>
        <v>0</v>
      </c>
      <c r="EM293" s="458"/>
      <c r="EN293" s="488"/>
      <c r="EO293" s="13"/>
      <c r="ER293" s="14"/>
      <c r="ES293" s="14"/>
    </row>
    <row r="294" spans="4:149" ht="12.75" customHeight="1" x14ac:dyDescent="0.2">
      <c r="D294" s="13"/>
      <c r="G294" s="451"/>
      <c r="H294" s="451"/>
      <c r="I294" s="451"/>
      <c r="J294" s="452"/>
      <c r="K294" s="451"/>
      <c r="L294" s="451"/>
      <c r="M294" s="451"/>
      <c r="N294" s="451"/>
      <c r="O294" s="452"/>
      <c r="P294" s="451"/>
      <c r="Q294" s="451"/>
      <c r="R294" s="451"/>
      <c r="S294" s="451"/>
      <c r="T294" s="452"/>
      <c r="U294" s="451"/>
      <c r="V294" s="451"/>
      <c r="W294" s="451"/>
      <c r="X294" s="451"/>
      <c r="Y294" s="452"/>
      <c r="Z294" s="451"/>
      <c r="AA294" s="451"/>
      <c r="AB294" s="451"/>
      <c r="AC294" s="451"/>
      <c r="AD294" s="452"/>
      <c r="AE294" s="451"/>
      <c r="AF294" s="451"/>
      <c r="AG294" s="451"/>
      <c r="AH294" s="451"/>
      <c r="AI294" s="452"/>
      <c r="AJ294" s="451"/>
      <c r="AK294" s="451"/>
      <c r="AL294" s="451"/>
      <c r="AM294" s="451"/>
      <c r="AN294" s="452"/>
      <c r="AO294" s="451"/>
      <c r="AP294" s="451"/>
      <c r="AQ294" s="451"/>
      <c r="AR294" s="451"/>
      <c r="AS294" s="452"/>
      <c r="AT294" s="451"/>
      <c r="AU294" s="451"/>
      <c r="AV294" s="451"/>
      <c r="AW294" s="451"/>
      <c r="AX294" s="452"/>
      <c r="AY294" s="451"/>
      <c r="AZ294" s="451"/>
      <c r="BA294" s="451"/>
      <c r="BB294" s="451"/>
      <c r="BC294" s="452"/>
      <c r="BD294" s="451"/>
      <c r="BE294" s="451"/>
      <c r="BF294" s="451"/>
      <c r="BG294" s="451"/>
      <c r="BH294" s="452"/>
      <c r="BI294" s="451"/>
      <c r="BJ294" s="451"/>
      <c r="BK294" s="451"/>
      <c r="BL294" s="451"/>
      <c r="BM294" s="452"/>
      <c r="BN294" s="451"/>
      <c r="BO294" s="451"/>
      <c r="BP294" s="451"/>
      <c r="BQ294" s="451"/>
      <c r="BR294" s="452"/>
      <c r="BS294" s="451"/>
      <c r="BT294" s="451"/>
      <c r="BU294" s="451"/>
      <c r="BV294" s="451"/>
      <c r="BW294" s="452"/>
      <c r="BX294" s="451"/>
      <c r="BY294" s="451"/>
      <c r="BZ294" s="451"/>
      <c r="CA294" s="451"/>
      <c r="CB294" s="452"/>
      <c r="CC294" s="451"/>
      <c r="CD294" s="451"/>
      <c r="CE294" s="451"/>
      <c r="CF294" s="451"/>
      <c r="CG294" s="452"/>
      <c r="CH294" s="451"/>
      <c r="CI294" s="451"/>
      <c r="CJ294" s="451"/>
      <c r="CK294" s="451"/>
      <c r="CL294" s="452"/>
      <c r="CM294" s="451"/>
      <c r="CN294" s="451"/>
      <c r="CO294" s="451"/>
      <c r="CP294" s="451"/>
      <c r="CQ294" s="452"/>
      <c r="CR294" s="451"/>
      <c r="CS294" s="451"/>
      <c r="CT294" s="451"/>
      <c r="CU294" s="451"/>
      <c r="CV294" s="452"/>
      <c r="CW294" s="451"/>
      <c r="CX294" s="451"/>
      <c r="CY294" s="451"/>
      <c r="CZ294" s="451"/>
      <c r="DA294" s="452"/>
      <c r="DB294" s="451"/>
      <c r="DC294" s="451"/>
      <c r="DD294" s="451"/>
      <c r="DE294" s="451"/>
      <c r="DF294" s="452"/>
      <c r="DG294" s="451"/>
      <c r="DH294" s="451"/>
      <c r="DI294" s="451"/>
      <c r="DJ294" s="451"/>
      <c r="DK294" s="452"/>
      <c r="DL294" s="451"/>
      <c r="DM294" s="451"/>
      <c r="DN294" s="451"/>
      <c r="DO294" s="451"/>
      <c r="DP294" s="452"/>
      <c r="DQ294" s="451"/>
      <c r="DR294" s="451"/>
      <c r="DS294" s="451"/>
      <c r="DT294" s="451"/>
      <c r="DU294" s="452"/>
      <c r="DV294" s="451"/>
      <c r="DW294" s="451"/>
      <c r="DX294" s="451"/>
      <c r="DY294" s="451"/>
      <c r="DZ294" s="452"/>
      <c r="EA294" s="451"/>
      <c r="EB294" s="451"/>
      <c r="EC294" s="451"/>
      <c r="ED294" s="451"/>
      <c r="EE294" s="452"/>
      <c r="EF294" s="451"/>
      <c r="EG294" s="451"/>
      <c r="EH294" s="451"/>
      <c r="EI294" s="451"/>
      <c r="EJ294" s="452"/>
      <c r="EK294" s="451"/>
      <c r="EL294" s="451"/>
      <c r="EM294" s="451"/>
      <c r="EN294" s="451"/>
      <c r="EO294" s="13"/>
      <c r="ER294" s="14"/>
      <c r="ES294" s="14"/>
    </row>
    <row r="295" spans="4:149" x14ac:dyDescent="0.2">
      <c r="D295" s="13" t="s">
        <v>380</v>
      </c>
      <c r="G295" s="451">
        <f>SUM(G296:G296)</f>
        <v>0</v>
      </c>
      <c r="H295" s="451"/>
      <c r="I295" s="451"/>
      <c r="J295" s="452"/>
      <c r="K295" s="451"/>
      <c r="L295" s="451">
        <f>SUM(L296:L296)</f>
        <v>0</v>
      </c>
      <c r="M295" s="451"/>
      <c r="N295" s="451"/>
      <c r="O295" s="452"/>
      <c r="P295" s="451"/>
      <c r="Q295" s="451">
        <f>SUM(Q296:Q296)</f>
        <v>0</v>
      </c>
      <c r="R295" s="451"/>
      <c r="S295" s="451"/>
      <c r="T295" s="452"/>
      <c r="U295" s="451"/>
      <c r="V295" s="451">
        <f>SUM(V296:V296)</f>
        <v>0</v>
      </c>
      <c r="W295" s="451"/>
      <c r="X295" s="451"/>
      <c r="Y295" s="452"/>
      <c r="Z295" s="451"/>
      <c r="AA295" s="451">
        <f>SUM(AA296:AA296)</f>
        <v>0</v>
      </c>
      <c r="AB295" s="451"/>
      <c r="AC295" s="451"/>
      <c r="AD295" s="452"/>
      <c r="AE295" s="451"/>
      <c r="AF295" s="451">
        <f>SUM(AF296:AF296)</f>
        <v>0</v>
      </c>
      <c r="AG295" s="451"/>
      <c r="AH295" s="451"/>
      <c r="AI295" s="452"/>
      <c r="AJ295" s="451"/>
      <c r="AK295" s="451">
        <f>SUM(AK296:AK296)</f>
        <v>0</v>
      </c>
      <c r="AL295" s="451"/>
      <c r="AM295" s="451"/>
      <c r="AN295" s="452"/>
      <c r="AO295" s="451"/>
      <c r="AP295" s="451">
        <f>SUM(AP296:AP296)</f>
        <v>0</v>
      </c>
      <c r="AQ295" s="451"/>
      <c r="AR295" s="451"/>
      <c r="AS295" s="452"/>
      <c r="AT295" s="451"/>
      <c r="AU295" s="451">
        <f>SUM(AU296:AU296)</f>
        <v>0</v>
      </c>
      <c r="AV295" s="451"/>
      <c r="AW295" s="451"/>
      <c r="AX295" s="452"/>
      <c r="AY295" s="451"/>
      <c r="AZ295" s="451">
        <f>SUM(AZ296:AZ296)</f>
        <v>0</v>
      </c>
      <c r="BA295" s="451"/>
      <c r="BB295" s="451"/>
      <c r="BC295" s="452"/>
      <c r="BD295" s="451"/>
      <c r="BE295" s="451">
        <f>SUM(BE296:BE296)</f>
        <v>0</v>
      </c>
      <c r="BF295" s="451"/>
      <c r="BG295" s="451"/>
      <c r="BH295" s="452"/>
      <c r="BI295" s="451"/>
      <c r="BJ295" s="451">
        <f>SUM(BJ296:BJ296)</f>
        <v>0</v>
      </c>
      <c r="BK295" s="451"/>
      <c r="BL295" s="451"/>
      <c r="BM295" s="452"/>
      <c r="BN295" s="451"/>
      <c r="BO295" s="451">
        <f>SUM(BO296:BO296)</f>
        <v>0</v>
      </c>
      <c r="BP295" s="451"/>
      <c r="BQ295" s="451"/>
      <c r="BR295" s="452"/>
      <c r="BS295" s="451"/>
      <c r="BT295" s="451">
        <f>SUM(BT296:BT296)</f>
        <v>0</v>
      </c>
      <c r="BU295" s="451"/>
      <c r="BV295" s="451"/>
      <c r="BW295" s="452"/>
      <c r="BX295" s="451"/>
      <c r="BY295" s="451">
        <f>SUM(BY296:BY296)</f>
        <v>54098</v>
      </c>
      <c r="BZ295" s="451"/>
      <c r="CA295" s="451"/>
      <c r="CB295" s="452"/>
      <c r="CC295" s="451"/>
      <c r="CD295" s="451">
        <f>SUM(CD296:CD296)</f>
        <v>0</v>
      </c>
      <c r="CE295" s="451"/>
      <c r="CF295" s="451"/>
      <c r="CG295" s="452"/>
      <c r="CH295" s="451"/>
      <c r="CI295" s="451">
        <f>SUM(CI296:CI296)</f>
        <v>0</v>
      </c>
      <c r="CJ295" s="451"/>
      <c r="CK295" s="451"/>
      <c r="CL295" s="452"/>
      <c r="CM295" s="451"/>
      <c r="CN295" s="451">
        <f>SUM(CN296:CN296)</f>
        <v>0</v>
      </c>
      <c r="CO295" s="451"/>
      <c r="CP295" s="451"/>
      <c r="CQ295" s="452"/>
      <c r="CR295" s="451"/>
      <c r="CS295" s="451">
        <f>SUM(CS296:CS296)</f>
        <v>0</v>
      </c>
      <c r="CT295" s="451"/>
      <c r="CU295" s="451"/>
      <c r="CV295" s="452"/>
      <c r="CW295" s="451"/>
      <c r="CX295" s="451">
        <f>SUM(CX296:CX296)</f>
        <v>0</v>
      </c>
      <c r="CY295" s="451"/>
      <c r="CZ295" s="451"/>
      <c r="DA295" s="452"/>
      <c r="DB295" s="451"/>
      <c r="DC295" s="451">
        <f>SUM(DC296:DC296)</f>
        <v>0</v>
      </c>
      <c r="DD295" s="451"/>
      <c r="DE295" s="451"/>
      <c r="DF295" s="452"/>
      <c r="DG295" s="451"/>
      <c r="DH295" s="451">
        <f>SUM(DH296:DH296)</f>
        <v>0</v>
      </c>
      <c r="DI295" s="451"/>
      <c r="DJ295" s="451"/>
      <c r="DK295" s="452"/>
      <c r="DL295" s="451"/>
      <c r="DM295" s="451">
        <f>SUM(DM296:DM296)</f>
        <v>0</v>
      </c>
      <c r="DN295" s="451"/>
      <c r="DO295" s="451"/>
      <c r="DP295" s="452"/>
      <c r="DQ295" s="451"/>
      <c r="DR295" s="451">
        <f>SUM(DR296:DR296)</f>
        <v>0</v>
      </c>
      <c r="DS295" s="451"/>
      <c r="DT295" s="451"/>
      <c r="DU295" s="452"/>
      <c r="DV295" s="451"/>
      <c r="DW295" s="451">
        <f>SUM(DW296:DW296)</f>
        <v>0</v>
      </c>
      <c r="DX295" s="451"/>
      <c r="DY295" s="451"/>
      <c r="DZ295" s="452"/>
      <c r="EA295" s="451"/>
      <c r="EB295" s="451">
        <f>SUM(EB296:EB296)</f>
        <v>0</v>
      </c>
      <c r="EC295" s="451"/>
      <c r="ED295" s="451"/>
      <c r="EE295" s="452"/>
      <c r="EF295" s="451"/>
      <c r="EG295" s="451">
        <f>SUM(EG296:EG296)</f>
        <v>54098</v>
      </c>
      <c r="EH295" s="451"/>
      <c r="EI295" s="451"/>
      <c r="EJ295" s="452"/>
      <c r="EK295" s="451"/>
      <c r="EL295" s="451">
        <f>SUM(EL296:EL296)</f>
        <v>0</v>
      </c>
      <c r="EM295" s="451"/>
      <c r="EN295" s="451"/>
      <c r="EO295" s="13"/>
      <c r="ER295" s="14"/>
      <c r="ES295" s="14"/>
    </row>
    <row r="296" spans="4:149" x14ac:dyDescent="0.2">
      <c r="D296" s="13" t="s">
        <v>347</v>
      </c>
      <c r="F296" s="456"/>
      <c r="G296" s="457">
        <v>0</v>
      </c>
      <c r="H296" s="458"/>
      <c r="I296" s="451"/>
      <c r="J296" s="452"/>
      <c r="K296" s="459"/>
      <c r="L296" s="487">
        <v>0</v>
      </c>
      <c r="M296" s="458"/>
      <c r="N296" s="451"/>
      <c r="O296" s="452"/>
      <c r="P296" s="459"/>
      <c r="Q296" s="487">
        <v>0</v>
      </c>
      <c r="R296" s="458"/>
      <c r="S296" s="451"/>
      <c r="T296" s="452"/>
      <c r="U296" s="459"/>
      <c r="V296" s="487">
        <v>0</v>
      </c>
      <c r="W296" s="458"/>
      <c r="X296" s="455"/>
      <c r="Y296" s="452"/>
      <c r="Z296" s="459"/>
      <c r="AA296" s="487">
        <v>0</v>
      </c>
      <c r="AB296" s="458"/>
      <c r="AC296" s="462"/>
      <c r="AD296" s="452"/>
      <c r="AE296" s="459"/>
      <c r="AF296" s="487">
        <v>0</v>
      </c>
      <c r="AG296" s="458"/>
      <c r="AH296" s="451"/>
      <c r="AI296" s="452"/>
      <c r="AJ296" s="459"/>
      <c r="AK296" s="487">
        <v>0</v>
      </c>
      <c r="AL296" s="458"/>
      <c r="AM296" s="451"/>
      <c r="AN296" s="452"/>
      <c r="AO296" s="459"/>
      <c r="AP296" s="487">
        <v>0</v>
      </c>
      <c r="AQ296" s="458"/>
      <c r="AR296" s="451"/>
      <c r="AS296" s="452"/>
      <c r="AT296" s="459"/>
      <c r="AU296" s="487">
        <v>0</v>
      </c>
      <c r="AV296" s="458"/>
      <c r="AW296" s="451"/>
      <c r="AX296" s="452"/>
      <c r="AY296" s="459"/>
      <c r="AZ296" s="487">
        <v>0</v>
      </c>
      <c r="BA296" s="458"/>
      <c r="BB296" s="451"/>
      <c r="BC296" s="452"/>
      <c r="BD296" s="459"/>
      <c r="BE296" s="487">
        <v>0</v>
      </c>
      <c r="BF296" s="458"/>
      <c r="BG296" s="451"/>
      <c r="BH296" s="452"/>
      <c r="BI296" s="459"/>
      <c r="BJ296" s="487">
        <v>0</v>
      </c>
      <c r="BK296" s="458"/>
      <c r="BL296" s="451"/>
      <c r="BM296" s="452"/>
      <c r="BN296" s="459"/>
      <c r="BO296" s="487">
        <v>0</v>
      </c>
      <c r="BP296" s="458">
        <v>0</v>
      </c>
      <c r="BQ296" s="451"/>
      <c r="BR296" s="452"/>
      <c r="BS296" s="456">
        <v>54207</v>
      </c>
      <c r="BT296" s="487">
        <f>SUM(L296:BO296)</f>
        <v>0</v>
      </c>
      <c r="BU296" s="458">
        <v>0</v>
      </c>
      <c r="BV296" s="451"/>
      <c r="BW296" s="462"/>
      <c r="BX296" s="456"/>
      <c r="BY296" s="487">
        <v>54098</v>
      </c>
      <c r="BZ296" s="458"/>
      <c r="CA296" s="451"/>
      <c r="CB296" s="452"/>
      <c r="CC296" s="459"/>
      <c r="CD296" s="487">
        <v>0</v>
      </c>
      <c r="CE296" s="458"/>
      <c r="CF296" s="451"/>
      <c r="CG296" s="452"/>
      <c r="CH296" s="459"/>
      <c r="CI296" s="487">
        <v>0</v>
      </c>
      <c r="CJ296" s="458"/>
      <c r="CK296" s="451"/>
      <c r="CL296" s="452"/>
      <c r="CM296" s="459"/>
      <c r="CN296" s="487">
        <v>0</v>
      </c>
      <c r="CO296" s="458"/>
      <c r="CP296" s="455"/>
      <c r="CQ296" s="452"/>
      <c r="CR296" s="459"/>
      <c r="CS296" s="487">
        <v>0</v>
      </c>
      <c r="CT296" s="458"/>
      <c r="CU296" s="462"/>
      <c r="CV296" s="452"/>
      <c r="CW296" s="459"/>
      <c r="CX296" s="487">
        <v>0</v>
      </c>
      <c r="CY296" s="458"/>
      <c r="CZ296" s="451"/>
      <c r="DA296" s="452"/>
      <c r="DB296" s="459"/>
      <c r="DC296" s="487">
        <v>0</v>
      </c>
      <c r="DD296" s="458"/>
      <c r="DE296" s="451"/>
      <c r="DF296" s="452"/>
      <c r="DG296" s="459"/>
      <c r="DH296" s="487">
        <v>0</v>
      </c>
      <c r="DI296" s="458"/>
      <c r="DJ296" s="451"/>
      <c r="DK296" s="452"/>
      <c r="DL296" s="459"/>
      <c r="DM296" s="487">
        <v>0</v>
      </c>
      <c r="DN296" s="458"/>
      <c r="DO296" s="451"/>
      <c r="DP296" s="452"/>
      <c r="DQ296" s="459"/>
      <c r="DR296" s="487">
        <v>0</v>
      </c>
      <c r="DS296" s="458"/>
      <c r="DT296" s="451"/>
      <c r="DU296" s="452"/>
      <c r="DV296" s="459"/>
      <c r="DW296" s="487">
        <v>0</v>
      </c>
      <c r="DX296" s="458"/>
      <c r="DY296" s="451"/>
      <c r="DZ296" s="452"/>
      <c r="EA296" s="459"/>
      <c r="EB296" s="487">
        <v>0</v>
      </c>
      <c r="EC296" s="458"/>
      <c r="ED296" s="451"/>
      <c r="EE296" s="452"/>
      <c r="EF296" s="459"/>
      <c r="EG296" s="487">
        <v>54098</v>
      </c>
      <c r="EH296" s="458">
        <v>0</v>
      </c>
      <c r="EI296" s="451"/>
      <c r="EJ296" s="452"/>
      <c r="EK296" s="459">
        <v>54207</v>
      </c>
      <c r="EL296" s="487">
        <f>SUM(CD296:DW296)</f>
        <v>0</v>
      </c>
      <c r="EM296" s="458">
        <v>0</v>
      </c>
      <c r="EN296" s="488"/>
      <c r="EO296" s="13"/>
      <c r="ER296" s="14"/>
      <c r="ES296" s="14"/>
    </row>
    <row r="297" spans="4:149" x14ac:dyDescent="0.2">
      <c r="D297" s="13"/>
      <c r="G297" s="451"/>
      <c r="H297" s="451"/>
      <c r="I297" s="451"/>
      <c r="J297" s="452"/>
      <c r="K297" s="451"/>
      <c r="L297" s="451"/>
      <c r="M297" s="451"/>
      <c r="N297" s="451"/>
      <c r="O297" s="452"/>
      <c r="P297" s="451"/>
      <c r="Q297" s="451"/>
      <c r="R297" s="451"/>
      <c r="S297" s="451"/>
      <c r="T297" s="452"/>
      <c r="U297" s="451"/>
      <c r="V297" s="451"/>
      <c r="W297" s="451"/>
      <c r="X297" s="451"/>
      <c r="Y297" s="452"/>
      <c r="Z297" s="451"/>
      <c r="AA297" s="451"/>
      <c r="AB297" s="451"/>
      <c r="AC297" s="451"/>
      <c r="AD297" s="452"/>
      <c r="AE297" s="451"/>
      <c r="AF297" s="451"/>
      <c r="AG297" s="451"/>
      <c r="AH297" s="451"/>
      <c r="AI297" s="452"/>
      <c r="AJ297" s="451"/>
      <c r="AK297" s="451"/>
      <c r="AL297" s="451"/>
      <c r="AM297" s="451"/>
      <c r="AN297" s="452"/>
      <c r="AO297" s="451"/>
      <c r="AP297" s="451"/>
      <c r="AQ297" s="451"/>
      <c r="AR297" s="451"/>
      <c r="AS297" s="452"/>
      <c r="AT297" s="451"/>
      <c r="AU297" s="451"/>
      <c r="AV297" s="451"/>
      <c r="AW297" s="451"/>
      <c r="AX297" s="452"/>
      <c r="AY297" s="451"/>
      <c r="AZ297" s="451"/>
      <c r="BA297" s="451"/>
      <c r="BB297" s="451"/>
      <c r="BC297" s="452"/>
      <c r="BD297" s="451"/>
      <c r="BE297" s="451"/>
      <c r="BF297" s="451"/>
      <c r="BG297" s="451"/>
      <c r="BH297" s="452"/>
      <c r="BI297" s="451"/>
      <c r="BJ297" s="451"/>
      <c r="BK297" s="451"/>
      <c r="BL297" s="451"/>
      <c r="BM297" s="452"/>
      <c r="BN297" s="451"/>
      <c r="BO297" s="451"/>
      <c r="BP297" s="451"/>
      <c r="BQ297" s="451"/>
      <c r="BR297" s="452"/>
      <c r="BS297" s="451"/>
      <c r="BT297" s="451"/>
      <c r="BU297" s="451"/>
      <c r="BV297" s="451"/>
      <c r="BW297" s="452"/>
      <c r="BX297" s="451"/>
      <c r="BY297" s="451"/>
      <c r="BZ297" s="451"/>
      <c r="CA297" s="451"/>
      <c r="CB297" s="452"/>
      <c r="CC297" s="451"/>
      <c r="CD297" s="451"/>
      <c r="CE297" s="451"/>
      <c r="CF297" s="451"/>
      <c r="CG297" s="452"/>
      <c r="CH297" s="451"/>
      <c r="CI297" s="451"/>
      <c r="CJ297" s="451"/>
      <c r="CK297" s="451"/>
      <c r="CL297" s="452"/>
      <c r="CM297" s="451"/>
      <c r="CN297" s="451"/>
      <c r="CO297" s="451"/>
      <c r="CP297" s="451"/>
      <c r="CQ297" s="452"/>
      <c r="CR297" s="451"/>
      <c r="CS297" s="451"/>
      <c r="CT297" s="451"/>
      <c r="CU297" s="451"/>
      <c r="CV297" s="452"/>
      <c r="CW297" s="451"/>
      <c r="CX297" s="451"/>
      <c r="CY297" s="451"/>
      <c r="CZ297" s="451"/>
      <c r="DA297" s="452"/>
      <c r="DB297" s="451"/>
      <c r="DC297" s="451"/>
      <c r="DD297" s="451"/>
      <c r="DE297" s="451"/>
      <c r="DF297" s="452"/>
      <c r="DG297" s="451"/>
      <c r="DH297" s="451"/>
      <c r="DI297" s="451"/>
      <c r="DJ297" s="451"/>
      <c r="DK297" s="452"/>
      <c r="DL297" s="451"/>
      <c r="DM297" s="451"/>
      <c r="DN297" s="451"/>
      <c r="DO297" s="451"/>
      <c r="DP297" s="452"/>
      <c r="DQ297" s="451"/>
      <c r="DR297" s="451"/>
      <c r="DS297" s="451"/>
      <c r="DT297" s="451"/>
      <c r="DU297" s="452"/>
      <c r="DV297" s="451"/>
      <c r="DW297" s="451"/>
      <c r="DX297" s="451"/>
      <c r="DY297" s="451"/>
      <c r="DZ297" s="452"/>
      <c r="EA297" s="451"/>
      <c r="EB297" s="451"/>
      <c r="EC297" s="451"/>
      <c r="ED297" s="451"/>
      <c r="EE297" s="452"/>
      <c r="EF297" s="451"/>
      <c r="EG297" s="451"/>
      <c r="EH297" s="451"/>
      <c r="EI297" s="451"/>
      <c r="EJ297" s="452"/>
      <c r="EK297" s="451"/>
      <c r="EL297" s="451"/>
      <c r="EM297" s="451"/>
      <c r="EN297" s="451"/>
      <c r="EO297" s="13"/>
      <c r="ER297" s="14"/>
      <c r="ES297" s="14"/>
    </row>
    <row r="298" spans="4:149" ht="12.75" customHeight="1" x14ac:dyDescent="0.2">
      <c r="D298" s="13" t="s">
        <v>360</v>
      </c>
      <c r="G298" s="451">
        <f>SUM(G299)</f>
        <v>0</v>
      </c>
      <c r="H298" s="451"/>
      <c r="I298" s="451"/>
      <c r="J298" s="452"/>
      <c r="K298" s="451"/>
      <c r="L298" s="451">
        <f>SUM(L299:L299)</f>
        <v>0</v>
      </c>
      <c r="M298" s="451"/>
      <c r="N298" s="451"/>
      <c r="O298" s="452"/>
      <c r="P298" s="451"/>
      <c r="Q298" s="451">
        <f>SUM(Q299:Q299)</f>
        <v>0</v>
      </c>
      <c r="R298" s="451"/>
      <c r="S298" s="451"/>
      <c r="T298" s="452"/>
      <c r="U298" s="451"/>
      <c r="V298" s="451">
        <f>SUM(V299:V299)</f>
        <v>0</v>
      </c>
      <c r="W298" s="451"/>
      <c r="X298" s="451"/>
      <c r="Y298" s="452"/>
      <c r="Z298" s="451"/>
      <c r="AA298" s="451">
        <f>SUM(AA299:AA299)</f>
        <v>0</v>
      </c>
      <c r="AB298" s="451"/>
      <c r="AC298" s="451"/>
      <c r="AD298" s="452"/>
      <c r="AE298" s="451"/>
      <c r="AF298" s="451">
        <f>SUM(AF299:AF299)</f>
        <v>0</v>
      </c>
      <c r="AG298" s="451"/>
      <c r="AH298" s="451"/>
      <c r="AI298" s="452"/>
      <c r="AJ298" s="451"/>
      <c r="AK298" s="451">
        <f>SUM(AK299:AK299)</f>
        <v>0</v>
      </c>
      <c r="AL298" s="451"/>
      <c r="AM298" s="451"/>
      <c r="AN298" s="452"/>
      <c r="AO298" s="451"/>
      <c r="AP298" s="451">
        <f>SUM(AP299:AP299)</f>
        <v>0</v>
      </c>
      <c r="AQ298" s="451"/>
      <c r="AR298" s="451"/>
      <c r="AS298" s="452"/>
      <c r="AT298" s="451"/>
      <c r="AU298" s="451">
        <f>SUM(AU299:AU299)</f>
        <v>0</v>
      </c>
      <c r="AV298" s="451"/>
      <c r="AW298" s="451"/>
      <c r="AX298" s="452"/>
      <c r="AY298" s="451"/>
      <c r="AZ298" s="451">
        <f>SUM(AZ299:AZ299)</f>
        <v>0</v>
      </c>
      <c r="BA298" s="451"/>
      <c r="BB298" s="451"/>
      <c r="BC298" s="452"/>
      <c r="BD298" s="451"/>
      <c r="BE298" s="451">
        <f>SUM(BE299:BE299)</f>
        <v>0</v>
      </c>
      <c r="BF298" s="451"/>
      <c r="BG298" s="451"/>
      <c r="BH298" s="452"/>
      <c r="BI298" s="451"/>
      <c r="BJ298" s="451">
        <f>SUM(BJ299:BJ299)</f>
        <v>0</v>
      </c>
      <c r="BK298" s="451"/>
      <c r="BL298" s="451"/>
      <c r="BM298" s="452"/>
      <c r="BN298" s="451"/>
      <c r="BO298" s="451">
        <f>SUM(BO299:BO299)</f>
        <v>0</v>
      </c>
      <c r="BP298" s="451"/>
      <c r="BQ298" s="451"/>
      <c r="BR298" s="452"/>
      <c r="BS298" s="451"/>
      <c r="BT298" s="451">
        <f>SUM(BT299:BT299)</f>
        <v>0</v>
      </c>
      <c r="BU298" s="451"/>
      <c r="BV298" s="451"/>
      <c r="BW298" s="452"/>
      <c r="BX298" s="451"/>
      <c r="BY298" s="451">
        <f>SUM(BY299:BY299)</f>
        <v>183582</v>
      </c>
      <c r="BZ298" s="451"/>
      <c r="CA298" s="451"/>
      <c r="CB298" s="452"/>
      <c r="CC298" s="451"/>
      <c r="CD298" s="451">
        <f>SUM(CD299:CD299)</f>
        <v>0</v>
      </c>
      <c r="CE298" s="451"/>
      <c r="CF298" s="451"/>
      <c r="CG298" s="452"/>
      <c r="CH298" s="451"/>
      <c r="CI298" s="451">
        <f>SUM(CI299:CI299)</f>
        <v>0</v>
      </c>
      <c r="CJ298" s="451"/>
      <c r="CK298" s="451"/>
      <c r="CL298" s="452"/>
      <c r="CM298" s="451"/>
      <c r="CN298" s="451">
        <f>SUM(CN299:CN299)</f>
        <v>0</v>
      </c>
      <c r="CO298" s="451"/>
      <c r="CP298" s="451"/>
      <c r="CQ298" s="452"/>
      <c r="CR298" s="451"/>
      <c r="CS298" s="451">
        <f>SUM(CS299:CS299)</f>
        <v>0</v>
      </c>
      <c r="CT298" s="451"/>
      <c r="CU298" s="451"/>
      <c r="CV298" s="452"/>
      <c r="CW298" s="451"/>
      <c r="CX298" s="451">
        <f>SUM(CX299:CX299)</f>
        <v>0</v>
      </c>
      <c r="CY298" s="451"/>
      <c r="CZ298" s="451"/>
      <c r="DA298" s="452"/>
      <c r="DB298" s="451"/>
      <c r="DC298" s="451">
        <f>SUM(DC299:DC299)</f>
        <v>119455</v>
      </c>
      <c r="DD298" s="451"/>
      <c r="DE298" s="451"/>
      <c r="DF298" s="452"/>
      <c r="DG298" s="451"/>
      <c r="DH298" s="451">
        <f>SUM(DH299:DH299)</f>
        <v>0</v>
      </c>
      <c r="DI298" s="451"/>
      <c r="DJ298" s="451"/>
      <c r="DK298" s="452"/>
      <c r="DL298" s="451"/>
      <c r="DM298" s="451">
        <f>SUM(DM299:DM299)</f>
        <v>64127</v>
      </c>
      <c r="DN298" s="451"/>
      <c r="DO298" s="451"/>
      <c r="DP298" s="452"/>
      <c r="DQ298" s="451"/>
      <c r="DR298" s="451">
        <f>SUM(DR299:DR299)</f>
        <v>0</v>
      </c>
      <c r="DS298" s="451"/>
      <c r="DT298" s="451"/>
      <c r="DU298" s="452"/>
      <c r="DV298" s="451"/>
      <c r="DW298" s="451">
        <f>SUM(DW299:DW299)</f>
        <v>0</v>
      </c>
      <c r="DX298" s="451"/>
      <c r="DY298" s="451"/>
      <c r="DZ298" s="452"/>
      <c r="EA298" s="451"/>
      <c r="EB298" s="451">
        <f>SUM(EB299:EB299)</f>
        <v>0</v>
      </c>
      <c r="EC298" s="451"/>
      <c r="ED298" s="451"/>
      <c r="EE298" s="452"/>
      <c r="EF298" s="451"/>
      <c r="EG298" s="451">
        <f>SUM(EG299:EG299)</f>
        <v>0</v>
      </c>
      <c r="EH298" s="451"/>
      <c r="EI298" s="451"/>
      <c r="EJ298" s="452"/>
      <c r="EK298" s="451"/>
      <c r="EL298" s="451">
        <f>SUM(EL299:EL299)</f>
        <v>183582</v>
      </c>
      <c r="EM298" s="451"/>
      <c r="EN298" s="451"/>
      <c r="EO298" s="13"/>
      <c r="ER298" s="14"/>
      <c r="ES298" s="14"/>
    </row>
    <row r="299" spans="4:149" ht="12.75" customHeight="1" x14ac:dyDescent="0.2">
      <c r="D299" s="13" t="s">
        <v>347</v>
      </c>
      <c r="F299" s="456"/>
      <c r="G299" s="457">
        <v>0</v>
      </c>
      <c r="H299" s="458"/>
      <c r="I299" s="451"/>
      <c r="J299" s="452"/>
      <c r="K299" s="459"/>
      <c r="L299" s="457">
        <v>0</v>
      </c>
      <c r="M299" s="458"/>
      <c r="N299" s="451"/>
      <c r="O299" s="452"/>
      <c r="P299" s="459"/>
      <c r="Q299" s="457">
        <v>0</v>
      </c>
      <c r="R299" s="458"/>
      <c r="S299" s="451"/>
      <c r="T299" s="452"/>
      <c r="U299" s="459"/>
      <c r="V299" s="457">
        <v>0</v>
      </c>
      <c r="W299" s="458"/>
      <c r="X299" s="451"/>
      <c r="Y299" s="452"/>
      <c r="Z299" s="459"/>
      <c r="AA299" s="457">
        <v>0</v>
      </c>
      <c r="AB299" s="458"/>
      <c r="AC299" s="451"/>
      <c r="AD299" s="452"/>
      <c r="AE299" s="459"/>
      <c r="AF299" s="457">
        <v>0</v>
      </c>
      <c r="AG299" s="458"/>
      <c r="AH299" s="451"/>
      <c r="AI299" s="452"/>
      <c r="AJ299" s="459"/>
      <c r="AK299" s="457">
        <v>0</v>
      </c>
      <c r="AL299" s="458"/>
      <c r="AM299" s="451"/>
      <c r="AN299" s="452"/>
      <c r="AO299" s="459"/>
      <c r="AP299" s="457">
        <v>0</v>
      </c>
      <c r="AQ299" s="458"/>
      <c r="AR299" s="451"/>
      <c r="AS299" s="452"/>
      <c r="AT299" s="459"/>
      <c r="AU299" s="457">
        <v>0</v>
      </c>
      <c r="AV299" s="458"/>
      <c r="AW299" s="451"/>
      <c r="AX299" s="452"/>
      <c r="AY299" s="459"/>
      <c r="AZ299" s="457">
        <v>0</v>
      </c>
      <c r="BA299" s="458"/>
      <c r="BB299" s="451"/>
      <c r="BC299" s="452"/>
      <c r="BD299" s="459"/>
      <c r="BE299" s="457">
        <v>0</v>
      </c>
      <c r="BF299" s="458"/>
      <c r="BG299" s="451"/>
      <c r="BH299" s="452"/>
      <c r="BI299" s="459"/>
      <c r="BJ299" s="457">
        <v>0</v>
      </c>
      <c r="BK299" s="458"/>
      <c r="BL299" s="451"/>
      <c r="BM299" s="452"/>
      <c r="BN299" s="459"/>
      <c r="BO299" s="457">
        <v>0</v>
      </c>
      <c r="BP299" s="458"/>
      <c r="BQ299" s="451"/>
      <c r="BR299" s="452"/>
      <c r="BS299" s="459"/>
      <c r="BT299" s="457">
        <f>SUM(L299:BO299)</f>
        <v>0</v>
      </c>
      <c r="BU299" s="458"/>
      <c r="BV299" s="451"/>
      <c r="BW299" s="452"/>
      <c r="BX299" s="459"/>
      <c r="BY299" s="457">
        <v>183582</v>
      </c>
      <c r="BZ299" s="458"/>
      <c r="CA299" s="451"/>
      <c r="CB299" s="452"/>
      <c r="CC299" s="459"/>
      <c r="CD299" s="457">
        <v>0</v>
      </c>
      <c r="CE299" s="458"/>
      <c r="CF299" s="451"/>
      <c r="CG299" s="452"/>
      <c r="CH299" s="459"/>
      <c r="CI299" s="457">
        <v>0</v>
      </c>
      <c r="CJ299" s="458"/>
      <c r="CK299" s="451"/>
      <c r="CL299" s="452"/>
      <c r="CM299" s="459"/>
      <c r="CN299" s="457">
        <v>0</v>
      </c>
      <c r="CO299" s="458"/>
      <c r="CP299" s="451"/>
      <c r="CQ299" s="452"/>
      <c r="CR299" s="459"/>
      <c r="CS299" s="457">
        <v>0</v>
      </c>
      <c r="CT299" s="458"/>
      <c r="CU299" s="451"/>
      <c r="CV299" s="452"/>
      <c r="CW299" s="459"/>
      <c r="CX299" s="457">
        <v>0</v>
      </c>
      <c r="CY299" s="458"/>
      <c r="CZ299" s="451"/>
      <c r="DA299" s="452"/>
      <c r="DB299" s="459"/>
      <c r="DC299" s="457">
        <v>119455</v>
      </c>
      <c r="DD299" s="458"/>
      <c r="DE299" s="451"/>
      <c r="DF299" s="452"/>
      <c r="DG299" s="459"/>
      <c r="DH299" s="457">
        <v>0</v>
      </c>
      <c r="DI299" s="458"/>
      <c r="DJ299" s="451"/>
      <c r="DK299" s="452"/>
      <c r="DL299" s="459"/>
      <c r="DM299" s="457">
        <v>64127</v>
      </c>
      <c r="DN299" s="458"/>
      <c r="DO299" s="451"/>
      <c r="DP299" s="452"/>
      <c r="DQ299" s="459"/>
      <c r="DR299" s="457">
        <v>0</v>
      </c>
      <c r="DS299" s="458"/>
      <c r="DT299" s="451"/>
      <c r="DU299" s="452"/>
      <c r="DV299" s="459"/>
      <c r="DW299" s="457">
        <v>0</v>
      </c>
      <c r="DX299" s="458"/>
      <c r="DY299" s="451"/>
      <c r="DZ299" s="452"/>
      <c r="EA299" s="459"/>
      <c r="EB299" s="457">
        <v>0</v>
      </c>
      <c r="EC299" s="458"/>
      <c r="ED299" s="451"/>
      <c r="EE299" s="452"/>
      <c r="EF299" s="459"/>
      <c r="EG299" s="457">
        <v>0</v>
      </c>
      <c r="EH299" s="458"/>
      <c r="EI299" s="451"/>
      <c r="EJ299" s="452"/>
      <c r="EK299" s="459"/>
      <c r="EL299" s="457">
        <f>SUM(CD299:DW299)</f>
        <v>183582</v>
      </c>
      <c r="EM299" s="458"/>
      <c r="EN299" s="451"/>
      <c r="EO299" s="13"/>
      <c r="ER299" s="14"/>
      <c r="ES299" s="14"/>
    </row>
    <row r="300" spans="4:149" ht="12.75" hidden="1" customHeight="1" x14ac:dyDescent="0.2">
      <c r="D300" s="13"/>
      <c r="G300" s="451"/>
      <c r="H300" s="451"/>
      <c r="I300" s="451"/>
      <c r="J300" s="452"/>
      <c r="K300" s="451"/>
      <c r="L300" s="451"/>
      <c r="M300" s="451"/>
      <c r="N300" s="451"/>
      <c r="O300" s="452"/>
      <c r="P300" s="451"/>
      <c r="Q300" s="451"/>
      <c r="R300" s="451"/>
      <c r="S300" s="451"/>
      <c r="T300" s="452"/>
      <c r="U300" s="451"/>
      <c r="V300" s="451"/>
      <c r="W300" s="451"/>
      <c r="X300" s="451"/>
      <c r="Y300" s="452"/>
      <c r="Z300" s="451"/>
      <c r="AA300" s="451"/>
      <c r="AB300" s="451"/>
      <c r="AC300" s="451"/>
      <c r="AD300" s="452"/>
      <c r="AE300" s="451"/>
      <c r="AF300" s="451"/>
      <c r="AG300" s="451"/>
      <c r="AH300" s="451"/>
      <c r="AI300" s="452"/>
      <c r="AJ300" s="451"/>
      <c r="AK300" s="451"/>
      <c r="AL300" s="451"/>
      <c r="AM300" s="451"/>
      <c r="AN300" s="452"/>
      <c r="AO300" s="451"/>
      <c r="AP300" s="451"/>
      <c r="AQ300" s="451"/>
      <c r="AR300" s="451"/>
      <c r="AS300" s="452"/>
      <c r="AT300" s="451"/>
      <c r="AU300" s="451"/>
      <c r="AV300" s="451"/>
      <c r="AW300" s="451"/>
      <c r="AX300" s="452"/>
      <c r="AY300" s="451"/>
      <c r="AZ300" s="451"/>
      <c r="BA300" s="451"/>
      <c r="BB300" s="451"/>
      <c r="BC300" s="452"/>
      <c r="BD300" s="451"/>
      <c r="BE300" s="451"/>
      <c r="BF300" s="451"/>
      <c r="BG300" s="451"/>
      <c r="BH300" s="452"/>
      <c r="BI300" s="451"/>
      <c r="BJ300" s="451"/>
      <c r="BK300" s="451"/>
      <c r="BL300" s="451"/>
      <c r="BM300" s="452"/>
      <c r="BN300" s="451"/>
      <c r="BO300" s="451"/>
      <c r="BP300" s="451"/>
      <c r="BQ300" s="451"/>
      <c r="BR300" s="452"/>
      <c r="BS300" s="451"/>
      <c r="BT300" s="451"/>
      <c r="BU300" s="451"/>
      <c r="BV300" s="451"/>
      <c r="BW300" s="452"/>
      <c r="BX300" s="451"/>
      <c r="BY300" s="451"/>
      <c r="BZ300" s="451"/>
      <c r="CA300" s="451"/>
      <c r="CB300" s="452"/>
      <c r="CC300" s="451"/>
      <c r="CD300" s="451"/>
      <c r="CE300" s="451"/>
      <c r="CF300" s="451"/>
      <c r="CG300" s="452"/>
      <c r="CH300" s="451"/>
      <c r="CI300" s="451"/>
      <c r="CJ300" s="451"/>
      <c r="CK300" s="451"/>
      <c r="CL300" s="452"/>
      <c r="CM300" s="451"/>
      <c r="CN300" s="451"/>
      <c r="CO300" s="451"/>
      <c r="CP300" s="451"/>
      <c r="CQ300" s="452"/>
      <c r="CR300" s="451"/>
      <c r="CS300" s="451"/>
      <c r="CT300" s="451"/>
      <c r="CU300" s="451"/>
      <c r="CV300" s="452"/>
      <c r="CW300" s="451"/>
      <c r="CX300" s="451"/>
      <c r="CY300" s="451"/>
      <c r="CZ300" s="451"/>
      <c r="DA300" s="452"/>
      <c r="DB300" s="451"/>
      <c r="DC300" s="451"/>
      <c r="DD300" s="451"/>
      <c r="DE300" s="451"/>
      <c r="DF300" s="452"/>
      <c r="DG300" s="451"/>
      <c r="DH300" s="451"/>
      <c r="DI300" s="451"/>
      <c r="DJ300" s="451"/>
      <c r="DK300" s="452"/>
      <c r="DL300" s="451"/>
      <c r="DM300" s="451"/>
      <c r="DN300" s="451"/>
      <c r="DO300" s="451"/>
      <c r="DP300" s="452"/>
      <c r="DQ300" s="451"/>
      <c r="DR300" s="451"/>
      <c r="DS300" s="451"/>
      <c r="DT300" s="451"/>
      <c r="DU300" s="452"/>
      <c r="DV300" s="451"/>
      <c r="DW300" s="451"/>
      <c r="DX300" s="451"/>
      <c r="DY300" s="451"/>
      <c r="DZ300" s="452"/>
      <c r="EA300" s="451"/>
      <c r="EB300" s="451"/>
      <c r="EC300" s="451"/>
      <c r="ED300" s="451"/>
      <c r="EE300" s="452"/>
      <c r="EF300" s="451"/>
      <c r="EG300" s="451"/>
      <c r="EH300" s="451"/>
      <c r="EI300" s="451"/>
      <c r="EJ300" s="452"/>
      <c r="EK300" s="451"/>
      <c r="EL300" s="451"/>
      <c r="EM300" s="451"/>
      <c r="EN300" s="451"/>
      <c r="EO300" s="13"/>
      <c r="ER300" s="14"/>
      <c r="ES300" s="14"/>
    </row>
    <row r="301" spans="4:149" hidden="1" x14ac:dyDescent="0.2">
      <c r="D301" s="13" t="s">
        <v>409</v>
      </c>
      <c r="G301" s="451">
        <v>0</v>
      </c>
      <c r="H301" s="451"/>
      <c r="I301" s="451"/>
      <c r="J301" s="452"/>
      <c r="L301" s="451">
        <f>SUM(L302)</f>
        <v>0</v>
      </c>
      <c r="M301" s="451"/>
      <c r="N301" s="451"/>
      <c r="O301" s="452"/>
      <c r="Q301" s="451">
        <f>SUM(Q302)</f>
        <v>0</v>
      </c>
      <c r="R301" s="451"/>
      <c r="S301" s="451"/>
      <c r="T301" s="452"/>
      <c r="V301" s="451">
        <f>SUM(V302)</f>
        <v>0</v>
      </c>
      <c r="W301" s="451"/>
      <c r="X301" s="451"/>
      <c r="Y301" s="452"/>
      <c r="AA301" s="451">
        <f>SUM(AA302)</f>
        <v>0</v>
      </c>
      <c r="AB301" s="451"/>
      <c r="AC301" s="451"/>
      <c r="AD301" s="452"/>
      <c r="AF301" s="451">
        <f>SUM(AF302)</f>
        <v>0</v>
      </c>
      <c r="AG301" s="451"/>
      <c r="AH301" s="451"/>
      <c r="AI301" s="452"/>
      <c r="AK301" s="451">
        <f>SUM(AK302)</f>
        <v>0</v>
      </c>
      <c r="AL301" s="451"/>
      <c r="AM301" s="451"/>
      <c r="AN301" s="452"/>
      <c r="AP301" s="451">
        <f>SUM(AP302)</f>
        <v>0</v>
      </c>
      <c r="AQ301" s="451"/>
      <c r="AR301" s="451"/>
      <c r="AS301" s="452"/>
      <c r="AU301" s="451">
        <f>SUM(AU302)</f>
        <v>0</v>
      </c>
      <c r="AV301" s="451"/>
      <c r="AW301" s="451"/>
      <c r="AX301" s="452"/>
      <c r="AZ301" s="451">
        <f>SUM(AZ302)</f>
        <v>0</v>
      </c>
      <c r="BA301" s="451"/>
      <c r="BB301" s="451"/>
      <c r="BC301" s="452"/>
      <c r="BE301" s="451">
        <f>SUM(BE302)</f>
        <v>0</v>
      </c>
      <c r="BF301" s="451"/>
      <c r="BG301" s="451"/>
      <c r="BH301" s="452"/>
      <c r="BJ301" s="451">
        <f>SUM(BJ302)</f>
        <v>0</v>
      </c>
      <c r="BK301" s="451"/>
      <c r="BL301" s="451"/>
      <c r="BM301" s="452"/>
      <c r="BO301" s="451">
        <f>SUM(BO302)</f>
        <v>0</v>
      </c>
      <c r="BP301" s="451"/>
      <c r="BQ301" s="451"/>
      <c r="BR301" s="452"/>
      <c r="BT301" s="451">
        <f>SUM(BT302:BT302)</f>
        <v>0</v>
      </c>
      <c r="BU301" s="451"/>
      <c r="BV301" s="451"/>
      <c r="BW301" s="452"/>
      <c r="BY301" s="451">
        <f>SUM(BY302:BY302)</f>
        <v>0</v>
      </c>
      <c r="BZ301" s="451"/>
      <c r="CA301" s="451"/>
      <c r="CB301" s="452"/>
      <c r="CD301" s="451">
        <f>SUM(CD302)</f>
        <v>0</v>
      </c>
      <c r="CE301" s="451"/>
      <c r="CF301" s="451"/>
      <c r="CG301" s="452"/>
      <c r="CI301" s="451">
        <f>SUM(CI302)</f>
        <v>0</v>
      </c>
      <c r="CJ301" s="451"/>
      <c r="CK301" s="451"/>
      <c r="CL301" s="452"/>
      <c r="CN301" s="451">
        <f>SUM(CN302)</f>
        <v>0</v>
      </c>
      <c r="CO301" s="451"/>
      <c r="CP301" s="451"/>
      <c r="CQ301" s="452"/>
      <c r="CS301" s="451">
        <f>SUM(CS302)</f>
        <v>0</v>
      </c>
      <c r="CT301" s="451"/>
      <c r="CU301" s="451"/>
      <c r="CV301" s="452"/>
      <c r="CX301" s="451">
        <f>SUM(CX302)</f>
        <v>0</v>
      </c>
      <c r="CY301" s="451"/>
      <c r="CZ301" s="451"/>
      <c r="DA301" s="452"/>
      <c r="DC301" s="451">
        <f>SUM(DC302)</f>
        <v>0</v>
      </c>
      <c r="DD301" s="451"/>
      <c r="DE301" s="451"/>
      <c r="DF301" s="452"/>
      <c r="DH301" s="451">
        <f>SUM(DH302)</f>
        <v>0</v>
      </c>
      <c r="DI301" s="451"/>
      <c r="DJ301" s="451"/>
      <c r="DK301" s="452"/>
      <c r="DM301" s="451">
        <f>SUM(DM302)</f>
        <v>0</v>
      </c>
      <c r="DN301" s="451"/>
      <c r="DO301" s="451"/>
      <c r="DP301" s="452"/>
      <c r="DR301" s="451">
        <f>SUM(DR302)</f>
        <v>0</v>
      </c>
      <c r="DS301" s="451"/>
      <c r="DT301" s="451"/>
      <c r="DU301" s="452"/>
      <c r="DW301" s="451">
        <f>SUM(DW302)</f>
        <v>0</v>
      </c>
      <c r="DX301" s="451"/>
      <c r="DY301" s="451"/>
      <c r="DZ301" s="452"/>
      <c r="EB301" s="451">
        <f>SUM(EB302)</f>
        <v>0</v>
      </c>
      <c r="EC301" s="451"/>
      <c r="ED301" s="451"/>
      <c r="EE301" s="452"/>
      <c r="EG301" s="451">
        <f>SUM(EG302)</f>
        <v>0</v>
      </c>
      <c r="EH301" s="451"/>
      <c r="EI301" s="451"/>
      <c r="EJ301" s="452"/>
      <c r="EL301" s="451">
        <f>SUM(EL302:EL302)</f>
        <v>0</v>
      </c>
      <c r="EM301" s="451"/>
      <c r="EN301" s="451"/>
      <c r="EO301" s="13"/>
      <c r="ER301" s="14"/>
      <c r="ES301" s="14"/>
    </row>
    <row r="302" spans="4:149" hidden="1" x14ac:dyDescent="0.2">
      <c r="D302" s="13" t="s">
        <v>347</v>
      </c>
      <c r="F302" s="456"/>
      <c r="G302" s="457">
        <v>0</v>
      </c>
      <c r="H302" s="458"/>
      <c r="I302" s="451"/>
      <c r="J302" s="452"/>
      <c r="K302" s="456"/>
      <c r="L302" s="457">
        <v>0</v>
      </c>
      <c r="M302" s="458"/>
      <c r="N302" s="451"/>
      <c r="O302" s="452"/>
      <c r="P302" s="456"/>
      <c r="Q302" s="457">
        <v>0</v>
      </c>
      <c r="R302" s="458"/>
      <c r="S302" s="451"/>
      <c r="T302" s="452"/>
      <c r="U302" s="456"/>
      <c r="V302" s="457">
        <v>0</v>
      </c>
      <c r="W302" s="458"/>
      <c r="X302" s="451"/>
      <c r="Y302" s="452"/>
      <c r="Z302" s="456"/>
      <c r="AA302" s="457">
        <v>0</v>
      </c>
      <c r="AB302" s="458"/>
      <c r="AC302" s="451"/>
      <c r="AD302" s="452"/>
      <c r="AE302" s="456"/>
      <c r="AF302" s="457">
        <v>0</v>
      </c>
      <c r="AG302" s="458"/>
      <c r="AH302" s="451"/>
      <c r="AI302" s="452"/>
      <c r="AJ302" s="456"/>
      <c r="AK302" s="457">
        <v>0</v>
      </c>
      <c r="AL302" s="458"/>
      <c r="AM302" s="451"/>
      <c r="AN302" s="452"/>
      <c r="AO302" s="456"/>
      <c r="AP302" s="457">
        <v>0</v>
      </c>
      <c r="AQ302" s="458"/>
      <c r="AR302" s="451"/>
      <c r="AS302" s="452"/>
      <c r="AT302" s="456"/>
      <c r="AU302" s="457">
        <v>0</v>
      </c>
      <c r="AV302" s="458"/>
      <c r="AW302" s="451"/>
      <c r="AX302" s="452"/>
      <c r="AY302" s="456"/>
      <c r="AZ302" s="457">
        <v>0</v>
      </c>
      <c r="BA302" s="458"/>
      <c r="BB302" s="451"/>
      <c r="BC302" s="452"/>
      <c r="BD302" s="456"/>
      <c r="BE302" s="457">
        <v>0</v>
      </c>
      <c r="BF302" s="458"/>
      <c r="BG302" s="451"/>
      <c r="BH302" s="452"/>
      <c r="BI302" s="456"/>
      <c r="BJ302" s="457">
        <v>0</v>
      </c>
      <c r="BK302" s="458"/>
      <c r="BL302" s="451"/>
      <c r="BM302" s="452"/>
      <c r="BN302" s="456"/>
      <c r="BO302" s="457">
        <v>0</v>
      </c>
      <c r="BP302" s="458"/>
      <c r="BQ302" s="451"/>
      <c r="BR302" s="452"/>
      <c r="BS302" s="456"/>
      <c r="BT302" s="457">
        <f>SUM(L302:BO302)</f>
        <v>0</v>
      </c>
      <c r="BU302" s="458"/>
      <c r="BV302" s="451"/>
      <c r="BW302" s="452"/>
      <c r="BX302" s="456"/>
      <c r="BY302" s="457">
        <v>0</v>
      </c>
      <c r="BZ302" s="458"/>
      <c r="CA302" s="451"/>
      <c r="CB302" s="452"/>
      <c r="CC302" s="456"/>
      <c r="CD302" s="457">
        <v>0</v>
      </c>
      <c r="CE302" s="458"/>
      <c r="CF302" s="451"/>
      <c r="CG302" s="452"/>
      <c r="CH302" s="456"/>
      <c r="CI302" s="457">
        <v>0</v>
      </c>
      <c r="CJ302" s="458"/>
      <c r="CK302" s="451"/>
      <c r="CL302" s="452"/>
      <c r="CM302" s="456"/>
      <c r="CN302" s="457">
        <v>0</v>
      </c>
      <c r="CO302" s="458"/>
      <c r="CP302" s="451"/>
      <c r="CQ302" s="452"/>
      <c r="CR302" s="456"/>
      <c r="CS302" s="457">
        <v>0</v>
      </c>
      <c r="CT302" s="458"/>
      <c r="CU302" s="451"/>
      <c r="CV302" s="452"/>
      <c r="CW302" s="456"/>
      <c r="CX302" s="457">
        <v>0</v>
      </c>
      <c r="CY302" s="458"/>
      <c r="CZ302" s="451"/>
      <c r="DA302" s="452"/>
      <c r="DB302" s="456"/>
      <c r="DC302" s="457">
        <v>0</v>
      </c>
      <c r="DD302" s="458"/>
      <c r="DE302" s="451"/>
      <c r="DF302" s="452"/>
      <c r="DG302" s="456"/>
      <c r="DH302" s="457">
        <v>0</v>
      </c>
      <c r="DI302" s="458"/>
      <c r="DJ302" s="451"/>
      <c r="DK302" s="452"/>
      <c r="DL302" s="456"/>
      <c r="DM302" s="457">
        <v>0</v>
      </c>
      <c r="DN302" s="458"/>
      <c r="DO302" s="451"/>
      <c r="DP302" s="452"/>
      <c r="DQ302" s="456"/>
      <c r="DR302" s="457">
        <v>0</v>
      </c>
      <c r="DS302" s="458"/>
      <c r="DT302" s="451"/>
      <c r="DU302" s="452"/>
      <c r="DV302" s="456"/>
      <c r="DW302" s="457">
        <v>0</v>
      </c>
      <c r="DX302" s="458"/>
      <c r="DY302" s="451"/>
      <c r="DZ302" s="452"/>
      <c r="EA302" s="456"/>
      <c r="EB302" s="457">
        <v>0</v>
      </c>
      <c r="EC302" s="458"/>
      <c r="ED302" s="451"/>
      <c r="EE302" s="452"/>
      <c r="EF302" s="456"/>
      <c r="EG302" s="457">
        <v>0</v>
      </c>
      <c r="EH302" s="458"/>
      <c r="EI302" s="451"/>
      <c r="EJ302" s="452"/>
      <c r="EK302" s="456"/>
      <c r="EL302" s="457">
        <f>SUM(CD302:DW302)</f>
        <v>0</v>
      </c>
      <c r="EM302" s="458"/>
      <c r="EN302" s="451"/>
      <c r="EO302" s="13"/>
      <c r="ER302" s="14"/>
      <c r="ES302" s="14"/>
    </row>
    <row r="303" spans="4:149" hidden="1" x14ac:dyDescent="0.2">
      <c r="D303" s="13"/>
      <c r="G303" s="451"/>
      <c r="H303" s="451"/>
      <c r="I303" s="451"/>
      <c r="J303" s="452"/>
      <c r="K303" s="451"/>
      <c r="L303" s="451"/>
      <c r="M303" s="451"/>
      <c r="N303" s="451"/>
      <c r="O303" s="452"/>
      <c r="P303" s="451"/>
      <c r="Q303" s="451"/>
      <c r="R303" s="451"/>
      <c r="S303" s="451"/>
      <c r="T303" s="452"/>
      <c r="U303" s="451"/>
      <c r="V303" s="451"/>
      <c r="W303" s="451"/>
      <c r="X303" s="451"/>
      <c r="Y303" s="452"/>
      <c r="Z303" s="451"/>
      <c r="AA303" s="451"/>
      <c r="AB303" s="451"/>
      <c r="AC303" s="451"/>
      <c r="AD303" s="452"/>
      <c r="AE303" s="451"/>
      <c r="AF303" s="451"/>
      <c r="AG303" s="451"/>
      <c r="AH303" s="451"/>
      <c r="AI303" s="452"/>
      <c r="AJ303" s="451"/>
      <c r="AK303" s="451"/>
      <c r="AL303" s="451"/>
      <c r="AM303" s="451"/>
      <c r="AN303" s="452"/>
      <c r="AO303" s="451"/>
      <c r="AP303" s="451"/>
      <c r="AQ303" s="451"/>
      <c r="AR303" s="451"/>
      <c r="AS303" s="452"/>
      <c r="AT303" s="451"/>
      <c r="AU303" s="451"/>
      <c r="AV303" s="451"/>
      <c r="AW303" s="451"/>
      <c r="AX303" s="452"/>
      <c r="AY303" s="451"/>
      <c r="AZ303" s="451"/>
      <c r="BA303" s="451"/>
      <c r="BB303" s="451"/>
      <c r="BC303" s="452"/>
      <c r="BD303" s="451"/>
      <c r="BE303" s="451"/>
      <c r="BF303" s="451"/>
      <c r="BG303" s="451"/>
      <c r="BH303" s="452"/>
      <c r="BI303" s="451"/>
      <c r="BJ303" s="451"/>
      <c r="BK303" s="451"/>
      <c r="BL303" s="451"/>
      <c r="BM303" s="452"/>
      <c r="BN303" s="451"/>
      <c r="BO303" s="451"/>
      <c r="BP303" s="451"/>
      <c r="BQ303" s="451"/>
      <c r="BR303" s="452"/>
      <c r="BS303" s="451"/>
      <c r="BT303" s="451"/>
      <c r="BU303" s="451"/>
      <c r="BV303" s="451"/>
      <c r="BW303" s="452"/>
      <c r="BX303" s="451"/>
      <c r="BY303" s="451"/>
      <c r="BZ303" s="451"/>
      <c r="CA303" s="451"/>
      <c r="CB303" s="452"/>
      <c r="CC303" s="451"/>
      <c r="CD303" s="451"/>
      <c r="CE303" s="451"/>
      <c r="CF303" s="451"/>
      <c r="CG303" s="452"/>
      <c r="CH303" s="451"/>
      <c r="CI303" s="451"/>
      <c r="CJ303" s="451"/>
      <c r="CK303" s="451"/>
      <c r="CL303" s="452"/>
      <c r="CM303" s="451"/>
      <c r="CN303" s="451"/>
      <c r="CO303" s="451"/>
      <c r="CP303" s="451"/>
      <c r="CQ303" s="452"/>
      <c r="CR303" s="451"/>
      <c r="CS303" s="451"/>
      <c r="CT303" s="451"/>
      <c r="CU303" s="451"/>
      <c r="CV303" s="452"/>
      <c r="CW303" s="451"/>
      <c r="CX303" s="451"/>
      <c r="CY303" s="451"/>
      <c r="CZ303" s="451"/>
      <c r="DA303" s="452"/>
      <c r="DB303" s="451"/>
      <c r="DC303" s="451"/>
      <c r="DD303" s="451"/>
      <c r="DE303" s="451"/>
      <c r="DF303" s="452"/>
      <c r="DG303" s="451"/>
      <c r="DH303" s="451"/>
      <c r="DI303" s="451"/>
      <c r="DJ303" s="451"/>
      <c r="DK303" s="452"/>
      <c r="DL303" s="451"/>
      <c r="DM303" s="451"/>
      <c r="DN303" s="451"/>
      <c r="DO303" s="451"/>
      <c r="DP303" s="452"/>
      <c r="DQ303" s="451"/>
      <c r="DR303" s="451"/>
      <c r="DS303" s="451"/>
      <c r="DT303" s="451"/>
      <c r="DU303" s="452"/>
      <c r="DV303" s="451"/>
      <c r="DW303" s="451"/>
      <c r="DX303" s="451"/>
      <c r="DY303" s="451"/>
      <c r="DZ303" s="452"/>
      <c r="EA303" s="451"/>
      <c r="EB303" s="451"/>
      <c r="EC303" s="451"/>
      <c r="ED303" s="451"/>
      <c r="EE303" s="452"/>
      <c r="EF303" s="451"/>
      <c r="EG303" s="451"/>
      <c r="EH303" s="451"/>
      <c r="EI303" s="451"/>
      <c r="EJ303" s="452"/>
      <c r="EK303" s="451"/>
      <c r="EL303" s="451"/>
      <c r="EM303" s="451"/>
      <c r="EN303" s="451"/>
      <c r="EO303" s="13"/>
      <c r="ER303" s="14"/>
      <c r="ES303" s="14"/>
    </row>
    <row r="304" spans="4:149" ht="12.75" hidden="1" customHeight="1" x14ac:dyDescent="0.2">
      <c r="D304" s="13" t="s">
        <v>410</v>
      </c>
      <c r="G304" s="451">
        <v>0</v>
      </c>
      <c r="H304" s="451"/>
      <c r="I304" s="451"/>
      <c r="J304" s="452"/>
      <c r="K304" s="451"/>
      <c r="L304" s="451">
        <f>SUM(L305:L305)</f>
        <v>0</v>
      </c>
      <c r="M304" s="451"/>
      <c r="N304" s="451"/>
      <c r="O304" s="452"/>
      <c r="P304" s="451"/>
      <c r="Q304" s="451">
        <f>SUM(Q305:Q305)</f>
        <v>0</v>
      </c>
      <c r="R304" s="451"/>
      <c r="S304" s="451"/>
      <c r="T304" s="452"/>
      <c r="U304" s="451"/>
      <c r="V304" s="451">
        <f>SUM(V305:V305)</f>
        <v>0</v>
      </c>
      <c r="W304" s="451"/>
      <c r="X304" s="451"/>
      <c r="Y304" s="452"/>
      <c r="Z304" s="451"/>
      <c r="AA304" s="451">
        <f>SUM(AA305:AA305)</f>
        <v>0</v>
      </c>
      <c r="AB304" s="451"/>
      <c r="AC304" s="451"/>
      <c r="AD304" s="452"/>
      <c r="AE304" s="451"/>
      <c r="AF304" s="451">
        <f>SUM(AF305:AF305)</f>
        <v>0</v>
      </c>
      <c r="AG304" s="451"/>
      <c r="AH304" s="451"/>
      <c r="AI304" s="452"/>
      <c r="AJ304" s="451"/>
      <c r="AK304" s="451">
        <f>SUM(AK305:AK305)</f>
        <v>0</v>
      </c>
      <c r="AL304" s="451"/>
      <c r="AM304" s="451"/>
      <c r="AN304" s="452"/>
      <c r="AO304" s="451"/>
      <c r="AP304" s="451">
        <f>SUM(AP305:AP305)</f>
        <v>0</v>
      </c>
      <c r="AQ304" s="451"/>
      <c r="AR304" s="451"/>
      <c r="AS304" s="452"/>
      <c r="AT304" s="451"/>
      <c r="AU304" s="451">
        <f>SUM(AU305:AU305)</f>
        <v>0</v>
      </c>
      <c r="AV304" s="451"/>
      <c r="AW304" s="451"/>
      <c r="AX304" s="452"/>
      <c r="AY304" s="451"/>
      <c r="AZ304" s="451">
        <f>SUM(AZ305:AZ305)</f>
        <v>0</v>
      </c>
      <c r="BA304" s="451"/>
      <c r="BB304" s="451"/>
      <c r="BC304" s="452"/>
      <c r="BD304" s="451"/>
      <c r="BE304" s="451">
        <f>SUM(BE305:BE305)</f>
        <v>0</v>
      </c>
      <c r="BF304" s="451"/>
      <c r="BG304" s="451"/>
      <c r="BH304" s="452"/>
      <c r="BI304" s="451"/>
      <c r="BJ304" s="451">
        <f>SUM(BJ305:BJ305)</f>
        <v>0</v>
      </c>
      <c r="BK304" s="451"/>
      <c r="BL304" s="451"/>
      <c r="BM304" s="452"/>
      <c r="BN304" s="451"/>
      <c r="BO304" s="451">
        <f>SUM(BO305:BO305)</f>
        <v>0</v>
      </c>
      <c r="BP304" s="451"/>
      <c r="BQ304" s="451"/>
      <c r="BR304" s="452"/>
      <c r="BS304" s="451"/>
      <c r="BT304" s="451">
        <f>SUM(BT305:BT305)</f>
        <v>0</v>
      </c>
      <c r="BU304" s="451"/>
      <c r="BV304" s="451"/>
      <c r="BW304" s="452"/>
      <c r="BX304" s="451"/>
      <c r="BY304" s="451">
        <f>SUM(BY305:BY305)</f>
        <v>0</v>
      </c>
      <c r="BZ304" s="451"/>
      <c r="CA304" s="451"/>
      <c r="CB304" s="452"/>
      <c r="CC304" s="451"/>
      <c r="CD304" s="451">
        <f>SUM(CD305:CD305)</f>
        <v>0</v>
      </c>
      <c r="CE304" s="451"/>
      <c r="CF304" s="451"/>
      <c r="CG304" s="452"/>
      <c r="CH304" s="451"/>
      <c r="CI304" s="451">
        <f>SUM(CI305:CI305)</f>
        <v>0</v>
      </c>
      <c r="CJ304" s="451"/>
      <c r="CK304" s="451"/>
      <c r="CL304" s="452"/>
      <c r="CM304" s="451"/>
      <c r="CN304" s="451">
        <f>SUM(CN305:CN305)</f>
        <v>0</v>
      </c>
      <c r="CO304" s="451"/>
      <c r="CP304" s="451"/>
      <c r="CQ304" s="452"/>
      <c r="CR304" s="451"/>
      <c r="CS304" s="451">
        <f>SUM(CS305:CS305)</f>
        <v>0</v>
      </c>
      <c r="CT304" s="451"/>
      <c r="CU304" s="451"/>
      <c r="CV304" s="452"/>
      <c r="CW304" s="451"/>
      <c r="CX304" s="451">
        <f>SUM(CX305:CX305)</f>
        <v>0</v>
      </c>
      <c r="CY304" s="451"/>
      <c r="CZ304" s="451"/>
      <c r="DA304" s="452"/>
      <c r="DB304" s="451"/>
      <c r="DC304" s="451">
        <f>SUM(DC305:DC305)</f>
        <v>0</v>
      </c>
      <c r="DD304" s="451"/>
      <c r="DE304" s="451"/>
      <c r="DF304" s="452"/>
      <c r="DG304" s="451"/>
      <c r="DH304" s="451">
        <f>SUM(DH305:DH305)</f>
        <v>0</v>
      </c>
      <c r="DI304" s="451"/>
      <c r="DJ304" s="451"/>
      <c r="DK304" s="452"/>
      <c r="DL304" s="451"/>
      <c r="DM304" s="451">
        <f>SUM(DM305:DM305)</f>
        <v>0</v>
      </c>
      <c r="DN304" s="451"/>
      <c r="DO304" s="451"/>
      <c r="DP304" s="452"/>
      <c r="DQ304" s="451"/>
      <c r="DR304" s="451">
        <f>SUM(DR305:DR305)</f>
        <v>0</v>
      </c>
      <c r="DS304" s="451"/>
      <c r="DT304" s="451"/>
      <c r="DU304" s="452"/>
      <c r="DV304" s="451"/>
      <c r="DW304" s="451">
        <f>SUM(DW305:DW305)</f>
        <v>0</v>
      </c>
      <c r="DX304" s="451"/>
      <c r="DY304" s="451"/>
      <c r="DZ304" s="452"/>
      <c r="EA304" s="451"/>
      <c r="EB304" s="451">
        <f>SUM(EB305:EB305)</f>
        <v>0</v>
      </c>
      <c r="EC304" s="451"/>
      <c r="ED304" s="451"/>
      <c r="EE304" s="452"/>
      <c r="EF304" s="451"/>
      <c r="EG304" s="451">
        <f>SUM(EG305:EG305)</f>
        <v>0</v>
      </c>
      <c r="EH304" s="451"/>
      <c r="EI304" s="451"/>
      <c r="EJ304" s="452"/>
      <c r="EK304" s="451"/>
      <c r="EL304" s="451">
        <f>SUM(EL305:EL305)</f>
        <v>0</v>
      </c>
      <c r="EM304" s="451"/>
      <c r="EN304" s="451"/>
      <c r="EO304" s="13"/>
      <c r="ER304" s="14"/>
      <c r="ES304" s="14"/>
    </row>
    <row r="305" spans="4:149" ht="12.75" hidden="1" customHeight="1" x14ac:dyDescent="0.2">
      <c r="D305" s="13" t="s">
        <v>347</v>
      </c>
      <c r="F305" s="456"/>
      <c r="G305" s="457">
        <v>0</v>
      </c>
      <c r="H305" s="458"/>
      <c r="I305" s="451"/>
      <c r="J305" s="452"/>
      <c r="K305" s="459"/>
      <c r="L305" s="457">
        <v>0</v>
      </c>
      <c r="M305" s="458"/>
      <c r="N305" s="451"/>
      <c r="O305" s="452"/>
      <c r="P305" s="459"/>
      <c r="Q305" s="457">
        <v>0</v>
      </c>
      <c r="R305" s="458"/>
      <c r="S305" s="451"/>
      <c r="T305" s="452"/>
      <c r="U305" s="459"/>
      <c r="V305" s="457">
        <v>0</v>
      </c>
      <c r="W305" s="458"/>
      <c r="X305" s="451"/>
      <c r="Y305" s="452"/>
      <c r="Z305" s="459"/>
      <c r="AA305" s="457">
        <v>0</v>
      </c>
      <c r="AB305" s="458"/>
      <c r="AC305" s="451"/>
      <c r="AD305" s="452"/>
      <c r="AE305" s="459"/>
      <c r="AF305" s="457">
        <v>0</v>
      </c>
      <c r="AG305" s="458"/>
      <c r="AH305" s="451"/>
      <c r="AI305" s="452"/>
      <c r="AJ305" s="459"/>
      <c r="AK305" s="457">
        <v>0</v>
      </c>
      <c r="AL305" s="458"/>
      <c r="AM305" s="451"/>
      <c r="AN305" s="452"/>
      <c r="AO305" s="459"/>
      <c r="AP305" s="457">
        <v>0</v>
      </c>
      <c r="AQ305" s="458"/>
      <c r="AR305" s="451"/>
      <c r="AS305" s="452"/>
      <c r="AT305" s="459"/>
      <c r="AU305" s="457">
        <v>0</v>
      </c>
      <c r="AV305" s="458"/>
      <c r="AW305" s="451"/>
      <c r="AX305" s="452"/>
      <c r="AY305" s="459"/>
      <c r="AZ305" s="457">
        <v>0</v>
      </c>
      <c r="BA305" s="458"/>
      <c r="BB305" s="451"/>
      <c r="BC305" s="452"/>
      <c r="BD305" s="459"/>
      <c r="BE305" s="457">
        <v>0</v>
      </c>
      <c r="BF305" s="458"/>
      <c r="BG305" s="451"/>
      <c r="BH305" s="452"/>
      <c r="BI305" s="459"/>
      <c r="BJ305" s="457">
        <v>0</v>
      </c>
      <c r="BK305" s="458"/>
      <c r="BL305" s="451"/>
      <c r="BM305" s="452"/>
      <c r="BN305" s="459"/>
      <c r="BO305" s="457">
        <v>0</v>
      </c>
      <c r="BP305" s="458"/>
      <c r="BQ305" s="451"/>
      <c r="BR305" s="452"/>
      <c r="BS305" s="459"/>
      <c r="BT305" s="457">
        <f>SUM(L305:BO305)</f>
        <v>0</v>
      </c>
      <c r="BU305" s="458"/>
      <c r="BV305" s="451"/>
      <c r="BW305" s="452"/>
      <c r="BX305" s="459"/>
      <c r="BY305" s="457">
        <v>0</v>
      </c>
      <c r="BZ305" s="458"/>
      <c r="CA305" s="451"/>
      <c r="CB305" s="452"/>
      <c r="CC305" s="459"/>
      <c r="CD305" s="457">
        <v>0</v>
      </c>
      <c r="CE305" s="458"/>
      <c r="CF305" s="451"/>
      <c r="CG305" s="452"/>
      <c r="CH305" s="459"/>
      <c r="CI305" s="457">
        <v>0</v>
      </c>
      <c r="CJ305" s="458"/>
      <c r="CK305" s="451"/>
      <c r="CL305" s="452"/>
      <c r="CM305" s="459"/>
      <c r="CN305" s="457">
        <v>0</v>
      </c>
      <c r="CO305" s="458"/>
      <c r="CP305" s="451"/>
      <c r="CQ305" s="452"/>
      <c r="CR305" s="459"/>
      <c r="CS305" s="457">
        <v>0</v>
      </c>
      <c r="CT305" s="458"/>
      <c r="CU305" s="451"/>
      <c r="CV305" s="452"/>
      <c r="CW305" s="459"/>
      <c r="CX305" s="457">
        <v>0</v>
      </c>
      <c r="CY305" s="458"/>
      <c r="CZ305" s="451"/>
      <c r="DA305" s="452"/>
      <c r="DB305" s="459"/>
      <c r="DC305" s="457">
        <v>0</v>
      </c>
      <c r="DD305" s="458"/>
      <c r="DE305" s="451"/>
      <c r="DF305" s="452"/>
      <c r="DG305" s="459"/>
      <c r="DH305" s="457">
        <v>0</v>
      </c>
      <c r="DI305" s="458"/>
      <c r="DJ305" s="451"/>
      <c r="DK305" s="452"/>
      <c r="DL305" s="459"/>
      <c r="DM305" s="457">
        <v>0</v>
      </c>
      <c r="DN305" s="458"/>
      <c r="DO305" s="451"/>
      <c r="DP305" s="452"/>
      <c r="DQ305" s="459"/>
      <c r="DR305" s="457">
        <v>0</v>
      </c>
      <c r="DS305" s="458"/>
      <c r="DT305" s="451"/>
      <c r="DU305" s="452"/>
      <c r="DV305" s="459"/>
      <c r="DW305" s="457">
        <v>0</v>
      </c>
      <c r="DX305" s="458"/>
      <c r="DY305" s="451"/>
      <c r="DZ305" s="452"/>
      <c r="EA305" s="459"/>
      <c r="EB305" s="457">
        <v>0</v>
      </c>
      <c r="EC305" s="458"/>
      <c r="ED305" s="451"/>
      <c r="EE305" s="452"/>
      <c r="EF305" s="459"/>
      <c r="EG305" s="457">
        <v>0</v>
      </c>
      <c r="EH305" s="458"/>
      <c r="EI305" s="451"/>
      <c r="EJ305" s="452"/>
      <c r="EK305" s="456"/>
      <c r="EL305" s="457">
        <f>SUM(CD305:DW305)</f>
        <v>0</v>
      </c>
      <c r="EM305" s="458"/>
      <c r="EN305" s="451"/>
      <c r="EO305" s="13"/>
      <c r="ER305" s="14"/>
      <c r="ES305" s="14"/>
    </row>
    <row r="306" spans="4:149" ht="12.75" hidden="1" customHeight="1" x14ac:dyDescent="0.2">
      <c r="D306" s="13"/>
      <c r="G306" s="451"/>
      <c r="H306" s="451"/>
      <c r="I306" s="451"/>
      <c r="J306" s="452"/>
      <c r="K306" s="451"/>
      <c r="L306" s="451"/>
      <c r="M306" s="451"/>
      <c r="N306" s="451"/>
      <c r="O306" s="452"/>
      <c r="P306" s="451"/>
      <c r="Q306" s="451"/>
      <c r="R306" s="451"/>
      <c r="S306" s="451"/>
      <c r="T306" s="452"/>
      <c r="U306" s="451"/>
      <c r="V306" s="451"/>
      <c r="W306" s="451"/>
      <c r="X306" s="451"/>
      <c r="Y306" s="452"/>
      <c r="Z306" s="451"/>
      <c r="AA306" s="451"/>
      <c r="AB306" s="451"/>
      <c r="AC306" s="451"/>
      <c r="AD306" s="452"/>
      <c r="AE306" s="451"/>
      <c r="AF306" s="451"/>
      <c r="AG306" s="451"/>
      <c r="AH306" s="451"/>
      <c r="AI306" s="452"/>
      <c r="AJ306" s="451"/>
      <c r="AK306" s="451"/>
      <c r="AL306" s="451"/>
      <c r="AM306" s="451"/>
      <c r="AN306" s="452"/>
      <c r="AO306" s="451"/>
      <c r="AP306" s="451"/>
      <c r="AQ306" s="451"/>
      <c r="AR306" s="451"/>
      <c r="AS306" s="452"/>
      <c r="AT306" s="451"/>
      <c r="AU306" s="451"/>
      <c r="AV306" s="451"/>
      <c r="AW306" s="451"/>
      <c r="AX306" s="452"/>
      <c r="AY306" s="451"/>
      <c r="AZ306" s="451"/>
      <c r="BA306" s="451"/>
      <c r="BB306" s="451"/>
      <c r="BC306" s="452"/>
      <c r="BD306" s="451"/>
      <c r="BE306" s="451"/>
      <c r="BF306" s="451"/>
      <c r="BG306" s="451"/>
      <c r="BH306" s="452"/>
      <c r="BI306" s="451"/>
      <c r="BJ306" s="451"/>
      <c r="BK306" s="451"/>
      <c r="BL306" s="451"/>
      <c r="BM306" s="452"/>
      <c r="BN306" s="451"/>
      <c r="BO306" s="451"/>
      <c r="BP306" s="451"/>
      <c r="BQ306" s="451"/>
      <c r="BR306" s="452"/>
      <c r="BS306" s="451"/>
      <c r="BT306" s="451"/>
      <c r="BU306" s="451"/>
      <c r="BV306" s="451"/>
      <c r="BW306" s="452"/>
      <c r="BX306" s="451"/>
      <c r="BY306" s="451"/>
      <c r="BZ306" s="451"/>
      <c r="CA306" s="451"/>
      <c r="CB306" s="452"/>
      <c r="CC306" s="451"/>
      <c r="CD306" s="451"/>
      <c r="CE306" s="451"/>
      <c r="CF306" s="451"/>
      <c r="CG306" s="452"/>
      <c r="CH306" s="451"/>
      <c r="CI306" s="451"/>
      <c r="CJ306" s="451"/>
      <c r="CK306" s="451"/>
      <c r="CL306" s="452"/>
      <c r="CM306" s="451"/>
      <c r="CN306" s="451"/>
      <c r="CO306" s="451"/>
      <c r="CP306" s="451"/>
      <c r="CQ306" s="452"/>
      <c r="CR306" s="451"/>
      <c r="CS306" s="451"/>
      <c r="CT306" s="451"/>
      <c r="CU306" s="451"/>
      <c r="CV306" s="452"/>
      <c r="CW306" s="451"/>
      <c r="CX306" s="451"/>
      <c r="CY306" s="451"/>
      <c r="CZ306" s="451"/>
      <c r="DA306" s="452"/>
      <c r="DB306" s="451"/>
      <c r="DC306" s="451"/>
      <c r="DD306" s="451"/>
      <c r="DE306" s="451"/>
      <c r="DF306" s="452"/>
      <c r="DG306" s="451"/>
      <c r="DH306" s="451"/>
      <c r="DI306" s="451"/>
      <c r="DJ306" s="451"/>
      <c r="DK306" s="452"/>
      <c r="DL306" s="451"/>
      <c r="DM306" s="451"/>
      <c r="DN306" s="451"/>
      <c r="DO306" s="451"/>
      <c r="DP306" s="452"/>
      <c r="DQ306" s="451"/>
      <c r="DR306" s="451"/>
      <c r="DS306" s="451"/>
      <c r="DT306" s="451"/>
      <c r="DU306" s="452"/>
      <c r="DV306" s="451"/>
      <c r="DW306" s="451"/>
      <c r="DX306" s="451"/>
      <c r="DY306" s="451"/>
      <c r="DZ306" s="452"/>
      <c r="EA306" s="451"/>
      <c r="EB306" s="451"/>
      <c r="EC306" s="451"/>
      <c r="ED306" s="451"/>
      <c r="EE306" s="452"/>
      <c r="EF306" s="451"/>
      <c r="EG306" s="451"/>
      <c r="EH306" s="451"/>
      <c r="EI306" s="451"/>
      <c r="EJ306" s="452"/>
      <c r="EK306" s="451"/>
      <c r="EL306" s="451"/>
      <c r="EM306" s="451"/>
      <c r="EN306" s="451"/>
      <c r="EO306" s="13"/>
      <c r="ER306" s="14"/>
      <c r="ES306" s="14"/>
    </row>
    <row r="307" spans="4:149" s="14" customFormat="1" ht="12.75" hidden="1" customHeight="1" x14ac:dyDescent="0.2">
      <c r="D307" s="177" t="s">
        <v>341</v>
      </c>
      <c r="E307" s="484"/>
      <c r="F307" s="178"/>
      <c r="G307" s="451">
        <f>SUM(G308)</f>
        <v>0</v>
      </c>
      <c r="H307" s="451"/>
      <c r="I307" s="451"/>
      <c r="J307" s="452"/>
      <c r="K307" s="451"/>
      <c r="L307" s="451">
        <f>SUM(L308:L308)</f>
        <v>0</v>
      </c>
      <c r="M307" s="451"/>
      <c r="N307" s="451"/>
      <c r="O307" s="452"/>
      <c r="P307" s="451"/>
      <c r="Q307" s="451">
        <f>SUM(Q308:Q308)</f>
        <v>0</v>
      </c>
      <c r="R307" s="451"/>
      <c r="S307" s="451"/>
      <c r="T307" s="452"/>
      <c r="U307" s="451"/>
      <c r="V307" s="451">
        <f>SUM(V308:V308)</f>
        <v>0</v>
      </c>
      <c r="W307" s="451"/>
      <c r="X307" s="451"/>
      <c r="Y307" s="452"/>
      <c r="Z307" s="451"/>
      <c r="AA307" s="451">
        <f>SUM(AA308:AA308)</f>
        <v>0</v>
      </c>
      <c r="AB307" s="451"/>
      <c r="AC307" s="451"/>
      <c r="AD307" s="452"/>
      <c r="AE307" s="451"/>
      <c r="AF307" s="451">
        <f>SUM(AF308:AF308)</f>
        <v>0</v>
      </c>
      <c r="AG307" s="451"/>
      <c r="AH307" s="451"/>
      <c r="AI307" s="452"/>
      <c r="AJ307" s="451"/>
      <c r="AK307" s="451">
        <f>SUM(AK308:AK308)</f>
        <v>0</v>
      </c>
      <c r="AL307" s="451"/>
      <c r="AM307" s="451"/>
      <c r="AN307" s="452"/>
      <c r="AO307" s="451"/>
      <c r="AP307" s="451">
        <f>SUM(AP308:AP308)</f>
        <v>0</v>
      </c>
      <c r="AQ307" s="451"/>
      <c r="AR307" s="451"/>
      <c r="AS307" s="452"/>
      <c r="AT307" s="451"/>
      <c r="AU307" s="451">
        <f>SUM(AU308:AU308)</f>
        <v>0</v>
      </c>
      <c r="AV307" s="451"/>
      <c r="AW307" s="451"/>
      <c r="AX307" s="452"/>
      <c r="AY307" s="451"/>
      <c r="AZ307" s="451">
        <f>SUM(AZ308:AZ308)</f>
        <v>0</v>
      </c>
      <c r="BA307" s="451"/>
      <c r="BB307" s="451"/>
      <c r="BC307" s="452"/>
      <c r="BD307" s="451"/>
      <c r="BE307" s="451">
        <f>SUM(BE308:BE308)</f>
        <v>0</v>
      </c>
      <c r="BF307" s="451"/>
      <c r="BG307" s="451"/>
      <c r="BH307" s="452"/>
      <c r="BI307" s="451"/>
      <c r="BJ307" s="451">
        <f>SUM(BJ308:BJ308)</f>
        <v>0</v>
      </c>
      <c r="BK307" s="451"/>
      <c r="BL307" s="451"/>
      <c r="BM307" s="452"/>
      <c r="BN307" s="451"/>
      <c r="BO307" s="451">
        <f>SUM(BO308:BO308)</f>
        <v>0</v>
      </c>
      <c r="BP307" s="451"/>
      <c r="BQ307" s="451"/>
      <c r="BR307" s="452"/>
      <c r="BS307" s="451"/>
      <c r="BT307" s="451">
        <f>SUM(BT308:BT308)</f>
        <v>0</v>
      </c>
      <c r="BU307" s="451"/>
      <c r="BV307" s="451"/>
      <c r="BW307" s="452"/>
      <c r="BX307" s="451"/>
      <c r="BY307" s="451">
        <f>SUM(BY308:BY308)</f>
        <v>0</v>
      </c>
      <c r="BZ307" s="451"/>
      <c r="CA307" s="451"/>
      <c r="CB307" s="452"/>
      <c r="CC307" s="451"/>
      <c r="CD307" s="451">
        <f>SUM(CD308:CD308)</f>
        <v>0</v>
      </c>
      <c r="CE307" s="451"/>
      <c r="CF307" s="451"/>
      <c r="CG307" s="452"/>
      <c r="CH307" s="451"/>
      <c r="CI307" s="451">
        <f>SUM(CI308:CI308)</f>
        <v>0</v>
      </c>
      <c r="CJ307" s="451"/>
      <c r="CK307" s="451"/>
      <c r="CL307" s="452"/>
      <c r="CM307" s="451"/>
      <c r="CN307" s="451">
        <f>SUM(CN308:CN308)</f>
        <v>0</v>
      </c>
      <c r="CO307" s="451"/>
      <c r="CP307" s="451"/>
      <c r="CQ307" s="452"/>
      <c r="CR307" s="451"/>
      <c r="CS307" s="451">
        <f>SUM(CS308:CS308)</f>
        <v>0</v>
      </c>
      <c r="CT307" s="451"/>
      <c r="CU307" s="451"/>
      <c r="CV307" s="452"/>
      <c r="CW307" s="451"/>
      <c r="CX307" s="451">
        <f>SUM(CX308:CX308)</f>
        <v>0</v>
      </c>
      <c r="CY307" s="451"/>
      <c r="CZ307" s="451"/>
      <c r="DA307" s="452"/>
      <c r="DB307" s="451"/>
      <c r="DC307" s="451">
        <f>SUM(DC308:DC308)</f>
        <v>0</v>
      </c>
      <c r="DD307" s="451"/>
      <c r="DE307" s="451"/>
      <c r="DF307" s="452"/>
      <c r="DG307" s="451"/>
      <c r="DH307" s="451">
        <f>SUM(DH308:DH308)</f>
        <v>0</v>
      </c>
      <c r="DI307" s="451"/>
      <c r="DJ307" s="451"/>
      <c r="DK307" s="452"/>
      <c r="DL307" s="451"/>
      <c r="DM307" s="451">
        <f>SUM(DM308:DM308)</f>
        <v>0</v>
      </c>
      <c r="DN307" s="451"/>
      <c r="DO307" s="451"/>
      <c r="DP307" s="452"/>
      <c r="DQ307" s="451"/>
      <c r="DR307" s="451">
        <f>SUM(DR308:DR308)</f>
        <v>0</v>
      </c>
      <c r="DS307" s="451"/>
      <c r="DT307" s="451"/>
      <c r="DU307" s="452"/>
      <c r="DV307" s="451"/>
      <c r="DW307" s="451">
        <f>SUM(DW308:DW308)</f>
        <v>0</v>
      </c>
      <c r="DX307" s="451"/>
      <c r="DY307" s="451"/>
      <c r="DZ307" s="452"/>
      <c r="EA307" s="451"/>
      <c r="EB307" s="451">
        <f>SUM(EB308:EB308)</f>
        <v>0</v>
      </c>
      <c r="EC307" s="451"/>
      <c r="ED307" s="451"/>
      <c r="EE307" s="452"/>
      <c r="EF307" s="451"/>
      <c r="EG307" s="451">
        <f>SUM(EG308:EG308)</f>
        <v>0</v>
      </c>
      <c r="EH307" s="451"/>
      <c r="EI307" s="451"/>
      <c r="EJ307" s="452"/>
      <c r="EK307" s="451"/>
      <c r="EL307" s="451">
        <f>SUM(EL308:EL308)</f>
        <v>0</v>
      </c>
      <c r="EM307" s="451"/>
      <c r="EN307" s="446"/>
      <c r="EO307" s="93"/>
      <c r="EQ307" s="1"/>
    </row>
    <row r="308" spans="4:149" ht="12.75" hidden="1" customHeight="1" x14ac:dyDescent="0.2">
      <c r="D308" s="13" t="s">
        <v>347</v>
      </c>
      <c r="E308" s="479"/>
      <c r="F308" s="485"/>
      <c r="G308" s="457">
        <v>0</v>
      </c>
      <c r="H308" s="458"/>
      <c r="I308" s="451"/>
      <c r="J308" s="452"/>
      <c r="K308" s="459"/>
      <c r="L308" s="457">
        <f>L312</f>
        <v>0</v>
      </c>
      <c r="M308" s="458"/>
      <c r="N308" s="451"/>
      <c r="O308" s="452"/>
      <c r="P308" s="459"/>
      <c r="Q308" s="457">
        <f>Q312</f>
        <v>0</v>
      </c>
      <c r="R308" s="458"/>
      <c r="S308" s="451"/>
      <c r="T308" s="452"/>
      <c r="U308" s="459"/>
      <c r="V308" s="457">
        <f>V312</f>
        <v>0</v>
      </c>
      <c r="W308" s="458"/>
      <c r="X308" s="451"/>
      <c r="Y308" s="452"/>
      <c r="Z308" s="459"/>
      <c r="AA308" s="457">
        <f>AA312</f>
        <v>0</v>
      </c>
      <c r="AB308" s="458"/>
      <c r="AC308" s="451"/>
      <c r="AD308" s="452"/>
      <c r="AE308" s="459"/>
      <c r="AF308" s="457">
        <v>0</v>
      </c>
      <c r="AG308" s="458"/>
      <c r="AH308" s="451"/>
      <c r="AI308" s="452"/>
      <c r="AJ308" s="459"/>
      <c r="AK308" s="457">
        <f>AK312</f>
        <v>0</v>
      </c>
      <c r="AL308" s="458"/>
      <c r="AM308" s="451"/>
      <c r="AN308" s="452"/>
      <c r="AO308" s="459"/>
      <c r="AP308" s="457">
        <f>AP312</f>
        <v>0</v>
      </c>
      <c r="AQ308" s="458"/>
      <c r="AR308" s="451"/>
      <c r="AS308" s="452"/>
      <c r="AT308" s="459"/>
      <c r="AU308" s="457">
        <f>AU312</f>
        <v>0</v>
      </c>
      <c r="AV308" s="458"/>
      <c r="AW308" s="451"/>
      <c r="AX308" s="452"/>
      <c r="AY308" s="459"/>
      <c r="AZ308" s="457">
        <f>AZ312</f>
        <v>0</v>
      </c>
      <c r="BA308" s="458"/>
      <c r="BB308" s="451"/>
      <c r="BC308" s="452"/>
      <c r="BD308" s="459"/>
      <c r="BE308" s="457">
        <f>BE312</f>
        <v>0</v>
      </c>
      <c r="BF308" s="458"/>
      <c r="BG308" s="451"/>
      <c r="BH308" s="452"/>
      <c r="BI308" s="459"/>
      <c r="BJ308" s="457">
        <f>BJ312</f>
        <v>0</v>
      </c>
      <c r="BK308" s="458"/>
      <c r="BL308" s="451"/>
      <c r="BM308" s="452"/>
      <c r="BN308" s="459"/>
      <c r="BO308" s="457">
        <f>BO312</f>
        <v>0</v>
      </c>
      <c r="BP308" s="458"/>
      <c r="BQ308" s="451"/>
      <c r="BR308" s="452"/>
      <c r="BS308" s="459"/>
      <c r="BT308" s="457">
        <f>SUM(L308:BO308)</f>
        <v>0</v>
      </c>
      <c r="BU308" s="458"/>
      <c r="BV308" s="451"/>
      <c r="BW308" s="452"/>
      <c r="BX308" s="459"/>
      <c r="BY308" s="457">
        <v>0</v>
      </c>
      <c r="BZ308" s="458"/>
      <c r="CA308" s="451"/>
      <c r="CB308" s="452"/>
      <c r="CC308" s="459"/>
      <c r="CD308" s="457">
        <f>CD312</f>
        <v>0</v>
      </c>
      <c r="CE308" s="458"/>
      <c r="CF308" s="451"/>
      <c r="CG308" s="452"/>
      <c r="CH308" s="459"/>
      <c r="CI308" s="457">
        <f>CI312</f>
        <v>0</v>
      </c>
      <c r="CJ308" s="458"/>
      <c r="CK308" s="451"/>
      <c r="CL308" s="452"/>
      <c r="CM308" s="459"/>
      <c r="CN308" s="457">
        <f>CN312</f>
        <v>0</v>
      </c>
      <c r="CO308" s="458"/>
      <c r="CP308" s="451"/>
      <c r="CQ308" s="452"/>
      <c r="CR308" s="459"/>
      <c r="CS308" s="457">
        <f>CS312</f>
        <v>0</v>
      </c>
      <c r="CT308" s="458"/>
      <c r="CU308" s="451"/>
      <c r="CV308" s="452"/>
      <c r="CW308" s="459"/>
      <c r="CX308" s="457">
        <v>0</v>
      </c>
      <c r="CY308" s="458"/>
      <c r="CZ308" s="451"/>
      <c r="DA308" s="452"/>
      <c r="DB308" s="459"/>
      <c r="DC308" s="457">
        <f>DC312</f>
        <v>0</v>
      </c>
      <c r="DD308" s="458"/>
      <c r="DE308" s="451"/>
      <c r="DF308" s="452"/>
      <c r="DG308" s="459"/>
      <c r="DH308" s="457">
        <f>DH312</f>
        <v>0</v>
      </c>
      <c r="DI308" s="458"/>
      <c r="DJ308" s="451"/>
      <c r="DK308" s="452"/>
      <c r="DL308" s="459"/>
      <c r="DM308" s="457">
        <f>DM312</f>
        <v>0</v>
      </c>
      <c r="DN308" s="458"/>
      <c r="DO308" s="451"/>
      <c r="DP308" s="452"/>
      <c r="DQ308" s="459"/>
      <c r="DR308" s="457">
        <f>DR312</f>
        <v>0</v>
      </c>
      <c r="DS308" s="458"/>
      <c r="DT308" s="451"/>
      <c r="DU308" s="452"/>
      <c r="DV308" s="459"/>
      <c r="DW308" s="457">
        <f>DW312</f>
        <v>0</v>
      </c>
      <c r="DX308" s="458"/>
      <c r="DY308" s="451"/>
      <c r="DZ308" s="452"/>
      <c r="EA308" s="459"/>
      <c r="EB308" s="457">
        <f>EB312</f>
        <v>0</v>
      </c>
      <c r="EC308" s="458"/>
      <c r="ED308" s="451"/>
      <c r="EE308" s="452"/>
      <c r="EF308" s="459"/>
      <c r="EG308" s="457">
        <f>EG312</f>
        <v>0</v>
      </c>
      <c r="EH308" s="458"/>
      <c r="EI308" s="451"/>
      <c r="EJ308" s="452"/>
      <c r="EK308" s="459"/>
      <c r="EL308" s="457">
        <f>SUM(CD308:EG308)</f>
        <v>0</v>
      </c>
      <c r="EM308" s="458"/>
      <c r="EN308" s="451"/>
      <c r="EO308" s="13"/>
      <c r="ER308" s="14"/>
      <c r="ES308" s="14"/>
    </row>
    <row r="309" spans="4:149" ht="12.75" hidden="1" customHeight="1" x14ac:dyDescent="0.2">
      <c r="D309" s="13"/>
      <c r="G309" s="451"/>
      <c r="H309" s="451"/>
      <c r="I309" s="451"/>
      <c r="J309" s="452"/>
      <c r="K309" s="451"/>
      <c r="O309" s="198"/>
      <c r="T309" s="198"/>
      <c r="Y309" s="198"/>
      <c r="AD309" s="198"/>
      <c r="AI309" s="198"/>
      <c r="AN309" s="198"/>
      <c r="AS309" s="198"/>
      <c r="AX309" s="198"/>
      <c r="BC309" s="198"/>
      <c r="BH309" s="198"/>
      <c r="BM309" s="198"/>
      <c r="BR309" s="198"/>
      <c r="BW309" s="198"/>
      <c r="BZ309" s="451"/>
      <c r="CA309" s="451"/>
      <c r="CB309" s="452"/>
      <c r="CC309" s="451"/>
      <c r="CG309" s="198"/>
      <c r="CL309" s="198"/>
      <c r="CQ309" s="198"/>
      <c r="CV309" s="198"/>
      <c r="DA309" s="198"/>
      <c r="DF309" s="198"/>
      <c r="DK309" s="198"/>
      <c r="DP309" s="198"/>
      <c r="DU309" s="198"/>
      <c r="DZ309" s="198"/>
      <c r="EE309" s="198"/>
      <c r="EJ309" s="198"/>
      <c r="EO309" s="13"/>
      <c r="ER309" s="14"/>
      <c r="ES309" s="14"/>
    </row>
    <row r="310" spans="4:149" ht="12.75" hidden="1" customHeight="1" x14ac:dyDescent="0.2">
      <c r="D310" s="13"/>
      <c r="G310" s="451"/>
      <c r="H310" s="451"/>
      <c r="I310" s="451"/>
      <c r="J310" s="452"/>
      <c r="K310" s="451"/>
      <c r="L310" s="451"/>
      <c r="M310" s="451"/>
      <c r="N310" s="451"/>
      <c r="O310" s="452"/>
      <c r="P310" s="451"/>
      <c r="Q310" s="451"/>
      <c r="R310" s="451"/>
      <c r="S310" s="451"/>
      <c r="T310" s="452"/>
      <c r="U310" s="451"/>
      <c r="V310" s="451"/>
      <c r="W310" s="451"/>
      <c r="X310" s="451"/>
      <c r="Y310" s="452"/>
      <c r="Z310" s="451"/>
      <c r="AA310" s="451"/>
      <c r="AB310" s="451"/>
      <c r="AC310" s="451"/>
      <c r="AD310" s="452"/>
      <c r="AE310" s="451"/>
      <c r="AF310" s="451"/>
      <c r="AG310" s="451"/>
      <c r="AH310" s="451"/>
      <c r="AI310" s="452"/>
      <c r="AJ310" s="451"/>
      <c r="AK310" s="451"/>
      <c r="AL310" s="451"/>
      <c r="AM310" s="451"/>
      <c r="AN310" s="452"/>
      <c r="AO310" s="451"/>
      <c r="AP310" s="451"/>
      <c r="AQ310" s="451"/>
      <c r="AR310" s="451"/>
      <c r="AS310" s="452"/>
      <c r="AT310" s="451"/>
      <c r="AU310" s="451"/>
      <c r="AV310" s="451"/>
      <c r="AW310" s="451"/>
      <c r="AX310" s="452"/>
      <c r="AY310" s="451"/>
      <c r="AZ310" s="451"/>
      <c r="BA310" s="451"/>
      <c r="BB310" s="451"/>
      <c r="BC310" s="452"/>
      <c r="BD310" s="451"/>
      <c r="BE310" s="451"/>
      <c r="BF310" s="451"/>
      <c r="BG310" s="451"/>
      <c r="BH310" s="452"/>
      <c r="BI310" s="451"/>
      <c r="BJ310" s="451"/>
      <c r="BK310" s="451"/>
      <c r="BL310" s="451"/>
      <c r="BM310" s="452"/>
      <c r="BN310" s="451"/>
      <c r="BO310" s="451"/>
      <c r="BP310" s="451"/>
      <c r="BQ310" s="451"/>
      <c r="BR310" s="452"/>
      <c r="BS310" s="451"/>
      <c r="BT310" s="451"/>
      <c r="BU310" s="451"/>
      <c r="BV310" s="451"/>
      <c r="BW310" s="452"/>
      <c r="BX310" s="451"/>
      <c r="BY310" s="451"/>
      <c r="BZ310" s="451"/>
      <c r="CA310" s="451"/>
      <c r="CB310" s="452"/>
      <c r="CC310" s="451"/>
      <c r="CD310" s="451"/>
      <c r="CE310" s="451"/>
      <c r="CF310" s="451"/>
      <c r="CG310" s="452"/>
      <c r="CH310" s="451"/>
      <c r="CI310" s="451"/>
      <c r="CJ310" s="451"/>
      <c r="CK310" s="451"/>
      <c r="CL310" s="452"/>
      <c r="CM310" s="451"/>
      <c r="CN310" s="451"/>
      <c r="CO310" s="451"/>
      <c r="CP310" s="451"/>
      <c r="CQ310" s="452"/>
      <c r="CR310" s="451"/>
      <c r="CS310" s="451"/>
      <c r="CT310" s="451"/>
      <c r="CU310" s="451"/>
      <c r="CV310" s="452"/>
      <c r="CW310" s="451"/>
      <c r="CX310" s="451"/>
      <c r="CY310" s="451"/>
      <c r="CZ310" s="451"/>
      <c r="DA310" s="452"/>
      <c r="DB310" s="451"/>
      <c r="DC310" s="451"/>
      <c r="DD310" s="451"/>
      <c r="DE310" s="451"/>
      <c r="DF310" s="452"/>
      <c r="DG310" s="451"/>
      <c r="DH310" s="451"/>
      <c r="DI310" s="451"/>
      <c r="DJ310" s="451"/>
      <c r="DK310" s="452"/>
      <c r="DL310" s="451"/>
      <c r="DM310" s="451"/>
      <c r="DN310" s="451"/>
      <c r="DO310" s="451"/>
      <c r="DP310" s="452"/>
      <c r="DQ310" s="451"/>
      <c r="DR310" s="451"/>
      <c r="DS310" s="451"/>
      <c r="DT310" s="451"/>
      <c r="DU310" s="452"/>
      <c r="DV310" s="451"/>
      <c r="DW310" s="451"/>
      <c r="DX310" s="451"/>
      <c r="DY310" s="451"/>
      <c r="DZ310" s="452"/>
      <c r="EA310" s="451"/>
      <c r="EB310" s="451"/>
      <c r="EC310" s="451"/>
      <c r="ED310" s="451"/>
      <c r="EE310" s="452"/>
      <c r="EF310" s="451"/>
      <c r="EG310" s="451"/>
      <c r="EH310" s="451"/>
      <c r="EI310" s="451"/>
      <c r="EJ310" s="452"/>
      <c r="EK310" s="451"/>
      <c r="EL310" s="451"/>
      <c r="EM310" s="451"/>
      <c r="EN310" s="451"/>
      <c r="EO310" s="13"/>
      <c r="ER310" s="14"/>
      <c r="ES310" s="14"/>
    </row>
    <row r="311" spans="4:149" ht="12.75" hidden="1" customHeight="1" x14ac:dyDescent="0.2">
      <c r="D311" s="13" t="str">
        <f>[31]domredemp!D86</f>
        <v xml:space="preserve">  I2029 (1.875%  2029/03/31)</v>
      </c>
      <c r="G311" s="451">
        <v>0</v>
      </c>
      <c r="H311" s="451"/>
      <c r="I311" s="451"/>
      <c r="J311" s="452"/>
      <c r="K311" s="451"/>
      <c r="L311" s="451">
        <f>SUM(L312:L312)</f>
        <v>0</v>
      </c>
      <c r="M311" s="451"/>
      <c r="N311" s="451"/>
      <c r="O311" s="452"/>
      <c r="P311" s="451"/>
      <c r="Q311" s="451">
        <f>SUM(Q312:Q312)</f>
        <v>0</v>
      </c>
      <c r="R311" s="451"/>
      <c r="S311" s="451"/>
      <c r="T311" s="452"/>
      <c r="U311" s="451"/>
      <c r="V311" s="451">
        <f>SUM(V312:V312)</f>
        <v>0</v>
      </c>
      <c r="W311" s="451"/>
      <c r="X311" s="451"/>
      <c r="Y311" s="452"/>
      <c r="Z311" s="451"/>
      <c r="AA311" s="451">
        <f>SUM(AA312:AA312)</f>
        <v>0</v>
      </c>
      <c r="AB311" s="451"/>
      <c r="AC311" s="451"/>
      <c r="AD311" s="452"/>
      <c r="AE311" s="451"/>
      <c r="AF311" s="451">
        <f>SUM(AF312:AF312)</f>
        <v>0</v>
      </c>
      <c r="AG311" s="451"/>
      <c r="AH311" s="451"/>
      <c r="AI311" s="452"/>
      <c r="AJ311" s="451"/>
      <c r="AK311" s="451">
        <f>SUM(AK312:AK312)</f>
        <v>0</v>
      </c>
      <c r="AL311" s="451"/>
      <c r="AM311" s="451"/>
      <c r="AN311" s="452"/>
      <c r="AO311" s="451"/>
      <c r="AP311" s="451">
        <f>SUM(AP312:AP312)</f>
        <v>0</v>
      </c>
      <c r="AQ311" s="451"/>
      <c r="AR311" s="451"/>
      <c r="AS311" s="452"/>
      <c r="AT311" s="451"/>
      <c r="AU311" s="451">
        <f>SUM(AU312:AU312)</f>
        <v>0</v>
      </c>
      <c r="AV311" s="451"/>
      <c r="AW311" s="451"/>
      <c r="AX311" s="452"/>
      <c r="AY311" s="451"/>
      <c r="AZ311" s="451">
        <f>SUM(AZ312:AZ312)</f>
        <v>0</v>
      </c>
      <c r="BA311" s="451"/>
      <c r="BB311" s="451"/>
      <c r="BC311" s="452"/>
      <c r="BD311" s="451"/>
      <c r="BE311" s="451">
        <f>SUM(BE312:BE312)</f>
        <v>0</v>
      </c>
      <c r="BF311" s="451"/>
      <c r="BG311" s="451"/>
      <c r="BH311" s="452"/>
      <c r="BI311" s="451"/>
      <c r="BJ311" s="451">
        <f>SUM(BJ312:BJ312)</f>
        <v>0</v>
      </c>
      <c r="BK311" s="451"/>
      <c r="BL311" s="451"/>
      <c r="BM311" s="452"/>
      <c r="BN311" s="451"/>
      <c r="BO311" s="451">
        <f>SUM(BO312:BO312)</f>
        <v>0</v>
      </c>
      <c r="BP311" s="451"/>
      <c r="BQ311" s="451"/>
      <c r="BR311" s="452"/>
      <c r="BS311" s="451"/>
      <c r="BT311" s="451">
        <f>SUM(BT312:BT312)</f>
        <v>0</v>
      </c>
      <c r="BU311" s="451"/>
      <c r="BV311" s="451"/>
      <c r="BW311" s="452"/>
      <c r="BX311" s="451"/>
      <c r="BY311" s="451">
        <f>SUM(BY312:BY312)</f>
        <v>0</v>
      </c>
      <c r="BZ311" s="451"/>
      <c r="CA311" s="451"/>
      <c r="CB311" s="452"/>
      <c r="CC311" s="451"/>
      <c r="CD311" s="451">
        <f>SUM(CD312:CD312)</f>
        <v>0</v>
      </c>
      <c r="CE311" s="451"/>
      <c r="CF311" s="451"/>
      <c r="CG311" s="452"/>
      <c r="CH311" s="451"/>
      <c r="CI311" s="451">
        <f>SUM(CI312:CI312)</f>
        <v>0</v>
      </c>
      <c r="CJ311" s="451"/>
      <c r="CK311" s="451"/>
      <c r="CL311" s="452"/>
      <c r="CM311" s="451"/>
      <c r="CN311" s="451">
        <f>SUM(CN312:CN312)</f>
        <v>0</v>
      </c>
      <c r="CO311" s="451"/>
      <c r="CP311" s="451"/>
      <c r="CQ311" s="452"/>
      <c r="CR311" s="451"/>
      <c r="CS311" s="451">
        <f>SUM(CS312:CS312)</f>
        <v>0</v>
      </c>
      <c r="CT311" s="451"/>
      <c r="CU311" s="451"/>
      <c r="CV311" s="452"/>
      <c r="CW311" s="451"/>
      <c r="CX311" s="451">
        <f>SUM(CX312:CX312)</f>
        <v>0</v>
      </c>
      <c r="CY311" s="451"/>
      <c r="CZ311" s="451"/>
      <c r="DA311" s="452"/>
      <c r="DB311" s="451"/>
      <c r="DC311" s="451">
        <f>SUM(DC312:DC312)</f>
        <v>0</v>
      </c>
      <c r="DD311" s="451"/>
      <c r="DE311" s="451"/>
      <c r="DF311" s="452"/>
      <c r="DG311" s="451"/>
      <c r="DH311" s="451">
        <f>SUM(DH312:DH312)</f>
        <v>0</v>
      </c>
      <c r="DI311" s="451"/>
      <c r="DJ311" s="451"/>
      <c r="DK311" s="452"/>
      <c r="DL311" s="451"/>
      <c r="DM311" s="451">
        <f>SUM(DM312:DM312)</f>
        <v>0</v>
      </c>
      <c r="DN311" s="451"/>
      <c r="DO311" s="451"/>
      <c r="DP311" s="452"/>
      <c r="DQ311" s="451"/>
      <c r="DR311" s="451">
        <f>SUM(DR312:DR312)</f>
        <v>0</v>
      </c>
      <c r="DS311" s="451"/>
      <c r="DT311" s="451"/>
      <c r="DU311" s="452"/>
      <c r="DV311" s="451"/>
      <c r="DW311" s="451">
        <f>SUM(DW312:DW312)</f>
        <v>0</v>
      </c>
      <c r="DX311" s="451"/>
      <c r="DY311" s="451"/>
      <c r="DZ311" s="452"/>
      <c r="EA311" s="451"/>
      <c r="EB311" s="451">
        <f>SUM(EB312:EB312)</f>
        <v>0</v>
      </c>
      <c r="EC311" s="451"/>
      <c r="ED311" s="451"/>
      <c r="EE311" s="452"/>
      <c r="EF311" s="451"/>
      <c r="EG311" s="451">
        <f>SUM(EG312:EG312)</f>
        <v>0</v>
      </c>
      <c r="EH311" s="451"/>
      <c r="EI311" s="451"/>
      <c r="EJ311" s="452"/>
      <c r="EK311" s="451"/>
      <c r="EL311" s="451">
        <f>SUM(EL312:EL312)</f>
        <v>0</v>
      </c>
      <c r="EM311" s="451"/>
      <c r="EN311" s="451"/>
      <c r="EO311" s="13"/>
      <c r="ER311" s="14"/>
      <c r="ES311" s="14"/>
    </row>
    <row r="312" spans="4:149" ht="12.75" hidden="1" customHeight="1" x14ac:dyDescent="0.2">
      <c r="D312" s="13" t="s">
        <v>347</v>
      </c>
      <c r="F312" s="456"/>
      <c r="G312" s="457">
        <v>0</v>
      </c>
      <c r="H312" s="458"/>
      <c r="I312" s="451"/>
      <c r="J312" s="452"/>
      <c r="K312" s="459"/>
      <c r="L312" s="457">
        <v>0</v>
      </c>
      <c r="M312" s="458"/>
      <c r="N312" s="451"/>
      <c r="O312" s="452"/>
      <c r="P312" s="459"/>
      <c r="Q312" s="457">
        <v>0</v>
      </c>
      <c r="R312" s="458"/>
      <c r="S312" s="451"/>
      <c r="T312" s="452"/>
      <c r="U312" s="459"/>
      <c r="V312" s="457">
        <v>0</v>
      </c>
      <c r="W312" s="458"/>
      <c r="X312" s="451"/>
      <c r="Y312" s="452"/>
      <c r="Z312" s="459"/>
      <c r="AA312" s="457">
        <v>0</v>
      </c>
      <c r="AB312" s="458"/>
      <c r="AC312" s="451"/>
      <c r="AD312" s="452"/>
      <c r="AE312" s="459"/>
      <c r="AF312" s="457">
        <v>0</v>
      </c>
      <c r="AG312" s="458"/>
      <c r="AH312" s="451"/>
      <c r="AI312" s="452"/>
      <c r="AJ312" s="459"/>
      <c r="AK312" s="457">
        <v>0</v>
      </c>
      <c r="AL312" s="458"/>
      <c r="AM312" s="451"/>
      <c r="AN312" s="452"/>
      <c r="AO312" s="459"/>
      <c r="AP312" s="457">
        <v>0</v>
      </c>
      <c r="AQ312" s="458"/>
      <c r="AR312" s="451"/>
      <c r="AS312" s="452"/>
      <c r="AT312" s="459"/>
      <c r="AU312" s="457">
        <v>0</v>
      </c>
      <c r="AV312" s="458"/>
      <c r="AW312" s="451"/>
      <c r="AX312" s="452"/>
      <c r="AY312" s="459"/>
      <c r="AZ312" s="457">
        <v>0</v>
      </c>
      <c r="BA312" s="458"/>
      <c r="BB312" s="451"/>
      <c r="BC312" s="452"/>
      <c r="BD312" s="459"/>
      <c r="BE312" s="457">
        <v>0</v>
      </c>
      <c r="BF312" s="458"/>
      <c r="BG312" s="451"/>
      <c r="BH312" s="452"/>
      <c r="BI312" s="459"/>
      <c r="BJ312" s="457">
        <v>0</v>
      </c>
      <c r="BK312" s="458"/>
      <c r="BL312" s="451"/>
      <c r="BM312" s="452"/>
      <c r="BN312" s="459"/>
      <c r="BO312" s="457">
        <v>0</v>
      </c>
      <c r="BP312" s="458"/>
      <c r="BQ312" s="451"/>
      <c r="BR312" s="452"/>
      <c r="BS312" s="459"/>
      <c r="BT312" s="457">
        <f>SUM(L312:BO312)</f>
        <v>0</v>
      </c>
      <c r="BU312" s="458"/>
      <c r="BV312" s="451"/>
      <c r="BW312" s="452"/>
      <c r="BX312" s="459"/>
      <c r="BY312" s="457">
        <v>0</v>
      </c>
      <c r="BZ312" s="458"/>
      <c r="CA312" s="451"/>
      <c r="CB312" s="452"/>
      <c r="CC312" s="459"/>
      <c r="CD312" s="457">
        <v>0</v>
      </c>
      <c r="CE312" s="458"/>
      <c r="CF312" s="451"/>
      <c r="CG312" s="452"/>
      <c r="CH312" s="459"/>
      <c r="CI312" s="457">
        <v>0</v>
      </c>
      <c r="CJ312" s="458"/>
      <c r="CK312" s="451"/>
      <c r="CL312" s="452"/>
      <c r="CM312" s="459"/>
      <c r="CN312" s="457">
        <v>0</v>
      </c>
      <c r="CO312" s="458"/>
      <c r="CP312" s="451"/>
      <c r="CQ312" s="452"/>
      <c r="CR312" s="459"/>
      <c r="CS312" s="457">
        <v>0</v>
      </c>
      <c r="CT312" s="458"/>
      <c r="CU312" s="451"/>
      <c r="CV312" s="452"/>
      <c r="CW312" s="459"/>
      <c r="CX312" s="457">
        <v>0</v>
      </c>
      <c r="CY312" s="458"/>
      <c r="CZ312" s="451"/>
      <c r="DA312" s="452"/>
      <c r="DB312" s="459"/>
      <c r="DC312" s="457">
        <v>0</v>
      </c>
      <c r="DD312" s="458"/>
      <c r="DE312" s="451"/>
      <c r="DF312" s="452"/>
      <c r="DG312" s="459"/>
      <c r="DH312" s="457">
        <v>0</v>
      </c>
      <c r="DI312" s="458"/>
      <c r="DJ312" s="451"/>
      <c r="DK312" s="452"/>
      <c r="DL312" s="459"/>
      <c r="DM312" s="457">
        <v>0</v>
      </c>
      <c r="DN312" s="458"/>
      <c r="DO312" s="451"/>
      <c r="DP312" s="452"/>
      <c r="DQ312" s="459"/>
      <c r="DR312" s="457">
        <v>0</v>
      </c>
      <c r="DS312" s="458"/>
      <c r="DT312" s="451"/>
      <c r="DU312" s="452"/>
      <c r="DV312" s="459"/>
      <c r="DW312" s="457">
        <v>0</v>
      </c>
      <c r="DX312" s="458"/>
      <c r="DY312" s="451"/>
      <c r="DZ312" s="452"/>
      <c r="EA312" s="459"/>
      <c r="EB312" s="457">
        <v>0</v>
      </c>
      <c r="EC312" s="458"/>
      <c r="ED312" s="451"/>
      <c r="EE312" s="452"/>
      <c r="EF312" s="459"/>
      <c r="EG312" s="457">
        <v>0</v>
      </c>
      <c r="EH312" s="458"/>
      <c r="EI312" s="451"/>
      <c r="EJ312" s="452"/>
      <c r="EK312" s="459"/>
      <c r="EL312" s="457">
        <f>SUM(CD312:CN312)</f>
        <v>0</v>
      </c>
      <c r="EM312" s="458"/>
      <c r="EN312" s="451"/>
      <c r="EO312" s="13"/>
      <c r="ER312" s="14"/>
      <c r="ES312" s="14"/>
    </row>
    <row r="313" spans="4:149" ht="12.75" hidden="1" customHeight="1" x14ac:dyDescent="0.2">
      <c r="D313" s="13"/>
      <c r="G313" s="451"/>
      <c r="H313" s="451"/>
      <c r="I313" s="451"/>
      <c r="J313" s="452"/>
      <c r="K313" s="451"/>
      <c r="L313" s="451"/>
      <c r="M313" s="451"/>
      <c r="N313" s="451"/>
      <c r="O313" s="452"/>
      <c r="P313" s="451"/>
      <c r="Q313" s="451"/>
      <c r="R313" s="451"/>
      <c r="S313" s="451"/>
      <c r="T313" s="452"/>
      <c r="U313" s="451"/>
      <c r="V313" s="451"/>
      <c r="W313" s="451"/>
      <c r="X313" s="451"/>
      <c r="Y313" s="452"/>
      <c r="Z313" s="451"/>
      <c r="AA313" s="451"/>
      <c r="AB313" s="451"/>
      <c r="AC313" s="451"/>
      <c r="AD313" s="452"/>
      <c r="AE313" s="451"/>
      <c r="AF313" s="451"/>
      <c r="AG313" s="451"/>
      <c r="AH313" s="451"/>
      <c r="AI313" s="452"/>
      <c r="AJ313" s="451"/>
      <c r="AK313" s="451"/>
      <c r="AL313" s="451"/>
      <c r="AM313" s="451"/>
      <c r="AN313" s="452"/>
      <c r="AO313" s="451"/>
      <c r="AP313" s="451"/>
      <c r="AQ313" s="451"/>
      <c r="AR313" s="451"/>
      <c r="AS313" s="452"/>
      <c r="AT313" s="451"/>
      <c r="AU313" s="451"/>
      <c r="AV313" s="451"/>
      <c r="AW313" s="451"/>
      <c r="AX313" s="452"/>
      <c r="AY313" s="451"/>
      <c r="AZ313" s="451"/>
      <c r="BA313" s="451"/>
      <c r="BB313" s="451"/>
      <c r="BC313" s="452"/>
      <c r="BD313" s="451"/>
      <c r="BE313" s="451"/>
      <c r="BF313" s="451"/>
      <c r="BG313" s="451"/>
      <c r="BH313" s="452"/>
      <c r="BI313" s="451"/>
      <c r="BJ313" s="451"/>
      <c r="BK313" s="451"/>
      <c r="BL313" s="451"/>
      <c r="BM313" s="452"/>
      <c r="BN313" s="451"/>
      <c r="BO313" s="451"/>
      <c r="BP313" s="451"/>
      <c r="BQ313" s="451"/>
      <c r="BR313" s="452"/>
      <c r="BS313" s="451"/>
      <c r="BT313" s="451"/>
      <c r="BU313" s="451"/>
      <c r="BV313" s="451"/>
      <c r="BW313" s="452"/>
      <c r="BX313" s="451"/>
      <c r="BY313" s="451"/>
      <c r="BZ313" s="451"/>
      <c r="CA313" s="451"/>
      <c r="CB313" s="452"/>
      <c r="CC313" s="451"/>
      <c r="CD313" s="451"/>
      <c r="CE313" s="451"/>
      <c r="CF313" s="451"/>
      <c r="CG313" s="452"/>
      <c r="CH313" s="451"/>
      <c r="CI313" s="451"/>
      <c r="CJ313" s="451"/>
      <c r="CK313" s="451"/>
      <c r="CL313" s="452"/>
      <c r="CM313" s="451"/>
      <c r="CN313" s="451"/>
      <c r="CO313" s="451"/>
      <c r="CP313" s="451"/>
      <c r="CQ313" s="452"/>
      <c r="CR313" s="451"/>
      <c r="CS313" s="451"/>
      <c r="CT313" s="451"/>
      <c r="CU313" s="451"/>
      <c r="CV313" s="452"/>
      <c r="CW313" s="451"/>
      <c r="CX313" s="451"/>
      <c r="CY313" s="451"/>
      <c r="CZ313" s="451"/>
      <c r="DA313" s="452"/>
      <c r="DB313" s="451"/>
      <c r="DC313" s="451"/>
      <c r="DD313" s="451"/>
      <c r="DE313" s="451"/>
      <c r="DF313" s="452"/>
      <c r="DG313" s="451"/>
      <c r="DH313" s="451"/>
      <c r="DI313" s="451"/>
      <c r="DJ313" s="451"/>
      <c r="DK313" s="452"/>
      <c r="DL313" s="451"/>
      <c r="DM313" s="451"/>
      <c r="DN313" s="451"/>
      <c r="DO313" s="451"/>
      <c r="DP313" s="452"/>
      <c r="DQ313" s="451"/>
      <c r="DR313" s="451"/>
      <c r="DS313" s="451"/>
      <c r="DT313" s="451"/>
      <c r="DU313" s="452"/>
      <c r="DV313" s="451"/>
      <c r="DW313" s="451"/>
      <c r="DX313" s="451"/>
      <c r="DY313" s="451"/>
      <c r="DZ313" s="452"/>
      <c r="EA313" s="451"/>
      <c r="EB313" s="451"/>
      <c r="EC313" s="451"/>
      <c r="ED313" s="451"/>
      <c r="EE313" s="452"/>
      <c r="EF313" s="451"/>
      <c r="EG313" s="451"/>
      <c r="EH313" s="451"/>
      <c r="EI313" s="451"/>
      <c r="EJ313" s="452"/>
      <c r="EK313" s="451"/>
      <c r="EL313" s="451"/>
      <c r="EM313" s="451"/>
      <c r="EN313" s="451"/>
      <c r="EO313" s="13"/>
      <c r="ER313" s="14"/>
      <c r="ES313" s="14"/>
    </row>
    <row r="314" spans="4:149" ht="12.75" customHeight="1" x14ac:dyDescent="0.2">
      <c r="D314" s="13"/>
      <c r="G314" s="451"/>
      <c r="H314" s="451"/>
      <c r="I314" s="451"/>
      <c r="J314" s="452"/>
      <c r="K314" s="451"/>
      <c r="L314" s="451"/>
      <c r="M314" s="451"/>
      <c r="N314" s="451"/>
      <c r="O314" s="452"/>
      <c r="P314" s="451"/>
      <c r="Q314" s="451"/>
      <c r="R314" s="451"/>
      <c r="S314" s="451"/>
      <c r="T314" s="452"/>
      <c r="U314" s="451"/>
      <c r="V314" s="451"/>
      <c r="W314" s="451"/>
      <c r="X314" s="451"/>
      <c r="Y314" s="452"/>
      <c r="Z314" s="451"/>
      <c r="AA314" s="451"/>
      <c r="AB314" s="451"/>
      <c r="AC314" s="451"/>
      <c r="AD314" s="452"/>
      <c r="AE314" s="451"/>
      <c r="AF314" s="451"/>
      <c r="AG314" s="451"/>
      <c r="AH314" s="451"/>
      <c r="AI314" s="452"/>
      <c r="AJ314" s="451"/>
      <c r="AK314" s="451"/>
      <c r="AL314" s="451"/>
      <c r="AM314" s="451"/>
      <c r="AN314" s="452"/>
      <c r="AO314" s="451"/>
      <c r="AP314" s="451"/>
      <c r="AQ314" s="451"/>
      <c r="AR314" s="451"/>
      <c r="AS314" s="452"/>
      <c r="AT314" s="451"/>
      <c r="AU314" s="451"/>
      <c r="AV314" s="451"/>
      <c r="AW314" s="451"/>
      <c r="AX314" s="452"/>
      <c r="AY314" s="451"/>
      <c r="AZ314" s="451"/>
      <c r="BA314" s="451"/>
      <c r="BB314" s="451"/>
      <c r="BC314" s="452"/>
      <c r="BD314" s="451"/>
      <c r="BE314" s="451"/>
      <c r="BF314" s="451"/>
      <c r="BG314" s="451"/>
      <c r="BH314" s="452"/>
      <c r="BI314" s="451"/>
      <c r="BJ314" s="451"/>
      <c r="BK314" s="451"/>
      <c r="BL314" s="451"/>
      <c r="BM314" s="452"/>
      <c r="BN314" s="451"/>
      <c r="BO314" s="451"/>
      <c r="BP314" s="451"/>
      <c r="BQ314" s="451"/>
      <c r="BR314" s="452"/>
      <c r="BS314" s="451"/>
      <c r="BT314" s="451"/>
      <c r="BU314" s="451"/>
      <c r="BV314" s="451"/>
      <c r="BW314" s="452"/>
      <c r="BX314" s="451"/>
      <c r="BY314" s="451"/>
      <c r="BZ314" s="451"/>
      <c r="CA314" s="451"/>
      <c r="CB314" s="452"/>
      <c r="CC314" s="451"/>
      <c r="CD314" s="451"/>
      <c r="CE314" s="451"/>
      <c r="CF314" s="451"/>
      <c r="CG314" s="452"/>
      <c r="CH314" s="451"/>
      <c r="CI314" s="451"/>
      <c r="CJ314" s="451"/>
      <c r="CK314" s="451"/>
      <c r="CL314" s="452"/>
      <c r="CM314" s="451"/>
      <c r="CN314" s="451"/>
      <c r="CO314" s="451"/>
      <c r="CP314" s="451"/>
      <c r="CQ314" s="452"/>
      <c r="CR314" s="451"/>
      <c r="CS314" s="451"/>
      <c r="CT314" s="451"/>
      <c r="CU314" s="451"/>
      <c r="CV314" s="452"/>
      <c r="CW314" s="451"/>
      <c r="CX314" s="451"/>
      <c r="CY314" s="451"/>
      <c r="CZ314" s="451"/>
      <c r="DA314" s="452"/>
      <c r="DB314" s="451"/>
      <c r="DC314" s="451"/>
      <c r="DD314" s="451"/>
      <c r="DE314" s="451"/>
      <c r="DF314" s="452"/>
      <c r="DG314" s="451"/>
      <c r="DH314" s="451"/>
      <c r="DI314" s="451"/>
      <c r="DJ314" s="451"/>
      <c r="DK314" s="452"/>
      <c r="DL314" s="451"/>
      <c r="DM314" s="451"/>
      <c r="DN314" s="451"/>
      <c r="DO314" s="451"/>
      <c r="DP314" s="452"/>
      <c r="DQ314" s="451"/>
      <c r="DR314" s="451"/>
      <c r="DS314" s="451"/>
      <c r="DT314" s="451"/>
      <c r="DU314" s="452"/>
      <c r="DV314" s="451"/>
      <c r="DW314" s="451"/>
      <c r="DX314" s="451"/>
      <c r="DY314" s="451"/>
      <c r="DZ314" s="452"/>
      <c r="EA314" s="451"/>
      <c r="EB314" s="451"/>
      <c r="EC314" s="451"/>
      <c r="ED314" s="451"/>
      <c r="EE314" s="452"/>
      <c r="EF314" s="451"/>
      <c r="EG314" s="451"/>
      <c r="EH314" s="451"/>
      <c r="EI314" s="451"/>
      <c r="EJ314" s="452"/>
      <c r="EK314" s="451"/>
      <c r="EL314" s="451"/>
      <c r="EM314" s="451"/>
      <c r="EN314" s="451"/>
      <c r="EO314" s="13"/>
      <c r="ER314" s="14"/>
      <c r="ES314" s="14"/>
    </row>
    <row r="315" spans="4:149" ht="12.75" customHeight="1" x14ac:dyDescent="0.2">
      <c r="D315" s="13" t="s">
        <v>411</v>
      </c>
      <c r="G315" s="451">
        <v>0</v>
      </c>
      <c r="H315" s="451"/>
      <c r="I315" s="451"/>
      <c r="J315" s="452"/>
      <c r="K315" s="451"/>
      <c r="L315" s="451">
        <f>SUM(L316:L316)</f>
        <v>0</v>
      </c>
      <c r="M315" s="451"/>
      <c r="N315" s="451"/>
      <c r="O315" s="452"/>
      <c r="P315" s="451"/>
      <c r="Q315" s="451">
        <f>SUM(Q316:Q316)</f>
        <v>0</v>
      </c>
      <c r="R315" s="451"/>
      <c r="S315" s="451"/>
      <c r="T315" s="452"/>
      <c r="U315" s="451"/>
      <c r="V315" s="451">
        <f>SUM(V316:V316)</f>
        <v>0</v>
      </c>
      <c r="W315" s="451"/>
      <c r="X315" s="451"/>
      <c r="Y315" s="452"/>
      <c r="Z315" s="451">
        <f t="shared" ref="Z315:BQ315" si="3">SUM(Z316:Z316)</f>
        <v>0</v>
      </c>
      <c r="AA315" s="451">
        <f>SUM(AA316:AA316)</f>
        <v>0</v>
      </c>
      <c r="AB315" s="451">
        <f t="shared" si="3"/>
        <v>0</v>
      </c>
      <c r="AC315" s="451">
        <f t="shared" si="3"/>
        <v>0</v>
      </c>
      <c r="AD315" s="452">
        <f t="shared" si="3"/>
        <v>0</v>
      </c>
      <c r="AE315" s="451">
        <f t="shared" si="3"/>
        <v>0</v>
      </c>
      <c r="AF315" s="451">
        <f>SUM(AF316:AF316)</f>
        <v>41191</v>
      </c>
      <c r="AG315" s="451">
        <f t="shared" si="3"/>
        <v>0</v>
      </c>
      <c r="AH315" s="451">
        <f t="shared" si="3"/>
        <v>0</v>
      </c>
      <c r="AI315" s="452">
        <f t="shared" si="3"/>
        <v>0</v>
      </c>
      <c r="AJ315" s="451">
        <f t="shared" si="3"/>
        <v>0</v>
      </c>
      <c r="AK315" s="451">
        <f>SUM(AK316:AK316)</f>
        <v>0</v>
      </c>
      <c r="AL315" s="451">
        <f t="shared" si="3"/>
        <v>0</v>
      </c>
      <c r="AM315" s="451">
        <f t="shared" si="3"/>
        <v>0</v>
      </c>
      <c r="AN315" s="452">
        <f t="shared" si="3"/>
        <v>0</v>
      </c>
      <c r="AO315" s="451">
        <f t="shared" si="3"/>
        <v>0</v>
      </c>
      <c r="AP315" s="451">
        <f>SUM(AP316:AP316)</f>
        <v>0</v>
      </c>
      <c r="AQ315" s="451">
        <f t="shared" si="3"/>
        <v>0</v>
      </c>
      <c r="AR315" s="451">
        <f t="shared" si="3"/>
        <v>0</v>
      </c>
      <c r="AS315" s="452">
        <f t="shared" si="3"/>
        <v>0</v>
      </c>
      <c r="AT315" s="451">
        <f t="shared" si="3"/>
        <v>0</v>
      </c>
      <c r="AU315" s="451">
        <f>SUM(AU316:AU316)</f>
        <v>0</v>
      </c>
      <c r="AV315" s="451">
        <f t="shared" si="3"/>
        <v>0</v>
      </c>
      <c r="AW315" s="451">
        <f t="shared" si="3"/>
        <v>0</v>
      </c>
      <c r="AX315" s="452">
        <f t="shared" si="3"/>
        <v>0</v>
      </c>
      <c r="AY315" s="451">
        <f t="shared" si="3"/>
        <v>0</v>
      </c>
      <c r="AZ315" s="451">
        <f>SUM(AZ316:AZ316)</f>
        <v>0</v>
      </c>
      <c r="BA315" s="451">
        <f t="shared" si="3"/>
        <v>0</v>
      </c>
      <c r="BB315" s="451">
        <f t="shared" si="3"/>
        <v>0</v>
      </c>
      <c r="BC315" s="452">
        <f t="shared" si="3"/>
        <v>0</v>
      </c>
      <c r="BD315" s="451">
        <f t="shared" si="3"/>
        <v>0</v>
      </c>
      <c r="BE315" s="451">
        <f>SUM(BE316:BE316)</f>
        <v>0</v>
      </c>
      <c r="BF315" s="451">
        <f t="shared" si="3"/>
        <v>0</v>
      </c>
      <c r="BG315" s="451">
        <f t="shared" si="3"/>
        <v>0</v>
      </c>
      <c r="BH315" s="452">
        <f t="shared" si="3"/>
        <v>0</v>
      </c>
      <c r="BI315" s="451">
        <f t="shared" si="3"/>
        <v>0</v>
      </c>
      <c r="BJ315" s="451">
        <f>SUM(BJ316:BJ316)</f>
        <v>0</v>
      </c>
      <c r="BK315" s="451">
        <f t="shared" si="3"/>
        <v>0</v>
      </c>
      <c r="BL315" s="451">
        <f t="shared" si="3"/>
        <v>0</v>
      </c>
      <c r="BM315" s="452">
        <f t="shared" si="3"/>
        <v>0</v>
      </c>
      <c r="BN315" s="451">
        <f t="shared" si="3"/>
        <v>0</v>
      </c>
      <c r="BO315" s="451">
        <f>SUM(BO316:BO316)</f>
        <v>0</v>
      </c>
      <c r="BP315" s="451">
        <f t="shared" si="3"/>
        <v>0</v>
      </c>
      <c r="BQ315" s="451">
        <f t="shared" si="3"/>
        <v>0</v>
      </c>
      <c r="BR315" s="452"/>
      <c r="BS315" s="451"/>
      <c r="BT315" s="451">
        <f>SUM(BT316:BT316)</f>
        <v>41191</v>
      </c>
      <c r="BU315" s="451"/>
      <c r="BV315" s="451"/>
      <c r="BW315" s="452"/>
      <c r="BX315" s="451"/>
      <c r="BY315" s="451">
        <f>SUM(BY316:BY316)</f>
        <v>0</v>
      </c>
      <c r="BZ315" s="451"/>
      <c r="CA315" s="451"/>
      <c r="CB315" s="452"/>
      <c r="CC315" s="451"/>
      <c r="CD315" s="451">
        <f>SUM(CD316:CD316)</f>
        <v>0</v>
      </c>
      <c r="CE315" s="451"/>
      <c r="CF315" s="451"/>
      <c r="CG315" s="452"/>
      <c r="CH315" s="451"/>
      <c r="CI315" s="451">
        <f>SUM(CI316:CI316)</f>
        <v>0</v>
      </c>
      <c r="CJ315" s="451"/>
      <c r="CK315" s="451"/>
      <c r="CL315" s="452"/>
      <c r="CM315" s="451"/>
      <c r="CN315" s="451">
        <f>SUM(CN316:CN316)</f>
        <v>0</v>
      </c>
      <c r="CO315" s="451"/>
      <c r="CP315" s="451"/>
      <c r="CQ315" s="452"/>
      <c r="CR315" s="451">
        <f t="shared" ref="CR315:EF315" si="4">SUM(CR316:CR316)</f>
        <v>0</v>
      </c>
      <c r="CS315" s="451">
        <f>SUM(CS316:CS316)</f>
        <v>0</v>
      </c>
      <c r="CT315" s="451">
        <f t="shared" si="4"/>
        <v>0</v>
      </c>
      <c r="CU315" s="451">
        <f t="shared" si="4"/>
        <v>0</v>
      </c>
      <c r="CV315" s="452">
        <f t="shared" si="4"/>
        <v>0</v>
      </c>
      <c r="CW315" s="451">
        <f t="shared" si="4"/>
        <v>0</v>
      </c>
      <c r="CX315" s="451">
        <f>SUM(CX316:CX316)</f>
        <v>0</v>
      </c>
      <c r="CY315" s="451">
        <f t="shared" si="4"/>
        <v>0</v>
      </c>
      <c r="CZ315" s="451">
        <f t="shared" si="4"/>
        <v>0</v>
      </c>
      <c r="DA315" s="452">
        <f t="shared" si="4"/>
        <v>0</v>
      </c>
      <c r="DB315" s="451">
        <f t="shared" si="4"/>
        <v>0</v>
      </c>
      <c r="DC315" s="451">
        <f>SUM(DC316:DC316)</f>
        <v>0</v>
      </c>
      <c r="DD315" s="451">
        <f t="shared" si="4"/>
        <v>0</v>
      </c>
      <c r="DE315" s="451">
        <f t="shared" si="4"/>
        <v>0</v>
      </c>
      <c r="DF315" s="452">
        <f t="shared" si="4"/>
        <v>0</v>
      </c>
      <c r="DG315" s="451">
        <f t="shared" si="4"/>
        <v>0</v>
      </c>
      <c r="DH315" s="451">
        <f>SUM(DH316:DH316)</f>
        <v>0</v>
      </c>
      <c r="DI315" s="451">
        <f t="shared" si="4"/>
        <v>0</v>
      </c>
      <c r="DJ315" s="451">
        <f t="shared" si="4"/>
        <v>0</v>
      </c>
      <c r="DK315" s="452">
        <f t="shared" si="4"/>
        <v>0</v>
      </c>
      <c r="DL315" s="451">
        <f t="shared" si="4"/>
        <v>0</v>
      </c>
      <c r="DM315" s="451">
        <f>SUM(DM316:DM316)</f>
        <v>0</v>
      </c>
      <c r="DN315" s="451">
        <f t="shared" si="4"/>
        <v>0</v>
      </c>
      <c r="DO315" s="451">
        <f t="shared" si="4"/>
        <v>0</v>
      </c>
      <c r="DP315" s="452">
        <f t="shared" si="4"/>
        <v>0</v>
      </c>
      <c r="DQ315" s="451">
        <f t="shared" si="4"/>
        <v>0</v>
      </c>
      <c r="DR315" s="451">
        <f>SUM(DR316:DR316)</f>
        <v>0</v>
      </c>
      <c r="DS315" s="451">
        <f t="shared" si="4"/>
        <v>0</v>
      </c>
      <c r="DT315" s="451">
        <f t="shared" si="4"/>
        <v>0</v>
      </c>
      <c r="DU315" s="452">
        <f t="shared" si="4"/>
        <v>0</v>
      </c>
      <c r="DV315" s="451">
        <f t="shared" si="4"/>
        <v>0</v>
      </c>
      <c r="DW315" s="451">
        <f>SUM(DW316:DW316)</f>
        <v>0</v>
      </c>
      <c r="DX315" s="451">
        <f t="shared" si="4"/>
        <v>0</v>
      </c>
      <c r="DY315" s="451">
        <f t="shared" si="4"/>
        <v>0</v>
      </c>
      <c r="DZ315" s="452">
        <f t="shared" si="4"/>
        <v>0</v>
      </c>
      <c r="EA315" s="451">
        <f t="shared" si="4"/>
        <v>0</v>
      </c>
      <c r="EB315" s="451">
        <f>SUM(EB316:EB316)</f>
        <v>0</v>
      </c>
      <c r="EC315" s="451">
        <f t="shared" si="4"/>
        <v>0</v>
      </c>
      <c r="ED315" s="451">
        <f t="shared" si="4"/>
        <v>0</v>
      </c>
      <c r="EE315" s="452">
        <f t="shared" si="4"/>
        <v>0</v>
      </c>
      <c r="EF315" s="451">
        <f t="shared" si="4"/>
        <v>0</v>
      </c>
      <c r="EG315" s="451">
        <f>SUM(EG316:EG316)</f>
        <v>0</v>
      </c>
      <c r="EH315" s="451">
        <f>SUM(EH316:EH316)</f>
        <v>0</v>
      </c>
      <c r="EI315" s="451">
        <f>SUM(EI316:EI316)</f>
        <v>0</v>
      </c>
      <c r="EJ315" s="452"/>
      <c r="EK315" s="451"/>
      <c r="EL315" s="451">
        <f>SUM(EL316:EL316)</f>
        <v>0</v>
      </c>
      <c r="EM315" s="451"/>
      <c r="EN315" s="451"/>
      <c r="EO315" s="13"/>
      <c r="ER315" s="14"/>
      <c r="ES315" s="14"/>
    </row>
    <row r="316" spans="4:149" ht="12.75" customHeight="1" x14ac:dyDescent="0.2">
      <c r="D316" s="13" t="s">
        <v>347</v>
      </c>
      <c r="F316" s="456"/>
      <c r="G316" s="457">
        <v>0</v>
      </c>
      <c r="H316" s="458"/>
      <c r="I316" s="451"/>
      <c r="J316" s="452"/>
      <c r="K316" s="459"/>
      <c r="L316" s="457">
        <v>0</v>
      </c>
      <c r="M316" s="458"/>
      <c r="N316" s="451"/>
      <c r="O316" s="452"/>
      <c r="P316" s="459"/>
      <c r="Q316" s="457">
        <v>0</v>
      </c>
      <c r="R316" s="458"/>
      <c r="S316" s="451"/>
      <c r="T316" s="452"/>
      <c r="U316" s="459"/>
      <c r="V316" s="457">
        <v>0</v>
      </c>
      <c r="W316" s="458"/>
      <c r="X316" s="451"/>
      <c r="Y316" s="452"/>
      <c r="Z316" s="459"/>
      <c r="AA316" s="457">
        <v>0</v>
      </c>
      <c r="AB316" s="458"/>
      <c r="AC316" s="451"/>
      <c r="AD316" s="452"/>
      <c r="AE316" s="459"/>
      <c r="AF316" s="457">
        <v>41191</v>
      </c>
      <c r="AG316" s="458"/>
      <c r="AH316" s="451"/>
      <c r="AI316" s="452"/>
      <c r="AJ316" s="459"/>
      <c r="AK316" s="457">
        <v>0</v>
      </c>
      <c r="AL316" s="458"/>
      <c r="AM316" s="451"/>
      <c r="AN316" s="452"/>
      <c r="AO316" s="459"/>
      <c r="AP316" s="457">
        <v>0</v>
      </c>
      <c r="AQ316" s="458"/>
      <c r="AR316" s="451"/>
      <c r="AS316" s="452"/>
      <c r="AT316" s="459"/>
      <c r="AU316" s="457">
        <v>0</v>
      </c>
      <c r="AV316" s="458"/>
      <c r="AW316" s="451"/>
      <c r="AX316" s="452"/>
      <c r="AY316" s="459"/>
      <c r="AZ316" s="457">
        <v>0</v>
      </c>
      <c r="BA316" s="458"/>
      <c r="BB316" s="451"/>
      <c r="BC316" s="452"/>
      <c r="BD316" s="459"/>
      <c r="BE316" s="457">
        <v>0</v>
      </c>
      <c r="BF316" s="458"/>
      <c r="BG316" s="451"/>
      <c r="BH316" s="452"/>
      <c r="BI316" s="459"/>
      <c r="BJ316" s="457">
        <v>0</v>
      </c>
      <c r="BK316" s="458"/>
      <c r="BL316" s="451"/>
      <c r="BM316" s="452"/>
      <c r="BN316" s="459"/>
      <c r="BO316" s="457">
        <v>0</v>
      </c>
      <c r="BP316" s="458"/>
      <c r="BQ316" s="451"/>
      <c r="BR316" s="452"/>
      <c r="BS316" s="459"/>
      <c r="BT316" s="457">
        <f>SUM(L316:BO316)</f>
        <v>41191</v>
      </c>
      <c r="BU316" s="458"/>
      <c r="BV316" s="451"/>
      <c r="BW316" s="452"/>
      <c r="BX316" s="459"/>
      <c r="BY316" s="457">
        <v>0</v>
      </c>
      <c r="BZ316" s="458"/>
      <c r="CA316" s="451"/>
      <c r="CB316" s="452"/>
      <c r="CC316" s="459"/>
      <c r="CD316" s="457">
        <v>0</v>
      </c>
      <c r="CE316" s="458"/>
      <c r="CF316" s="451"/>
      <c r="CG316" s="452"/>
      <c r="CH316" s="459"/>
      <c r="CI316" s="457">
        <v>0</v>
      </c>
      <c r="CJ316" s="458"/>
      <c r="CK316" s="451"/>
      <c r="CL316" s="452"/>
      <c r="CM316" s="459"/>
      <c r="CN316" s="457">
        <v>0</v>
      </c>
      <c r="CO316" s="458"/>
      <c r="CP316" s="451"/>
      <c r="CQ316" s="452"/>
      <c r="CR316" s="459"/>
      <c r="CS316" s="457">
        <v>0</v>
      </c>
      <c r="CT316" s="458"/>
      <c r="CU316" s="451"/>
      <c r="CV316" s="452"/>
      <c r="CW316" s="459"/>
      <c r="CX316" s="457">
        <v>0</v>
      </c>
      <c r="CY316" s="458"/>
      <c r="CZ316" s="451"/>
      <c r="DA316" s="452"/>
      <c r="DB316" s="459"/>
      <c r="DC316" s="457">
        <v>0</v>
      </c>
      <c r="DD316" s="458"/>
      <c r="DE316" s="451"/>
      <c r="DF316" s="452"/>
      <c r="DG316" s="459"/>
      <c r="DH316" s="457">
        <v>0</v>
      </c>
      <c r="DI316" s="458"/>
      <c r="DJ316" s="451"/>
      <c r="DK316" s="452"/>
      <c r="DL316" s="459"/>
      <c r="DM316" s="457">
        <v>0</v>
      </c>
      <c r="DN316" s="458"/>
      <c r="DO316" s="451"/>
      <c r="DP316" s="452"/>
      <c r="DQ316" s="459"/>
      <c r="DR316" s="457">
        <v>0</v>
      </c>
      <c r="DS316" s="458"/>
      <c r="DT316" s="451"/>
      <c r="DU316" s="452"/>
      <c r="DV316" s="459"/>
      <c r="DW316" s="457">
        <v>0</v>
      </c>
      <c r="DX316" s="458"/>
      <c r="DY316" s="451"/>
      <c r="DZ316" s="452"/>
      <c r="EA316" s="459"/>
      <c r="EB316" s="457">
        <v>0</v>
      </c>
      <c r="EC316" s="458"/>
      <c r="ED316" s="451"/>
      <c r="EE316" s="452"/>
      <c r="EF316" s="459"/>
      <c r="EG316" s="457">
        <v>0</v>
      </c>
      <c r="EH316" s="458"/>
      <c r="EI316" s="451"/>
      <c r="EJ316" s="452"/>
      <c r="EK316" s="456"/>
      <c r="EL316" s="457">
        <f>SUM(CD316:DW316)</f>
        <v>0</v>
      </c>
      <c r="EM316" s="458"/>
      <c r="EN316" s="451"/>
      <c r="EO316" s="13"/>
      <c r="ER316" s="14"/>
      <c r="ES316" s="14"/>
    </row>
    <row r="317" spans="4:149" ht="12.75" customHeight="1" x14ac:dyDescent="0.2">
      <c r="D317" s="13"/>
      <c r="G317" s="451"/>
      <c r="H317" s="451"/>
      <c r="I317" s="451"/>
      <c r="J317" s="452"/>
      <c r="K317" s="451"/>
      <c r="L317" s="451"/>
      <c r="M317" s="451"/>
      <c r="N317" s="451"/>
      <c r="O317" s="452"/>
      <c r="P317" s="451"/>
      <c r="Q317" s="451"/>
      <c r="R317" s="451"/>
      <c r="S317" s="451"/>
      <c r="T317" s="452"/>
      <c r="U317" s="451"/>
      <c r="V317" s="451"/>
      <c r="W317" s="451"/>
      <c r="X317" s="451"/>
      <c r="Y317" s="452"/>
      <c r="Z317" s="451"/>
      <c r="AA317" s="451"/>
      <c r="AB317" s="451"/>
      <c r="AC317" s="451"/>
      <c r="AD317" s="452"/>
      <c r="AE317" s="451"/>
      <c r="AF317" s="451"/>
      <c r="AG317" s="451"/>
      <c r="AH317" s="451"/>
      <c r="AI317" s="452"/>
      <c r="AJ317" s="451"/>
      <c r="AK317" s="451"/>
      <c r="AL317" s="451"/>
      <c r="AM317" s="451"/>
      <c r="AN317" s="452"/>
      <c r="AO317" s="451"/>
      <c r="AP317" s="451"/>
      <c r="AQ317" s="451"/>
      <c r="AR317" s="451"/>
      <c r="AS317" s="452"/>
      <c r="AT317" s="451"/>
      <c r="AU317" s="451"/>
      <c r="AV317" s="451"/>
      <c r="AW317" s="451"/>
      <c r="AX317" s="452"/>
      <c r="AY317" s="451"/>
      <c r="AZ317" s="451"/>
      <c r="BA317" s="451"/>
      <c r="BB317" s="451"/>
      <c r="BC317" s="452"/>
      <c r="BD317" s="451"/>
      <c r="BE317" s="451"/>
      <c r="BF317" s="451"/>
      <c r="BG317" s="451"/>
      <c r="BH317" s="452"/>
      <c r="BI317" s="451"/>
      <c r="BJ317" s="451"/>
      <c r="BK317" s="451"/>
      <c r="BL317" s="451"/>
      <c r="BM317" s="452"/>
      <c r="BN317" s="451"/>
      <c r="BO317" s="451"/>
      <c r="BP317" s="451"/>
      <c r="BQ317" s="451"/>
      <c r="BR317" s="452"/>
      <c r="BS317" s="451"/>
      <c r="BT317" s="451"/>
      <c r="BU317" s="451"/>
      <c r="BV317" s="451"/>
      <c r="BW317" s="452"/>
      <c r="BX317" s="451"/>
      <c r="BY317" s="451"/>
      <c r="BZ317" s="451"/>
      <c r="CA317" s="451"/>
      <c r="CB317" s="452"/>
      <c r="CC317" s="451"/>
      <c r="CD317" s="451"/>
      <c r="CE317" s="451"/>
      <c r="CF317" s="451"/>
      <c r="CG317" s="452"/>
      <c r="CH317" s="451"/>
      <c r="CI317" s="451"/>
      <c r="CJ317" s="451"/>
      <c r="CK317" s="451"/>
      <c r="CL317" s="452"/>
      <c r="CM317" s="451"/>
      <c r="CN317" s="451"/>
      <c r="CO317" s="451"/>
      <c r="CP317" s="451"/>
      <c r="CQ317" s="452"/>
      <c r="CR317" s="451"/>
      <c r="CS317" s="451"/>
      <c r="CT317" s="451"/>
      <c r="CU317" s="451"/>
      <c r="CV317" s="452"/>
      <c r="CW317" s="451"/>
      <c r="CX317" s="451"/>
      <c r="CY317" s="451"/>
      <c r="CZ317" s="451"/>
      <c r="DA317" s="452"/>
      <c r="DB317" s="451"/>
      <c r="DC317" s="451"/>
      <c r="DD317" s="451"/>
      <c r="DE317" s="451"/>
      <c r="DF317" s="452"/>
      <c r="DG317" s="451"/>
      <c r="DH317" s="451"/>
      <c r="DI317" s="451"/>
      <c r="DJ317" s="451"/>
      <c r="DK317" s="452"/>
      <c r="DL317" s="451"/>
      <c r="DM317" s="451"/>
      <c r="DN317" s="451"/>
      <c r="DO317" s="451"/>
      <c r="DP317" s="452"/>
      <c r="DQ317" s="451"/>
      <c r="DR317" s="451"/>
      <c r="DS317" s="451"/>
      <c r="DT317" s="451"/>
      <c r="DU317" s="452"/>
      <c r="DV317" s="451"/>
      <c r="DW317" s="451"/>
      <c r="DX317" s="451"/>
      <c r="DY317" s="451"/>
      <c r="DZ317" s="452"/>
      <c r="EA317" s="451"/>
      <c r="EB317" s="451"/>
      <c r="EC317" s="451"/>
      <c r="ED317" s="451"/>
      <c r="EE317" s="452"/>
      <c r="EF317" s="451"/>
      <c r="EG317" s="451"/>
      <c r="EH317" s="451"/>
      <c r="EI317" s="451"/>
      <c r="EJ317" s="452"/>
      <c r="EK317" s="451"/>
      <c r="EL317" s="451"/>
      <c r="EM317" s="451"/>
      <c r="EN317" s="451"/>
      <c r="EO317" s="13"/>
      <c r="ER317" s="14"/>
      <c r="ES317" s="14"/>
    </row>
    <row r="318" spans="4:149" ht="12.75" customHeight="1" x14ac:dyDescent="0.2">
      <c r="D318" s="13" t="s">
        <v>356</v>
      </c>
      <c r="G318" s="451">
        <v>0</v>
      </c>
      <c r="H318" s="451"/>
      <c r="I318" s="451"/>
      <c r="J318" s="452"/>
      <c r="K318" s="451"/>
      <c r="L318" s="451">
        <f>SUM(L319:L319)</f>
        <v>0</v>
      </c>
      <c r="M318" s="451"/>
      <c r="N318" s="451"/>
      <c r="O318" s="452"/>
      <c r="P318" s="451"/>
      <c r="Q318" s="451">
        <f>SUM(Q319:Q319)</f>
        <v>0</v>
      </c>
      <c r="R318" s="451"/>
      <c r="S318" s="451"/>
      <c r="T318" s="452"/>
      <c r="U318" s="451"/>
      <c r="V318" s="451">
        <f>SUM(V319:V319)</f>
        <v>0</v>
      </c>
      <c r="W318" s="451"/>
      <c r="X318" s="451"/>
      <c r="Y318" s="452"/>
      <c r="Z318" s="451"/>
      <c r="AA318" s="451">
        <f>SUM(AA319:AA319)</f>
        <v>0</v>
      </c>
      <c r="AB318" s="451"/>
      <c r="AC318" s="451"/>
      <c r="AD318" s="452"/>
      <c r="AE318" s="451"/>
      <c r="AF318" s="451">
        <f>SUM(AF319:AF319)</f>
        <v>0</v>
      </c>
      <c r="AG318" s="451"/>
      <c r="AH318" s="451"/>
      <c r="AI318" s="452"/>
      <c r="AJ318" s="451"/>
      <c r="AK318" s="451">
        <f>SUM(AK319:AK319)</f>
        <v>0</v>
      </c>
      <c r="AL318" s="451"/>
      <c r="AM318" s="451"/>
      <c r="AN318" s="452"/>
      <c r="AO318" s="451"/>
      <c r="AP318" s="451">
        <f>SUM(AP319:AP319)</f>
        <v>0</v>
      </c>
      <c r="AQ318" s="451"/>
      <c r="AR318" s="451"/>
      <c r="AS318" s="452"/>
      <c r="AT318" s="451"/>
      <c r="AU318" s="451">
        <f>SUM(AU319:AU319)</f>
        <v>0</v>
      </c>
      <c r="AV318" s="451"/>
      <c r="AW318" s="451"/>
      <c r="AX318" s="452"/>
      <c r="AY318" s="451"/>
      <c r="AZ318" s="451">
        <f>SUM(AZ319:AZ319)</f>
        <v>0</v>
      </c>
      <c r="BA318" s="451"/>
      <c r="BB318" s="451"/>
      <c r="BC318" s="452"/>
      <c r="BD318" s="451"/>
      <c r="BE318" s="451">
        <f>SUM(BE319:BE319)</f>
        <v>0</v>
      </c>
      <c r="BF318" s="451"/>
      <c r="BG318" s="451"/>
      <c r="BH318" s="452"/>
      <c r="BI318" s="451"/>
      <c r="BJ318" s="451">
        <f>SUM(BJ319:BJ319)</f>
        <v>0</v>
      </c>
      <c r="BK318" s="451"/>
      <c r="BL318" s="451"/>
      <c r="BM318" s="452"/>
      <c r="BN318" s="451"/>
      <c r="BO318" s="451">
        <f>SUM(BO319:BO319)</f>
        <v>0</v>
      </c>
      <c r="BP318" s="451"/>
      <c r="BQ318" s="451"/>
      <c r="BR318" s="452"/>
      <c r="BS318" s="451"/>
      <c r="BT318" s="451">
        <f>SUM(BT319:BT319)</f>
        <v>0</v>
      </c>
      <c r="BU318" s="451"/>
      <c r="BV318" s="451"/>
      <c r="BW318" s="452"/>
      <c r="BX318" s="451"/>
      <c r="BY318" s="451">
        <f>SUM(BY319:BY319)</f>
        <v>41033</v>
      </c>
      <c r="BZ318" s="451"/>
      <c r="CA318" s="451"/>
      <c r="CB318" s="452"/>
      <c r="CC318" s="451"/>
      <c r="CD318" s="451">
        <f>SUM(CD319:CD319)</f>
        <v>0</v>
      </c>
      <c r="CE318" s="451"/>
      <c r="CF318" s="451"/>
      <c r="CG318" s="452"/>
      <c r="CH318" s="451"/>
      <c r="CI318" s="451">
        <f>SUM(CI319:CI319)</f>
        <v>0</v>
      </c>
      <c r="CJ318" s="451"/>
      <c r="CK318" s="451"/>
      <c r="CL318" s="452"/>
      <c r="CM318" s="451"/>
      <c r="CN318" s="451">
        <f>SUM(CN319:CN319)</f>
        <v>0</v>
      </c>
      <c r="CO318" s="451"/>
      <c r="CP318" s="451"/>
      <c r="CQ318" s="452"/>
      <c r="CR318" s="451"/>
      <c r="CS318" s="451">
        <f>SUM(CS319:CS319)</f>
        <v>0</v>
      </c>
      <c r="CT318" s="451"/>
      <c r="CU318" s="451"/>
      <c r="CV318" s="452"/>
      <c r="CW318" s="451"/>
      <c r="CX318" s="451">
        <f>SUM(CX319:CX319)</f>
        <v>0</v>
      </c>
      <c r="CY318" s="451"/>
      <c r="CZ318" s="451"/>
      <c r="DA318" s="452"/>
      <c r="DB318" s="451"/>
      <c r="DC318" s="451">
        <f>SUM(DC319:DC319)</f>
        <v>0</v>
      </c>
      <c r="DD318" s="451"/>
      <c r="DE318" s="451"/>
      <c r="DF318" s="452"/>
      <c r="DG318" s="451"/>
      <c r="DH318" s="451">
        <f>SUM(DH319:DH319)</f>
        <v>0</v>
      </c>
      <c r="DI318" s="451"/>
      <c r="DJ318" s="451"/>
      <c r="DK318" s="452"/>
      <c r="DL318" s="451"/>
      <c r="DM318" s="451">
        <f>SUM(DM319:DM319)</f>
        <v>0</v>
      </c>
      <c r="DN318" s="451"/>
      <c r="DO318" s="451"/>
      <c r="DP318" s="452"/>
      <c r="DQ318" s="451"/>
      <c r="DR318" s="451">
        <f>SUM(DR319:DR319)</f>
        <v>0</v>
      </c>
      <c r="DS318" s="451"/>
      <c r="DT318" s="451"/>
      <c r="DU318" s="452"/>
      <c r="DV318" s="451"/>
      <c r="DW318" s="451">
        <f>SUM(DW319:DW319)</f>
        <v>0</v>
      </c>
      <c r="DX318" s="451"/>
      <c r="DY318" s="451"/>
      <c r="DZ318" s="452"/>
      <c r="EA318" s="451"/>
      <c r="EB318" s="451">
        <f>SUM(EB319:EB319)</f>
        <v>0</v>
      </c>
      <c r="EC318" s="451"/>
      <c r="ED318" s="451"/>
      <c r="EE318" s="452"/>
      <c r="EF318" s="451"/>
      <c r="EG318" s="451">
        <f>SUM(EG319:EG319)</f>
        <v>41033</v>
      </c>
      <c r="EH318" s="451"/>
      <c r="EI318" s="451"/>
      <c r="EJ318" s="452"/>
      <c r="EK318" s="451"/>
      <c r="EL318" s="451">
        <f>SUM(EL319:EL319)</f>
        <v>0</v>
      </c>
      <c r="EM318" s="451"/>
      <c r="EN318" s="451"/>
      <c r="EO318" s="13"/>
      <c r="ER318" s="14"/>
      <c r="ES318" s="14"/>
    </row>
    <row r="319" spans="4:149" ht="12.75" customHeight="1" x14ac:dyDescent="0.2">
      <c r="D319" s="13" t="s">
        <v>347</v>
      </c>
      <c r="F319" s="456"/>
      <c r="G319" s="457">
        <v>0</v>
      </c>
      <c r="H319" s="458"/>
      <c r="I319" s="451"/>
      <c r="J319" s="452"/>
      <c r="K319" s="459"/>
      <c r="L319" s="457">
        <v>0</v>
      </c>
      <c r="M319" s="458"/>
      <c r="N319" s="451"/>
      <c r="O319" s="452"/>
      <c r="P319" s="459"/>
      <c r="Q319" s="457">
        <v>0</v>
      </c>
      <c r="R319" s="458"/>
      <c r="S319" s="451"/>
      <c r="T319" s="452"/>
      <c r="U319" s="459"/>
      <c r="V319" s="457">
        <v>0</v>
      </c>
      <c r="W319" s="458"/>
      <c r="X319" s="451"/>
      <c r="Y319" s="452"/>
      <c r="Z319" s="459"/>
      <c r="AA319" s="457">
        <v>0</v>
      </c>
      <c r="AB319" s="458"/>
      <c r="AC319" s="451"/>
      <c r="AD319" s="452"/>
      <c r="AE319" s="459"/>
      <c r="AF319" s="457">
        <v>0</v>
      </c>
      <c r="AG319" s="458"/>
      <c r="AH319" s="451"/>
      <c r="AI319" s="452"/>
      <c r="AJ319" s="459"/>
      <c r="AK319" s="457">
        <v>0</v>
      </c>
      <c r="AL319" s="458"/>
      <c r="AM319" s="451"/>
      <c r="AN319" s="452"/>
      <c r="AO319" s="459"/>
      <c r="AP319" s="457">
        <v>0</v>
      </c>
      <c r="AQ319" s="458"/>
      <c r="AR319" s="451"/>
      <c r="AS319" s="452"/>
      <c r="AT319" s="459"/>
      <c r="AU319" s="457">
        <v>0</v>
      </c>
      <c r="AV319" s="458"/>
      <c r="AW319" s="451"/>
      <c r="AX319" s="452"/>
      <c r="AY319" s="459"/>
      <c r="AZ319" s="457">
        <v>0</v>
      </c>
      <c r="BA319" s="458"/>
      <c r="BB319" s="451"/>
      <c r="BC319" s="452"/>
      <c r="BD319" s="459"/>
      <c r="BE319" s="457">
        <v>0</v>
      </c>
      <c r="BF319" s="458"/>
      <c r="BG319" s="451"/>
      <c r="BH319" s="452"/>
      <c r="BI319" s="459"/>
      <c r="BJ319" s="457">
        <v>0</v>
      </c>
      <c r="BK319" s="458"/>
      <c r="BL319" s="451"/>
      <c r="BM319" s="452"/>
      <c r="BN319" s="459"/>
      <c r="BO319" s="457">
        <v>0</v>
      </c>
      <c r="BP319" s="458"/>
      <c r="BQ319" s="451"/>
      <c r="BR319" s="452"/>
      <c r="BS319" s="459"/>
      <c r="BT319" s="457">
        <f>SUM(L319:BO319)</f>
        <v>0</v>
      </c>
      <c r="BU319" s="458"/>
      <c r="BV319" s="451"/>
      <c r="BW319" s="452"/>
      <c r="BX319" s="459"/>
      <c r="BY319" s="457">
        <v>41033</v>
      </c>
      <c r="BZ319" s="458"/>
      <c r="CA319" s="451"/>
      <c r="CB319" s="452"/>
      <c r="CC319" s="459"/>
      <c r="CD319" s="457">
        <v>0</v>
      </c>
      <c r="CE319" s="458"/>
      <c r="CF319" s="451"/>
      <c r="CG319" s="452"/>
      <c r="CH319" s="459"/>
      <c r="CI319" s="457">
        <v>0</v>
      </c>
      <c r="CJ319" s="458"/>
      <c r="CK319" s="451"/>
      <c r="CL319" s="452"/>
      <c r="CM319" s="459"/>
      <c r="CN319" s="457">
        <v>0</v>
      </c>
      <c r="CO319" s="458"/>
      <c r="CP319" s="451"/>
      <c r="CQ319" s="452"/>
      <c r="CR319" s="459"/>
      <c r="CS319" s="457">
        <v>0</v>
      </c>
      <c r="CT319" s="458"/>
      <c r="CU319" s="451"/>
      <c r="CV319" s="452"/>
      <c r="CW319" s="459"/>
      <c r="CX319" s="457">
        <v>0</v>
      </c>
      <c r="CY319" s="458"/>
      <c r="CZ319" s="451"/>
      <c r="DA319" s="452"/>
      <c r="DB319" s="459"/>
      <c r="DC319" s="457">
        <v>0</v>
      </c>
      <c r="DD319" s="458"/>
      <c r="DE319" s="451"/>
      <c r="DF319" s="452"/>
      <c r="DG319" s="459"/>
      <c r="DH319" s="457">
        <v>0</v>
      </c>
      <c r="DI319" s="458"/>
      <c r="DJ319" s="451"/>
      <c r="DK319" s="452"/>
      <c r="DL319" s="459"/>
      <c r="DM319" s="457">
        <v>0</v>
      </c>
      <c r="DN319" s="458"/>
      <c r="DO319" s="451"/>
      <c r="DP319" s="452"/>
      <c r="DQ319" s="459"/>
      <c r="DR319" s="457">
        <v>0</v>
      </c>
      <c r="DS319" s="458"/>
      <c r="DT319" s="451"/>
      <c r="DU319" s="452"/>
      <c r="DV319" s="459"/>
      <c r="DW319" s="457">
        <v>0</v>
      </c>
      <c r="DX319" s="458"/>
      <c r="DY319" s="451"/>
      <c r="DZ319" s="452"/>
      <c r="EA319" s="459"/>
      <c r="EB319" s="457">
        <v>0</v>
      </c>
      <c r="EC319" s="458"/>
      <c r="ED319" s="451"/>
      <c r="EE319" s="452"/>
      <c r="EF319" s="459"/>
      <c r="EG319" s="457">
        <v>41033</v>
      </c>
      <c r="EH319" s="458"/>
      <c r="EI319" s="451"/>
      <c r="EJ319" s="452"/>
      <c r="EK319" s="459"/>
      <c r="EL319" s="457">
        <f>SUM(CD319:DW319)</f>
        <v>0</v>
      </c>
      <c r="EM319" s="458"/>
      <c r="EN319" s="451"/>
      <c r="EO319" s="13"/>
      <c r="ER319" s="14"/>
      <c r="ES319" s="14"/>
    </row>
    <row r="320" spans="4:149" ht="12.75" customHeight="1" x14ac:dyDescent="0.2">
      <c r="D320" s="13"/>
      <c r="G320" s="451"/>
      <c r="H320" s="451"/>
      <c r="I320" s="451"/>
      <c r="J320" s="452"/>
      <c r="K320" s="451"/>
      <c r="L320" s="451"/>
      <c r="M320" s="451"/>
      <c r="N320" s="451"/>
      <c r="O320" s="452"/>
      <c r="P320" s="451"/>
      <c r="Q320" s="451"/>
      <c r="R320" s="451"/>
      <c r="S320" s="451"/>
      <c r="T320" s="452"/>
      <c r="U320" s="451"/>
      <c r="V320" s="451"/>
      <c r="W320" s="451"/>
      <c r="X320" s="451"/>
      <c r="Y320" s="452"/>
      <c r="Z320" s="451"/>
      <c r="AA320" s="451"/>
      <c r="AB320" s="451"/>
      <c r="AC320" s="451"/>
      <c r="AD320" s="452"/>
      <c r="AE320" s="451"/>
      <c r="AF320" s="451"/>
      <c r="AG320" s="451"/>
      <c r="AH320" s="451"/>
      <c r="AI320" s="452"/>
      <c r="AJ320" s="451"/>
      <c r="AK320" s="451"/>
      <c r="AL320" s="451"/>
      <c r="AM320" s="451"/>
      <c r="AN320" s="452"/>
      <c r="AO320" s="451"/>
      <c r="AP320" s="451"/>
      <c r="AQ320" s="451"/>
      <c r="AR320" s="451"/>
      <c r="AS320" s="452"/>
      <c r="AT320" s="451"/>
      <c r="AU320" s="451"/>
      <c r="AV320" s="451"/>
      <c r="AW320" s="451"/>
      <c r="AX320" s="452"/>
      <c r="AY320" s="451"/>
      <c r="AZ320" s="451"/>
      <c r="BA320" s="451"/>
      <c r="BB320" s="451"/>
      <c r="BC320" s="452"/>
      <c r="BD320" s="451"/>
      <c r="BE320" s="451"/>
      <c r="BF320" s="451"/>
      <c r="BG320" s="451"/>
      <c r="BH320" s="452"/>
      <c r="BI320" s="451"/>
      <c r="BJ320" s="451"/>
      <c r="BK320" s="451"/>
      <c r="BL320" s="451"/>
      <c r="BM320" s="452"/>
      <c r="BN320" s="451"/>
      <c r="BO320" s="451"/>
      <c r="BP320" s="451"/>
      <c r="BQ320" s="451"/>
      <c r="BR320" s="452"/>
      <c r="BS320" s="451"/>
      <c r="BT320" s="451"/>
      <c r="BU320" s="451"/>
      <c r="BV320" s="451"/>
      <c r="BW320" s="452"/>
      <c r="BX320" s="451"/>
      <c r="BY320" s="451"/>
      <c r="BZ320" s="451"/>
      <c r="CA320" s="451"/>
      <c r="CB320" s="452"/>
      <c r="CC320" s="451"/>
      <c r="CD320" s="451"/>
      <c r="CE320" s="451"/>
      <c r="CF320" s="451"/>
      <c r="CG320" s="452"/>
      <c r="CH320" s="451"/>
      <c r="CI320" s="451"/>
      <c r="CJ320" s="451"/>
      <c r="CK320" s="451"/>
      <c r="CL320" s="452"/>
      <c r="CM320" s="451"/>
      <c r="CN320" s="451"/>
      <c r="CO320" s="451"/>
      <c r="CP320" s="451"/>
      <c r="CQ320" s="452"/>
      <c r="CR320" s="451"/>
      <c r="CS320" s="451"/>
      <c r="CT320" s="451"/>
      <c r="CU320" s="451"/>
      <c r="CV320" s="452"/>
      <c r="CW320" s="451"/>
      <c r="CX320" s="451"/>
      <c r="CY320" s="451"/>
      <c r="CZ320" s="451"/>
      <c r="DA320" s="452"/>
      <c r="DB320" s="451"/>
      <c r="DC320" s="451"/>
      <c r="DD320" s="451"/>
      <c r="DE320" s="451"/>
      <c r="DF320" s="452"/>
      <c r="DG320" s="451"/>
      <c r="DH320" s="451"/>
      <c r="DI320" s="451"/>
      <c r="DJ320" s="451"/>
      <c r="DK320" s="452"/>
      <c r="DL320" s="451"/>
      <c r="DM320" s="451"/>
      <c r="DN320" s="451"/>
      <c r="DO320" s="451"/>
      <c r="DP320" s="452"/>
      <c r="DQ320" s="451"/>
      <c r="DR320" s="451"/>
      <c r="DS320" s="451"/>
      <c r="DT320" s="451"/>
      <c r="DU320" s="452"/>
      <c r="DV320" s="451"/>
      <c r="DW320" s="451"/>
      <c r="DX320" s="451"/>
      <c r="DY320" s="451"/>
      <c r="DZ320" s="452"/>
      <c r="EA320" s="451"/>
      <c r="EB320" s="451"/>
      <c r="EC320" s="451"/>
      <c r="ED320" s="451"/>
      <c r="EE320" s="452"/>
      <c r="EF320" s="451"/>
      <c r="EG320" s="451"/>
      <c r="EH320" s="451"/>
      <c r="EI320" s="451"/>
      <c r="EJ320" s="452"/>
      <c r="EK320" s="451"/>
      <c r="EL320" s="451"/>
      <c r="EM320" s="451"/>
      <c r="EN320" s="451"/>
      <c r="EO320" s="13"/>
      <c r="ER320" s="14"/>
      <c r="ES320" s="14"/>
    </row>
    <row r="321" spans="4:149" ht="12.75" customHeight="1" x14ac:dyDescent="0.2">
      <c r="D321" s="13" t="s">
        <v>412</v>
      </c>
      <c r="G321" s="451">
        <v>0</v>
      </c>
      <c r="H321" s="451"/>
      <c r="I321" s="451"/>
      <c r="J321" s="452"/>
      <c r="K321" s="451"/>
      <c r="L321" s="451">
        <f>SUM(L322:L322)</f>
        <v>0</v>
      </c>
      <c r="M321" s="451"/>
      <c r="N321" s="451"/>
      <c r="O321" s="452"/>
      <c r="P321" s="451"/>
      <c r="Q321" s="451">
        <f>SUM(Q322:Q322)</f>
        <v>0</v>
      </c>
      <c r="R321" s="451"/>
      <c r="S321" s="451"/>
      <c r="T321" s="452"/>
      <c r="U321" s="451"/>
      <c r="V321" s="451">
        <f>SUM(V322:V322)</f>
        <v>0</v>
      </c>
      <c r="W321" s="451"/>
      <c r="X321" s="451"/>
      <c r="Y321" s="452"/>
      <c r="Z321" s="451"/>
      <c r="AA321" s="451">
        <f>SUM(AA322:AA322)</f>
        <v>0</v>
      </c>
      <c r="AB321" s="451"/>
      <c r="AC321" s="451"/>
      <c r="AD321" s="452"/>
      <c r="AE321" s="451"/>
      <c r="AF321" s="451">
        <f>SUM(AF322:AF322)</f>
        <v>0</v>
      </c>
      <c r="AG321" s="451"/>
      <c r="AH321" s="451"/>
      <c r="AI321" s="452"/>
      <c r="AJ321" s="451"/>
      <c r="AK321" s="451">
        <f>SUM(AK322:AK322)</f>
        <v>0</v>
      </c>
      <c r="AL321" s="451"/>
      <c r="AM321" s="451"/>
      <c r="AN321" s="452"/>
      <c r="AO321" s="451"/>
      <c r="AP321" s="451">
        <f>SUM(AP322:AP322)</f>
        <v>0</v>
      </c>
      <c r="AQ321" s="451"/>
      <c r="AR321" s="451"/>
      <c r="AS321" s="452"/>
      <c r="AT321" s="451"/>
      <c r="AU321" s="451">
        <f>SUM(AU322:AU322)</f>
        <v>0</v>
      </c>
      <c r="AV321" s="451"/>
      <c r="AW321" s="451"/>
      <c r="AX321" s="452"/>
      <c r="AY321" s="451"/>
      <c r="AZ321" s="451">
        <f>SUM(AZ322:AZ322)</f>
        <v>0</v>
      </c>
      <c r="BA321" s="451"/>
      <c r="BB321" s="451"/>
      <c r="BC321" s="452"/>
      <c r="BD321" s="451"/>
      <c r="BE321" s="451">
        <f>SUM(BE322:BE322)</f>
        <v>0</v>
      </c>
      <c r="BF321" s="451"/>
      <c r="BG321" s="451"/>
      <c r="BH321" s="452"/>
      <c r="BI321" s="451"/>
      <c r="BJ321" s="451">
        <f>SUM(BJ322:BJ322)</f>
        <v>0</v>
      </c>
      <c r="BK321" s="451"/>
      <c r="BL321" s="451"/>
      <c r="BM321" s="452"/>
      <c r="BN321" s="451"/>
      <c r="BO321" s="451">
        <f>SUM(BO322:BO322)</f>
        <v>0</v>
      </c>
      <c r="BP321" s="451"/>
      <c r="BQ321" s="451"/>
      <c r="BR321" s="452"/>
      <c r="BS321" s="451"/>
      <c r="BT321" s="451">
        <f>SUM(BT322:BT322)</f>
        <v>0</v>
      </c>
      <c r="BU321" s="451"/>
      <c r="BV321" s="451"/>
      <c r="BW321" s="452"/>
      <c r="BX321" s="451"/>
      <c r="BY321" s="451">
        <f>SUM(BY322:BY322)</f>
        <v>0</v>
      </c>
      <c r="BZ321" s="451"/>
      <c r="CA321" s="451"/>
      <c r="CB321" s="452"/>
      <c r="CC321" s="451"/>
      <c r="CD321" s="451">
        <f>SUM(CD322:CD322)</f>
        <v>0</v>
      </c>
      <c r="CE321" s="451"/>
      <c r="CF321" s="451"/>
      <c r="CG321" s="452"/>
      <c r="CH321" s="451"/>
      <c r="CI321" s="451">
        <f>SUM(CI322:CI322)</f>
        <v>0</v>
      </c>
      <c r="CJ321" s="451"/>
      <c r="CK321" s="451"/>
      <c r="CL321" s="452"/>
      <c r="CM321" s="451"/>
      <c r="CN321" s="451">
        <f>SUM(CN322:CN322)</f>
        <v>0</v>
      </c>
      <c r="CO321" s="451"/>
      <c r="CP321" s="451"/>
      <c r="CQ321" s="452"/>
      <c r="CR321" s="451"/>
      <c r="CS321" s="451">
        <f>SUM(CS322:CS322)</f>
        <v>0</v>
      </c>
      <c r="CT321" s="451"/>
      <c r="CU321" s="451"/>
      <c r="CV321" s="452"/>
      <c r="CW321" s="451"/>
      <c r="CX321" s="451">
        <f>SUM(CX322:CX322)</f>
        <v>0</v>
      </c>
      <c r="CY321" s="451"/>
      <c r="CZ321" s="451"/>
      <c r="DA321" s="452"/>
      <c r="DB321" s="451"/>
      <c r="DC321" s="451">
        <f>SUM(DC322:DC322)</f>
        <v>0</v>
      </c>
      <c r="DD321" s="451"/>
      <c r="DE321" s="451"/>
      <c r="DF321" s="452"/>
      <c r="DG321" s="451"/>
      <c r="DH321" s="451">
        <f>SUM(DH322:DH322)</f>
        <v>0</v>
      </c>
      <c r="DI321" s="451"/>
      <c r="DJ321" s="451"/>
      <c r="DK321" s="452"/>
      <c r="DL321" s="451"/>
      <c r="DM321" s="451">
        <f>SUM(DM322:DM322)</f>
        <v>0</v>
      </c>
      <c r="DN321" s="451"/>
      <c r="DO321" s="451"/>
      <c r="DP321" s="452"/>
      <c r="DQ321" s="451"/>
      <c r="DR321" s="451">
        <f>SUM(DR322:DR322)</f>
        <v>0</v>
      </c>
      <c r="DS321" s="451"/>
      <c r="DT321" s="451"/>
      <c r="DU321" s="452"/>
      <c r="DV321" s="451"/>
      <c r="DW321" s="451">
        <f>SUM(DW322:DW322)</f>
        <v>0</v>
      </c>
      <c r="DX321" s="451"/>
      <c r="DY321" s="451"/>
      <c r="DZ321" s="452"/>
      <c r="EA321" s="451"/>
      <c r="EB321" s="451">
        <f>SUM(EB322:EB322)</f>
        <v>0</v>
      </c>
      <c r="EC321" s="451"/>
      <c r="ED321" s="451"/>
      <c r="EE321" s="452"/>
      <c r="EF321" s="451"/>
      <c r="EG321" s="451">
        <f>SUM(EG322:EG322)</f>
        <v>0</v>
      </c>
      <c r="EH321" s="451"/>
      <c r="EI321" s="451"/>
      <c r="EJ321" s="452"/>
      <c r="EK321" s="451"/>
      <c r="EL321" s="451">
        <f>SUM(EL322:EL322)</f>
        <v>0</v>
      </c>
      <c r="EM321" s="451"/>
      <c r="EN321" s="451"/>
      <c r="EO321" s="13"/>
      <c r="ER321" s="14"/>
      <c r="ES321" s="14"/>
    </row>
    <row r="322" spans="4:149" ht="12.75" customHeight="1" x14ac:dyDescent="0.2">
      <c r="D322" s="13" t="s">
        <v>347</v>
      </c>
      <c r="F322" s="456"/>
      <c r="G322" s="457">
        <v>0</v>
      </c>
      <c r="H322" s="458"/>
      <c r="I322" s="451"/>
      <c r="J322" s="452"/>
      <c r="K322" s="459"/>
      <c r="L322" s="457">
        <v>0</v>
      </c>
      <c r="M322" s="458"/>
      <c r="N322" s="451"/>
      <c r="O322" s="452"/>
      <c r="P322" s="459"/>
      <c r="Q322" s="457">
        <v>0</v>
      </c>
      <c r="R322" s="458"/>
      <c r="S322" s="451"/>
      <c r="T322" s="452"/>
      <c r="U322" s="459"/>
      <c r="V322" s="457">
        <v>0</v>
      </c>
      <c r="W322" s="458"/>
      <c r="X322" s="451"/>
      <c r="Y322" s="452"/>
      <c r="Z322" s="459"/>
      <c r="AA322" s="457">
        <v>0</v>
      </c>
      <c r="AB322" s="458"/>
      <c r="AC322" s="451"/>
      <c r="AD322" s="452"/>
      <c r="AE322" s="459"/>
      <c r="AF322" s="457">
        <v>0</v>
      </c>
      <c r="AG322" s="458"/>
      <c r="AH322" s="451"/>
      <c r="AI322" s="452"/>
      <c r="AJ322" s="459"/>
      <c r="AK322" s="457">
        <v>0</v>
      </c>
      <c r="AL322" s="458"/>
      <c r="AM322" s="451"/>
      <c r="AN322" s="452"/>
      <c r="AO322" s="459"/>
      <c r="AP322" s="457">
        <v>0</v>
      </c>
      <c r="AQ322" s="458"/>
      <c r="AR322" s="451"/>
      <c r="AS322" s="452"/>
      <c r="AT322" s="459"/>
      <c r="AU322" s="457">
        <v>0</v>
      </c>
      <c r="AV322" s="458"/>
      <c r="AW322" s="451"/>
      <c r="AX322" s="452"/>
      <c r="AY322" s="459"/>
      <c r="AZ322" s="457">
        <v>0</v>
      </c>
      <c r="BA322" s="458"/>
      <c r="BB322" s="451"/>
      <c r="BC322" s="452"/>
      <c r="BD322" s="459"/>
      <c r="BE322" s="457">
        <v>0</v>
      </c>
      <c r="BF322" s="458"/>
      <c r="BG322" s="451"/>
      <c r="BH322" s="452"/>
      <c r="BI322" s="459"/>
      <c r="BJ322" s="457">
        <v>0</v>
      </c>
      <c r="BK322" s="458"/>
      <c r="BL322" s="451"/>
      <c r="BM322" s="452"/>
      <c r="BN322" s="459"/>
      <c r="BO322" s="457">
        <v>0</v>
      </c>
      <c r="BP322" s="458"/>
      <c r="BQ322" s="451"/>
      <c r="BR322" s="452"/>
      <c r="BS322" s="459"/>
      <c r="BT322" s="457">
        <f>SUM(L322:BO322)</f>
        <v>0</v>
      </c>
      <c r="BU322" s="458"/>
      <c r="BV322" s="451"/>
      <c r="BW322" s="452"/>
      <c r="BX322" s="459"/>
      <c r="BY322" s="457">
        <v>0</v>
      </c>
      <c r="BZ322" s="458"/>
      <c r="CA322" s="451"/>
      <c r="CB322" s="452"/>
      <c r="CC322" s="459"/>
      <c r="CD322" s="457">
        <v>0</v>
      </c>
      <c r="CE322" s="458"/>
      <c r="CF322" s="451"/>
      <c r="CG322" s="452"/>
      <c r="CH322" s="459"/>
      <c r="CI322" s="457">
        <v>0</v>
      </c>
      <c r="CJ322" s="458"/>
      <c r="CK322" s="451"/>
      <c r="CL322" s="452"/>
      <c r="CM322" s="459"/>
      <c r="CN322" s="457">
        <v>0</v>
      </c>
      <c r="CO322" s="458"/>
      <c r="CP322" s="451"/>
      <c r="CQ322" s="452"/>
      <c r="CR322" s="459"/>
      <c r="CS322" s="457">
        <v>0</v>
      </c>
      <c r="CT322" s="458"/>
      <c r="CU322" s="451"/>
      <c r="CV322" s="452"/>
      <c r="CW322" s="459"/>
      <c r="CX322" s="457">
        <v>0</v>
      </c>
      <c r="CY322" s="458"/>
      <c r="CZ322" s="451"/>
      <c r="DA322" s="452"/>
      <c r="DB322" s="459"/>
      <c r="DC322" s="457">
        <v>0</v>
      </c>
      <c r="DD322" s="458"/>
      <c r="DE322" s="451"/>
      <c r="DF322" s="452"/>
      <c r="DG322" s="459"/>
      <c r="DH322" s="457">
        <v>0</v>
      </c>
      <c r="DI322" s="458"/>
      <c r="DJ322" s="451"/>
      <c r="DK322" s="452"/>
      <c r="DL322" s="459"/>
      <c r="DM322" s="457">
        <v>0</v>
      </c>
      <c r="DN322" s="458"/>
      <c r="DO322" s="451"/>
      <c r="DP322" s="452"/>
      <c r="DQ322" s="459"/>
      <c r="DR322" s="457">
        <v>0</v>
      </c>
      <c r="DS322" s="458"/>
      <c r="DT322" s="451"/>
      <c r="DU322" s="452"/>
      <c r="DV322" s="459"/>
      <c r="DW322" s="457">
        <v>0</v>
      </c>
      <c r="DX322" s="458"/>
      <c r="DY322" s="451"/>
      <c r="DZ322" s="452"/>
      <c r="EA322" s="459"/>
      <c r="EB322" s="457">
        <v>0</v>
      </c>
      <c r="EC322" s="458"/>
      <c r="ED322" s="451"/>
      <c r="EE322" s="452"/>
      <c r="EF322" s="459"/>
      <c r="EG322" s="457">
        <v>0</v>
      </c>
      <c r="EH322" s="458"/>
      <c r="EI322" s="451"/>
      <c r="EJ322" s="452"/>
      <c r="EK322" s="459"/>
      <c r="EL322" s="457">
        <f>SUM(CD322:DW322)</f>
        <v>0</v>
      </c>
      <c r="EM322" s="458"/>
      <c r="EN322" s="451"/>
      <c r="EO322" s="13"/>
      <c r="ER322" s="14"/>
      <c r="ES322" s="14"/>
    </row>
    <row r="323" spans="4:149" ht="12.75" customHeight="1" x14ac:dyDescent="0.2">
      <c r="D323" s="13"/>
      <c r="G323" s="451"/>
      <c r="H323" s="451"/>
      <c r="I323" s="451"/>
      <c r="J323" s="452"/>
      <c r="K323" s="451"/>
      <c r="L323" s="451"/>
      <c r="M323" s="451"/>
      <c r="N323" s="451"/>
      <c r="O323" s="452"/>
      <c r="P323" s="451"/>
      <c r="Q323" s="451"/>
      <c r="R323" s="451"/>
      <c r="S323" s="451"/>
      <c r="T323" s="452"/>
      <c r="U323" s="451"/>
      <c r="V323" s="451"/>
      <c r="W323" s="451"/>
      <c r="X323" s="451"/>
      <c r="Y323" s="452"/>
      <c r="Z323" s="451"/>
      <c r="AA323" s="451"/>
      <c r="AB323" s="451"/>
      <c r="AC323" s="451"/>
      <c r="AD323" s="452"/>
      <c r="AE323" s="451"/>
      <c r="AF323" s="451"/>
      <c r="AG323" s="451"/>
      <c r="AH323" s="451"/>
      <c r="AI323" s="452"/>
      <c r="AJ323" s="451"/>
      <c r="AK323" s="451"/>
      <c r="AL323" s="451"/>
      <c r="AM323" s="451"/>
      <c r="AN323" s="452"/>
      <c r="AO323" s="451"/>
      <c r="AP323" s="451"/>
      <c r="AQ323" s="451"/>
      <c r="AR323" s="451"/>
      <c r="AS323" s="452"/>
      <c r="AT323" s="451"/>
      <c r="AU323" s="451"/>
      <c r="AV323" s="451"/>
      <c r="AW323" s="451"/>
      <c r="AX323" s="452"/>
      <c r="AY323" s="451"/>
      <c r="AZ323" s="451"/>
      <c r="BA323" s="451"/>
      <c r="BB323" s="451"/>
      <c r="BC323" s="452"/>
      <c r="BD323" s="451"/>
      <c r="BE323" s="451"/>
      <c r="BF323" s="451"/>
      <c r="BG323" s="451"/>
      <c r="BH323" s="452"/>
      <c r="BI323" s="451"/>
      <c r="BJ323" s="451"/>
      <c r="BK323" s="451"/>
      <c r="BL323" s="451"/>
      <c r="BM323" s="452"/>
      <c r="BN323" s="451"/>
      <c r="BO323" s="451"/>
      <c r="BP323" s="451"/>
      <c r="BQ323" s="451"/>
      <c r="BR323" s="452"/>
      <c r="BS323" s="451"/>
      <c r="BT323" s="451"/>
      <c r="BU323" s="451"/>
      <c r="BV323" s="451"/>
      <c r="BW323" s="452"/>
      <c r="BX323" s="451"/>
      <c r="BY323" s="451"/>
      <c r="BZ323" s="451"/>
      <c r="CA323" s="451"/>
      <c r="CB323" s="452"/>
      <c r="CC323" s="451"/>
      <c r="CD323" s="451"/>
      <c r="CE323" s="451"/>
      <c r="CF323" s="451"/>
      <c r="CG323" s="452"/>
      <c r="CH323" s="451"/>
      <c r="CI323" s="451"/>
      <c r="CJ323" s="451"/>
      <c r="CK323" s="451"/>
      <c r="CL323" s="452"/>
      <c r="CM323" s="451"/>
      <c r="CN323" s="451"/>
      <c r="CO323" s="451"/>
      <c r="CP323" s="451"/>
      <c r="CQ323" s="452"/>
      <c r="CR323" s="451"/>
      <c r="CS323" s="451"/>
      <c r="CT323" s="451"/>
      <c r="CU323" s="451"/>
      <c r="CV323" s="452"/>
      <c r="CW323" s="451"/>
      <c r="CX323" s="451"/>
      <c r="CY323" s="451"/>
      <c r="CZ323" s="451"/>
      <c r="DA323" s="452"/>
      <c r="DB323" s="451"/>
      <c r="DC323" s="451"/>
      <c r="DD323" s="451"/>
      <c r="DE323" s="451"/>
      <c r="DF323" s="452"/>
      <c r="DG323" s="451"/>
      <c r="DH323" s="451"/>
      <c r="DI323" s="451"/>
      <c r="DJ323" s="451"/>
      <c r="DK323" s="452"/>
      <c r="DL323" s="451"/>
      <c r="DM323" s="451"/>
      <c r="DN323" s="451"/>
      <c r="DO323" s="451"/>
      <c r="DP323" s="452"/>
      <c r="DQ323" s="451"/>
      <c r="DR323" s="451"/>
      <c r="DS323" s="451"/>
      <c r="DT323" s="451"/>
      <c r="DU323" s="452"/>
      <c r="DV323" s="451"/>
      <c r="DW323" s="451"/>
      <c r="DX323" s="451"/>
      <c r="DY323" s="451"/>
      <c r="DZ323" s="452"/>
      <c r="EA323" s="451"/>
      <c r="EB323" s="451"/>
      <c r="EC323" s="451"/>
      <c r="ED323" s="451"/>
      <c r="EE323" s="452"/>
      <c r="EF323" s="451"/>
      <c r="EG323" s="451"/>
      <c r="EH323" s="451"/>
      <c r="EI323" s="451"/>
      <c r="EJ323" s="452"/>
      <c r="EK323" s="451"/>
      <c r="EL323" s="451"/>
      <c r="EM323" s="451"/>
      <c r="EN323" s="451"/>
      <c r="EO323" s="13"/>
      <c r="ER323" s="14"/>
      <c r="ES323" s="14"/>
    </row>
    <row r="324" spans="4:149" ht="12.75" customHeight="1" x14ac:dyDescent="0.2">
      <c r="D324" s="13" t="s">
        <v>367</v>
      </c>
      <c r="G324" s="451">
        <v>0</v>
      </c>
      <c r="H324" s="451"/>
      <c r="I324" s="451"/>
      <c r="J324" s="452"/>
      <c r="K324" s="451"/>
      <c r="L324" s="451">
        <f>SUM(L325:L325)</f>
        <v>0</v>
      </c>
      <c r="M324" s="451"/>
      <c r="N324" s="451"/>
      <c r="O324" s="452"/>
      <c r="P324" s="451"/>
      <c r="Q324" s="451">
        <f>SUM(Q325:Q325)</f>
        <v>0</v>
      </c>
      <c r="R324" s="451"/>
      <c r="S324" s="451"/>
      <c r="T324" s="452"/>
      <c r="U324" s="451"/>
      <c r="V324" s="451">
        <f>SUM(V325:V325)</f>
        <v>0</v>
      </c>
      <c r="W324" s="451"/>
      <c r="X324" s="451"/>
      <c r="Y324" s="452"/>
      <c r="Z324" s="451"/>
      <c r="AA324" s="451">
        <f>SUM(AA325:AA325)</f>
        <v>0</v>
      </c>
      <c r="AB324" s="451"/>
      <c r="AC324" s="451"/>
      <c r="AD324" s="452"/>
      <c r="AE324" s="451"/>
      <c r="AF324" s="451">
        <f>SUM(AF325:AF325)</f>
        <v>0</v>
      </c>
      <c r="AG324" s="451"/>
      <c r="AH324" s="451"/>
      <c r="AI324" s="452"/>
      <c r="AJ324" s="451"/>
      <c r="AK324" s="451">
        <f>SUM(AK325:AK325)</f>
        <v>0</v>
      </c>
      <c r="AL324" s="451"/>
      <c r="AM324" s="451"/>
      <c r="AN324" s="452"/>
      <c r="AO324" s="451"/>
      <c r="AP324" s="451">
        <f>SUM(AP325:AP325)</f>
        <v>0</v>
      </c>
      <c r="AQ324" s="451"/>
      <c r="AR324" s="451"/>
      <c r="AS324" s="452"/>
      <c r="AT324" s="451"/>
      <c r="AU324" s="451">
        <f>SUM(AU325:AU325)</f>
        <v>0</v>
      </c>
      <c r="AV324" s="451"/>
      <c r="AW324" s="451"/>
      <c r="AX324" s="452"/>
      <c r="AY324" s="451"/>
      <c r="AZ324" s="451">
        <f>SUM(AZ325:AZ325)</f>
        <v>0</v>
      </c>
      <c r="BA324" s="451"/>
      <c r="BB324" s="451"/>
      <c r="BC324" s="452"/>
      <c r="BD324" s="451"/>
      <c r="BE324" s="451">
        <f>SUM(BE325:BE325)</f>
        <v>0</v>
      </c>
      <c r="BF324" s="451"/>
      <c r="BG324" s="451"/>
      <c r="BH324" s="452"/>
      <c r="BI324" s="451"/>
      <c r="BJ324" s="451">
        <f>SUM(BJ325:BJ325)</f>
        <v>0</v>
      </c>
      <c r="BK324" s="451"/>
      <c r="BL324" s="451"/>
      <c r="BM324" s="452"/>
      <c r="BN324" s="451"/>
      <c r="BO324" s="451">
        <f>SUM(BO325:BO325)</f>
        <v>0</v>
      </c>
      <c r="BP324" s="451"/>
      <c r="BQ324" s="451"/>
      <c r="BR324" s="452"/>
      <c r="BS324" s="451"/>
      <c r="BT324" s="451">
        <f>SUM(BT325:BT325)</f>
        <v>0</v>
      </c>
      <c r="BU324" s="451"/>
      <c r="BV324" s="451"/>
      <c r="BW324" s="452"/>
      <c r="BX324" s="451"/>
      <c r="BY324" s="451">
        <f>SUM(BY325:BY325)</f>
        <v>0</v>
      </c>
      <c r="BZ324" s="451"/>
      <c r="CA324" s="451"/>
      <c r="CB324" s="452"/>
      <c r="CC324" s="451"/>
      <c r="CD324" s="451">
        <f>SUM(CD325:CD325)</f>
        <v>0</v>
      </c>
      <c r="CE324" s="451"/>
      <c r="CF324" s="451"/>
      <c r="CG324" s="452"/>
      <c r="CH324" s="451"/>
      <c r="CI324" s="451">
        <f>SUM(CI325:CI325)</f>
        <v>0</v>
      </c>
      <c r="CJ324" s="451"/>
      <c r="CK324" s="451"/>
      <c r="CL324" s="452"/>
      <c r="CM324" s="451"/>
      <c r="CN324" s="451">
        <f>SUM(CN325:CN325)</f>
        <v>0</v>
      </c>
      <c r="CO324" s="451"/>
      <c r="CP324" s="451"/>
      <c r="CQ324" s="452"/>
      <c r="CR324" s="451"/>
      <c r="CS324" s="451">
        <f>SUM(CS325:CS325)</f>
        <v>0</v>
      </c>
      <c r="CT324" s="451"/>
      <c r="CU324" s="451"/>
      <c r="CV324" s="452"/>
      <c r="CW324" s="451"/>
      <c r="CX324" s="451">
        <f>SUM(CX325:CX325)</f>
        <v>0</v>
      </c>
      <c r="CY324" s="451"/>
      <c r="CZ324" s="451"/>
      <c r="DA324" s="452"/>
      <c r="DB324" s="451"/>
      <c r="DC324" s="451">
        <f>SUM(DC325:DC325)</f>
        <v>0</v>
      </c>
      <c r="DD324" s="451"/>
      <c r="DE324" s="451"/>
      <c r="DF324" s="452"/>
      <c r="DG324" s="451"/>
      <c r="DH324" s="451">
        <f>SUM(DH325:DH325)</f>
        <v>0</v>
      </c>
      <c r="DI324" s="451"/>
      <c r="DJ324" s="451"/>
      <c r="DK324" s="452"/>
      <c r="DL324" s="451"/>
      <c r="DM324" s="451">
        <f>SUM(DM325:DM325)</f>
        <v>0</v>
      </c>
      <c r="DN324" s="451"/>
      <c r="DO324" s="451"/>
      <c r="DP324" s="452"/>
      <c r="DQ324" s="451"/>
      <c r="DR324" s="451">
        <f>SUM(DR325:DR325)</f>
        <v>0</v>
      </c>
      <c r="DS324" s="451"/>
      <c r="DT324" s="451"/>
      <c r="DU324" s="452"/>
      <c r="DV324" s="451"/>
      <c r="DW324" s="451">
        <f>SUM(DW325:DW325)</f>
        <v>0</v>
      </c>
      <c r="DX324" s="451"/>
      <c r="DY324" s="451"/>
      <c r="DZ324" s="452"/>
      <c r="EA324" s="451"/>
      <c r="EB324" s="451">
        <f>SUM(EB325:EB325)</f>
        <v>0</v>
      </c>
      <c r="EC324" s="451"/>
      <c r="ED324" s="451"/>
      <c r="EE324" s="452"/>
      <c r="EF324" s="451"/>
      <c r="EG324" s="451">
        <f>SUM(EG325:EG325)</f>
        <v>0</v>
      </c>
      <c r="EH324" s="451"/>
      <c r="EI324" s="451"/>
      <c r="EJ324" s="452"/>
      <c r="EK324" s="451"/>
      <c r="EL324" s="451">
        <f>SUM(EL325:EL325)</f>
        <v>0</v>
      </c>
      <c r="EM324" s="451"/>
      <c r="EN324" s="451"/>
      <c r="EO324" s="13"/>
      <c r="ER324" s="14"/>
      <c r="ES324" s="14"/>
    </row>
    <row r="325" spans="4:149" ht="12.75" customHeight="1" x14ac:dyDescent="0.2">
      <c r="D325" s="13" t="s">
        <v>347</v>
      </c>
      <c r="F325" s="456"/>
      <c r="G325" s="457">
        <v>0</v>
      </c>
      <c r="H325" s="458"/>
      <c r="I325" s="451"/>
      <c r="J325" s="452"/>
      <c r="K325" s="459"/>
      <c r="L325" s="457">
        <v>0</v>
      </c>
      <c r="M325" s="458"/>
      <c r="N325" s="451"/>
      <c r="O325" s="452"/>
      <c r="P325" s="459"/>
      <c r="Q325" s="457">
        <v>0</v>
      </c>
      <c r="R325" s="458"/>
      <c r="S325" s="451"/>
      <c r="T325" s="452"/>
      <c r="U325" s="459"/>
      <c r="V325" s="457">
        <v>0</v>
      </c>
      <c r="W325" s="458"/>
      <c r="X325" s="451"/>
      <c r="Y325" s="452"/>
      <c r="Z325" s="459"/>
      <c r="AA325" s="457">
        <v>0</v>
      </c>
      <c r="AB325" s="458"/>
      <c r="AC325" s="451"/>
      <c r="AD325" s="452"/>
      <c r="AE325" s="459"/>
      <c r="AF325" s="457">
        <v>0</v>
      </c>
      <c r="AG325" s="458"/>
      <c r="AH325" s="451"/>
      <c r="AI325" s="452"/>
      <c r="AJ325" s="459"/>
      <c r="AK325" s="457">
        <v>0</v>
      </c>
      <c r="AL325" s="458"/>
      <c r="AM325" s="451"/>
      <c r="AN325" s="452"/>
      <c r="AO325" s="459"/>
      <c r="AP325" s="457">
        <v>0</v>
      </c>
      <c r="AQ325" s="458"/>
      <c r="AR325" s="451"/>
      <c r="AS325" s="452"/>
      <c r="AT325" s="459"/>
      <c r="AU325" s="457">
        <v>0</v>
      </c>
      <c r="AV325" s="458"/>
      <c r="AW325" s="451"/>
      <c r="AX325" s="452"/>
      <c r="AY325" s="459"/>
      <c r="AZ325" s="457">
        <v>0</v>
      </c>
      <c r="BA325" s="458"/>
      <c r="BB325" s="451"/>
      <c r="BC325" s="452"/>
      <c r="BD325" s="459"/>
      <c r="BE325" s="457">
        <v>0</v>
      </c>
      <c r="BF325" s="458"/>
      <c r="BG325" s="451"/>
      <c r="BH325" s="452"/>
      <c r="BI325" s="459"/>
      <c r="BJ325" s="457">
        <v>0</v>
      </c>
      <c r="BK325" s="458"/>
      <c r="BL325" s="451"/>
      <c r="BM325" s="452"/>
      <c r="BN325" s="459"/>
      <c r="BO325" s="457">
        <v>0</v>
      </c>
      <c r="BP325" s="458"/>
      <c r="BQ325" s="451"/>
      <c r="BR325" s="452"/>
      <c r="BS325" s="459"/>
      <c r="BT325" s="457">
        <f>SUM(L325:BO325)</f>
        <v>0</v>
      </c>
      <c r="BU325" s="458"/>
      <c r="BV325" s="451"/>
      <c r="BW325" s="452"/>
      <c r="BX325" s="459"/>
      <c r="BY325" s="457">
        <v>0</v>
      </c>
      <c r="BZ325" s="458"/>
      <c r="CA325" s="451"/>
      <c r="CB325" s="452"/>
      <c r="CC325" s="459"/>
      <c r="CD325" s="457">
        <v>0</v>
      </c>
      <c r="CE325" s="458"/>
      <c r="CF325" s="451"/>
      <c r="CG325" s="452"/>
      <c r="CH325" s="459"/>
      <c r="CI325" s="457">
        <v>0</v>
      </c>
      <c r="CJ325" s="458"/>
      <c r="CK325" s="451"/>
      <c r="CL325" s="452"/>
      <c r="CM325" s="459"/>
      <c r="CN325" s="457">
        <v>0</v>
      </c>
      <c r="CO325" s="458"/>
      <c r="CP325" s="451"/>
      <c r="CQ325" s="452"/>
      <c r="CR325" s="459"/>
      <c r="CS325" s="457">
        <v>0</v>
      </c>
      <c r="CT325" s="458"/>
      <c r="CU325" s="451"/>
      <c r="CV325" s="452"/>
      <c r="CW325" s="459"/>
      <c r="CX325" s="457">
        <v>0</v>
      </c>
      <c r="CY325" s="458"/>
      <c r="CZ325" s="451"/>
      <c r="DA325" s="452"/>
      <c r="DB325" s="459"/>
      <c r="DC325" s="457">
        <v>0</v>
      </c>
      <c r="DD325" s="458"/>
      <c r="DE325" s="451"/>
      <c r="DF325" s="452"/>
      <c r="DG325" s="459"/>
      <c r="DH325" s="457">
        <v>0</v>
      </c>
      <c r="DI325" s="458"/>
      <c r="DJ325" s="451"/>
      <c r="DK325" s="452"/>
      <c r="DL325" s="459"/>
      <c r="DM325" s="457">
        <v>0</v>
      </c>
      <c r="DN325" s="458"/>
      <c r="DO325" s="451"/>
      <c r="DP325" s="452"/>
      <c r="DQ325" s="459"/>
      <c r="DR325" s="457">
        <v>0</v>
      </c>
      <c r="DS325" s="458"/>
      <c r="DT325" s="451"/>
      <c r="DU325" s="452"/>
      <c r="DV325" s="459"/>
      <c r="DW325" s="457">
        <v>0</v>
      </c>
      <c r="DX325" s="458"/>
      <c r="DY325" s="451"/>
      <c r="DZ325" s="452"/>
      <c r="EA325" s="459"/>
      <c r="EB325" s="457">
        <v>0</v>
      </c>
      <c r="EC325" s="458"/>
      <c r="ED325" s="451"/>
      <c r="EE325" s="452"/>
      <c r="EF325" s="459"/>
      <c r="EG325" s="457">
        <v>0</v>
      </c>
      <c r="EH325" s="458"/>
      <c r="EI325" s="451"/>
      <c r="EJ325" s="452"/>
      <c r="EK325" s="459"/>
      <c r="EL325" s="457">
        <f>SUM(CD325:DW325)</f>
        <v>0</v>
      </c>
      <c r="EM325" s="458"/>
      <c r="EN325" s="451"/>
      <c r="EO325" s="13"/>
      <c r="ER325" s="14"/>
      <c r="ES325" s="14"/>
    </row>
    <row r="326" spans="4:149" ht="12.75" customHeight="1" x14ac:dyDescent="0.2">
      <c r="D326" s="13"/>
      <c r="G326" s="451"/>
      <c r="H326" s="451"/>
      <c r="I326" s="451"/>
      <c r="J326" s="452"/>
      <c r="K326" s="451"/>
      <c r="L326" s="451"/>
      <c r="M326" s="451"/>
      <c r="N326" s="451"/>
      <c r="O326" s="452"/>
      <c r="P326" s="451"/>
      <c r="Q326" s="451"/>
      <c r="R326" s="451"/>
      <c r="S326" s="451"/>
      <c r="T326" s="452"/>
      <c r="U326" s="451"/>
      <c r="V326" s="451"/>
      <c r="W326" s="451"/>
      <c r="X326" s="451"/>
      <c r="Y326" s="452"/>
      <c r="Z326" s="451"/>
      <c r="AA326" s="451"/>
      <c r="AB326" s="451"/>
      <c r="AC326" s="451"/>
      <c r="AD326" s="452"/>
      <c r="AE326" s="451"/>
      <c r="AF326" s="451"/>
      <c r="AG326" s="451"/>
      <c r="AH326" s="451"/>
      <c r="AI326" s="452"/>
      <c r="AJ326" s="451"/>
      <c r="AK326" s="451"/>
      <c r="AL326" s="451"/>
      <c r="AM326" s="451"/>
      <c r="AN326" s="452"/>
      <c r="AO326" s="451"/>
      <c r="AP326" s="451"/>
      <c r="AQ326" s="451"/>
      <c r="AR326" s="451"/>
      <c r="AS326" s="452"/>
      <c r="AT326" s="451"/>
      <c r="AU326" s="451"/>
      <c r="AV326" s="451"/>
      <c r="AW326" s="451"/>
      <c r="AX326" s="452"/>
      <c r="AY326" s="451"/>
      <c r="AZ326" s="451"/>
      <c r="BA326" s="451"/>
      <c r="BB326" s="451"/>
      <c r="BC326" s="452"/>
      <c r="BD326" s="451"/>
      <c r="BE326" s="451"/>
      <c r="BF326" s="451"/>
      <c r="BG326" s="451"/>
      <c r="BH326" s="452"/>
      <c r="BI326" s="451"/>
      <c r="BJ326" s="451"/>
      <c r="BK326" s="451"/>
      <c r="BL326" s="451"/>
      <c r="BM326" s="452"/>
      <c r="BN326" s="451"/>
      <c r="BO326" s="451"/>
      <c r="BP326" s="451"/>
      <c r="BQ326" s="451"/>
      <c r="BR326" s="452"/>
      <c r="BS326" s="451"/>
      <c r="BT326" s="451"/>
      <c r="BU326" s="451"/>
      <c r="BV326" s="451"/>
      <c r="BW326" s="452"/>
      <c r="BX326" s="451"/>
      <c r="BY326" s="451"/>
      <c r="BZ326" s="451"/>
      <c r="CA326" s="451"/>
      <c r="CB326" s="452"/>
      <c r="CC326" s="451"/>
      <c r="CD326" s="451"/>
      <c r="CE326" s="451"/>
      <c r="CF326" s="451"/>
      <c r="CG326" s="452"/>
      <c r="CH326" s="451"/>
      <c r="CI326" s="451"/>
      <c r="CJ326" s="451"/>
      <c r="CK326" s="451"/>
      <c r="CL326" s="452"/>
      <c r="CM326" s="451"/>
      <c r="CN326" s="451"/>
      <c r="CO326" s="451"/>
      <c r="CP326" s="451"/>
      <c r="CQ326" s="452"/>
      <c r="CR326" s="451"/>
      <c r="CS326" s="451"/>
      <c r="CT326" s="451"/>
      <c r="CU326" s="451"/>
      <c r="CV326" s="452"/>
      <c r="CW326" s="451"/>
      <c r="CX326" s="451"/>
      <c r="CY326" s="451"/>
      <c r="CZ326" s="451"/>
      <c r="DA326" s="452"/>
      <c r="DB326" s="451"/>
      <c r="DC326" s="451"/>
      <c r="DD326" s="451"/>
      <c r="DE326" s="451"/>
      <c r="DF326" s="452"/>
      <c r="DG326" s="451"/>
      <c r="DH326" s="451"/>
      <c r="DI326" s="451"/>
      <c r="DJ326" s="451"/>
      <c r="DK326" s="452"/>
      <c r="DL326" s="451"/>
      <c r="DM326" s="451"/>
      <c r="DN326" s="451"/>
      <c r="DO326" s="451"/>
      <c r="DP326" s="452"/>
      <c r="DQ326" s="451"/>
      <c r="DR326" s="451"/>
      <c r="DS326" s="451"/>
      <c r="DT326" s="451"/>
      <c r="DU326" s="452"/>
      <c r="DV326" s="451"/>
      <c r="DW326" s="451"/>
      <c r="DX326" s="451"/>
      <c r="DY326" s="451"/>
      <c r="DZ326" s="452"/>
      <c r="EA326" s="451"/>
      <c r="EB326" s="451"/>
      <c r="EC326" s="451"/>
      <c r="ED326" s="451"/>
      <c r="EE326" s="452"/>
      <c r="EF326" s="451"/>
      <c r="EG326" s="451"/>
      <c r="EH326" s="451"/>
      <c r="EI326" s="451"/>
      <c r="EJ326" s="452"/>
      <c r="EK326" s="451"/>
      <c r="EL326" s="451"/>
      <c r="EM326" s="451"/>
      <c r="EN326" s="451"/>
      <c r="EO326" s="13"/>
      <c r="ER326" s="14"/>
      <c r="ES326" s="14"/>
    </row>
    <row r="327" spans="4:149" x14ac:dyDescent="0.2">
      <c r="D327" s="13" t="s">
        <v>368</v>
      </c>
      <c r="G327" s="451">
        <f>SUM(G328)</f>
        <v>0</v>
      </c>
      <c r="H327" s="451"/>
      <c r="I327" s="451"/>
      <c r="J327" s="452"/>
      <c r="L327" s="451">
        <f>SUM(L328)</f>
        <v>0</v>
      </c>
      <c r="M327" s="451"/>
      <c r="N327" s="451"/>
      <c r="O327" s="452"/>
      <c r="Q327" s="451">
        <f>SUM(Q328)</f>
        <v>0</v>
      </c>
      <c r="R327" s="451"/>
      <c r="S327" s="451"/>
      <c r="T327" s="452"/>
      <c r="V327" s="451">
        <f>SUM(V328)</f>
        <v>0</v>
      </c>
      <c r="W327" s="451"/>
      <c r="X327" s="451"/>
      <c r="Y327" s="452"/>
      <c r="AA327" s="451">
        <f>SUM(AA328)</f>
        <v>0</v>
      </c>
      <c r="AB327" s="451"/>
      <c r="AC327" s="451"/>
      <c r="AD327" s="452"/>
      <c r="AF327" s="451">
        <f>SUM(AF328)</f>
        <v>0</v>
      </c>
      <c r="AG327" s="451"/>
      <c r="AH327" s="451"/>
      <c r="AI327" s="452"/>
      <c r="AK327" s="451">
        <f>SUM(AK328)</f>
        <v>0</v>
      </c>
      <c r="AL327" s="451"/>
      <c r="AM327" s="451"/>
      <c r="AN327" s="452"/>
      <c r="AP327" s="451">
        <f>SUM(AP328)</f>
        <v>0</v>
      </c>
      <c r="AQ327" s="451"/>
      <c r="AR327" s="451"/>
      <c r="AS327" s="452"/>
      <c r="AU327" s="451">
        <f>SUM(AU328)</f>
        <v>0</v>
      </c>
      <c r="AV327" s="451"/>
      <c r="AW327" s="451"/>
      <c r="AX327" s="452"/>
      <c r="AZ327" s="451">
        <f>SUM(AZ328)</f>
        <v>0</v>
      </c>
      <c r="BA327" s="451"/>
      <c r="BB327" s="451"/>
      <c r="BC327" s="452"/>
      <c r="BE327" s="451">
        <f>SUM(BE328)</f>
        <v>0</v>
      </c>
      <c r="BF327" s="451"/>
      <c r="BG327" s="451"/>
      <c r="BH327" s="452"/>
      <c r="BJ327" s="451">
        <f>SUM(BJ328)</f>
        <v>0</v>
      </c>
      <c r="BK327" s="451"/>
      <c r="BL327" s="451"/>
      <c r="BM327" s="452"/>
      <c r="BO327" s="451">
        <f>SUM(BO328)</f>
        <v>0</v>
      </c>
      <c r="BP327" s="451"/>
      <c r="BQ327" s="451"/>
      <c r="BR327" s="452"/>
      <c r="BT327" s="451">
        <f>SUM(BT328:BT328)</f>
        <v>0</v>
      </c>
      <c r="BU327" s="451"/>
      <c r="BV327" s="451"/>
      <c r="BW327" s="452"/>
      <c r="BY327" s="451">
        <f>SUM(BY328:BY328)</f>
        <v>266052</v>
      </c>
      <c r="BZ327" s="451"/>
      <c r="CA327" s="451"/>
      <c r="CB327" s="452"/>
      <c r="CD327" s="451">
        <f>SUM(CD328)</f>
        <v>0</v>
      </c>
      <c r="CE327" s="451"/>
      <c r="CF327" s="451"/>
      <c r="CG327" s="452"/>
      <c r="CI327" s="451">
        <f>SUM(CI328)</f>
        <v>0</v>
      </c>
      <c r="CJ327" s="451"/>
      <c r="CK327" s="451"/>
      <c r="CL327" s="452"/>
      <c r="CN327" s="451">
        <f>SUM(CN328)</f>
        <v>0</v>
      </c>
      <c r="CO327" s="451"/>
      <c r="CP327" s="451"/>
      <c r="CQ327" s="452"/>
      <c r="CS327" s="451">
        <f>SUM(CS328)</f>
        <v>0</v>
      </c>
      <c r="CT327" s="451"/>
      <c r="CU327" s="451"/>
      <c r="CV327" s="452"/>
      <c r="CX327" s="451">
        <f>SUM(CX328)</f>
        <v>266052</v>
      </c>
      <c r="CY327" s="451"/>
      <c r="CZ327" s="451"/>
      <c r="DA327" s="452"/>
      <c r="DC327" s="451">
        <f>SUM(DC328)</f>
        <v>0</v>
      </c>
      <c r="DD327" s="451"/>
      <c r="DE327" s="451"/>
      <c r="DF327" s="452"/>
      <c r="DH327" s="451">
        <f>SUM(DH328)</f>
        <v>0</v>
      </c>
      <c r="DI327" s="451"/>
      <c r="DJ327" s="451"/>
      <c r="DK327" s="452"/>
      <c r="DM327" s="451">
        <f>SUM(DM328)</f>
        <v>0</v>
      </c>
      <c r="DN327" s="451"/>
      <c r="DO327" s="451"/>
      <c r="DP327" s="452"/>
      <c r="DR327" s="451">
        <f>SUM(DR328)</f>
        <v>0</v>
      </c>
      <c r="DS327" s="451"/>
      <c r="DT327" s="451"/>
      <c r="DU327" s="452"/>
      <c r="DW327" s="451">
        <f>SUM(DW328)</f>
        <v>0</v>
      </c>
      <c r="DX327" s="451"/>
      <c r="DY327" s="451"/>
      <c r="DZ327" s="452"/>
      <c r="EB327" s="451">
        <f>SUM(EB328)</f>
        <v>0</v>
      </c>
      <c r="EC327" s="451"/>
      <c r="ED327" s="451"/>
      <c r="EE327" s="452"/>
      <c r="EG327" s="451">
        <f>SUM(EG328)</f>
        <v>0</v>
      </c>
      <c r="EH327" s="451"/>
      <c r="EI327" s="451"/>
      <c r="EJ327" s="452"/>
      <c r="EL327" s="451">
        <f>SUM(EL328:EL328)</f>
        <v>266052</v>
      </c>
      <c r="EM327" s="451"/>
      <c r="EN327" s="451"/>
      <c r="EO327" s="13"/>
      <c r="ER327" s="14"/>
      <c r="ES327" s="14"/>
    </row>
    <row r="328" spans="4:149" x14ac:dyDescent="0.2">
      <c r="D328" s="13" t="s">
        <v>347</v>
      </c>
      <c r="F328" s="456"/>
      <c r="G328" s="457">
        <v>0</v>
      </c>
      <c r="H328" s="458"/>
      <c r="I328" s="451"/>
      <c r="J328" s="452"/>
      <c r="K328" s="456"/>
      <c r="L328" s="457">
        <v>0</v>
      </c>
      <c r="M328" s="458"/>
      <c r="N328" s="451"/>
      <c r="O328" s="452"/>
      <c r="P328" s="456"/>
      <c r="Q328" s="457">
        <v>0</v>
      </c>
      <c r="R328" s="458"/>
      <c r="S328" s="451"/>
      <c r="T328" s="452"/>
      <c r="U328" s="456"/>
      <c r="V328" s="457">
        <v>0</v>
      </c>
      <c r="W328" s="458"/>
      <c r="X328" s="451"/>
      <c r="Y328" s="452"/>
      <c r="Z328" s="456"/>
      <c r="AA328" s="457">
        <v>0</v>
      </c>
      <c r="AB328" s="458"/>
      <c r="AC328" s="451"/>
      <c r="AD328" s="452"/>
      <c r="AE328" s="456"/>
      <c r="AF328" s="457">
        <v>0</v>
      </c>
      <c r="AG328" s="458"/>
      <c r="AH328" s="451"/>
      <c r="AI328" s="452"/>
      <c r="AJ328" s="456"/>
      <c r="AK328" s="457">
        <v>0</v>
      </c>
      <c r="AL328" s="458"/>
      <c r="AM328" s="451"/>
      <c r="AN328" s="452"/>
      <c r="AO328" s="456"/>
      <c r="AP328" s="457">
        <v>0</v>
      </c>
      <c r="AQ328" s="458"/>
      <c r="AR328" s="451"/>
      <c r="AS328" s="452"/>
      <c r="AT328" s="456"/>
      <c r="AU328" s="457">
        <v>0</v>
      </c>
      <c r="AV328" s="458"/>
      <c r="AW328" s="451"/>
      <c r="AX328" s="452"/>
      <c r="AY328" s="456"/>
      <c r="AZ328" s="457">
        <v>0</v>
      </c>
      <c r="BA328" s="458"/>
      <c r="BB328" s="451"/>
      <c r="BC328" s="452"/>
      <c r="BD328" s="456"/>
      <c r="BE328" s="457">
        <v>0</v>
      </c>
      <c r="BF328" s="458"/>
      <c r="BG328" s="451"/>
      <c r="BH328" s="452"/>
      <c r="BI328" s="456"/>
      <c r="BJ328" s="457">
        <v>0</v>
      </c>
      <c r="BK328" s="458"/>
      <c r="BL328" s="451"/>
      <c r="BM328" s="452"/>
      <c r="BN328" s="456"/>
      <c r="BO328" s="457">
        <v>0</v>
      </c>
      <c r="BP328" s="458"/>
      <c r="BQ328" s="451"/>
      <c r="BR328" s="452"/>
      <c r="BS328" s="456"/>
      <c r="BT328" s="457">
        <f>SUM(L328:BO328)</f>
        <v>0</v>
      </c>
      <c r="BU328" s="458"/>
      <c r="BV328" s="451"/>
      <c r="BW328" s="452"/>
      <c r="BX328" s="456"/>
      <c r="BY328" s="457">
        <v>266052</v>
      </c>
      <c r="BZ328" s="458"/>
      <c r="CA328" s="451"/>
      <c r="CB328" s="452"/>
      <c r="CC328" s="456"/>
      <c r="CD328" s="457">
        <v>0</v>
      </c>
      <c r="CE328" s="458"/>
      <c r="CF328" s="451"/>
      <c r="CG328" s="452"/>
      <c r="CH328" s="456"/>
      <c r="CI328" s="457">
        <v>0</v>
      </c>
      <c r="CJ328" s="458"/>
      <c r="CK328" s="451"/>
      <c r="CL328" s="452"/>
      <c r="CM328" s="456"/>
      <c r="CN328" s="457">
        <v>0</v>
      </c>
      <c r="CO328" s="458"/>
      <c r="CP328" s="451"/>
      <c r="CQ328" s="452"/>
      <c r="CR328" s="456"/>
      <c r="CS328" s="457">
        <v>0</v>
      </c>
      <c r="CT328" s="458"/>
      <c r="CU328" s="451"/>
      <c r="CV328" s="452"/>
      <c r="CW328" s="456"/>
      <c r="CX328" s="457">
        <v>266052</v>
      </c>
      <c r="CY328" s="458"/>
      <c r="CZ328" s="451"/>
      <c r="DA328" s="452"/>
      <c r="DB328" s="456"/>
      <c r="DC328" s="457">
        <v>0</v>
      </c>
      <c r="DD328" s="458"/>
      <c r="DE328" s="451"/>
      <c r="DF328" s="452"/>
      <c r="DG328" s="456"/>
      <c r="DH328" s="457">
        <v>0</v>
      </c>
      <c r="DI328" s="458"/>
      <c r="DJ328" s="451"/>
      <c r="DK328" s="452"/>
      <c r="DL328" s="456"/>
      <c r="DM328" s="457">
        <v>0</v>
      </c>
      <c r="DN328" s="458"/>
      <c r="DO328" s="451"/>
      <c r="DP328" s="452"/>
      <c r="DQ328" s="456"/>
      <c r="DR328" s="457">
        <v>0</v>
      </c>
      <c r="DS328" s="458"/>
      <c r="DT328" s="451"/>
      <c r="DU328" s="452"/>
      <c r="DV328" s="456"/>
      <c r="DW328" s="457">
        <v>0</v>
      </c>
      <c r="DX328" s="458"/>
      <c r="DY328" s="451"/>
      <c r="DZ328" s="452"/>
      <c r="EA328" s="456"/>
      <c r="EB328" s="457">
        <v>0</v>
      </c>
      <c r="EC328" s="458"/>
      <c r="ED328" s="451"/>
      <c r="EE328" s="452"/>
      <c r="EF328" s="456"/>
      <c r="EG328" s="457">
        <v>0</v>
      </c>
      <c r="EH328" s="458"/>
      <c r="EI328" s="451"/>
      <c r="EJ328" s="452"/>
      <c r="EK328" s="456"/>
      <c r="EL328" s="457">
        <f>SUM(CD328:DW328)</f>
        <v>266052</v>
      </c>
      <c r="EM328" s="458"/>
      <c r="EN328" s="451"/>
      <c r="EO328" s="13"/>
      <c r="ER328" s="14"/>
      <c r="ES328" s="14"/>
    </row>
    <row r="329" spans="4:149" x14ac:dyDescent="0.2">
      <c r="D329" s="13"/>
      <c r="G329" s="451"/>
      <c r="H329" s="451"/>
      <c r="I329" s="451"/>
      <c r="J329" s="452"/>
      <c r="K329" s="451"/>
      <c r="L329" s="451"/>
      <c r="M329" s="451"/>
      <c r="N329" s="451"/>
      <c r="O329" s="452"/>
      <c r="P329" s="451"/>
      <c r="Q329" s="451"/>
      <c r="R329" s="451"/>
      <c r="S329" s="451"/>
      <c r="T329" s="452"/>
      <c r="U329" s="451"/>
      <c r="V329" s="451"/>
      <c r="W329" s="451"/>
      <c r="X329" s="451"/>
      <c r="Y329" s="452"/>
      <c r="Z329" s="451"/>
      <c r="AA329" s="451"/>
      <c r="AB329" s="451"/>
      <c r="AC329" s="451"/>
      <c r="AD329" s="452"/>
      <c r="AE329" s="451"/>
      <c r="AF329" s="451"/>
      <c r="AG329" s="451"/>
      <c r="AH329" s="451"/>
      <c r="AI329" s="452"/>
      <c r="AJ329" s="451"/>
      <c r="AK329" s="451"/>
      <c r="AL329" s="451"/>
      <c r="AM329" s="451"/>
      <c r="AN329" s="452"/>
      <c r="AO329" s="451"/>
      <c r="AP329" s="451"/>
      <c r="AQ329" s="451"/>
      <c r="AR329" s="451"/>
      <c r="AS329" s="452"/>
      <c r="AT329" s="451"/>
      <c r="AU329" s="451"/>
      <c r="AV329" s="451"/>
      <c r="AW329" s="451"/>
      <c r="AX329" s="452"/>
      <c r="AY329" s="451"/>
      <c r="AZ329" s="451"/>
      <c r="BA329" s="451"/>
      <c r="BB329" s="451"/>
      <c r="BC329" s="452"/>
      <c r="BD329" s="451"/>
      <c r="BE329" s="451"/>
      <c r="BF329" s="451"/>
      <c r="BG329" s="451"/>
      <c r="BH329" s="452"/>
      <c r="BI329" s="451"/>
      <c r="BJ329" s="451"/>
      <c r="BK329" s="451"/>
      <c r="BL329" s="451"/>
      <c r="BM329" s="452"/>
      <c r="BN329" s="451"/>
      <c r="BO329" s="451"/>
      <c r="BP329" s="451"/>
      <c r="BQ329" s="451"/>
      <c r="BR329" s="452"/>
      <c r="BS329" s="451"/>
      <c r="BT329" s="451"/>
      <c r="BU329" s="451"/>
      <c r="BV329" s="451"/>
      <c r="BW329" s="452"/>
      <c r="BX329" s="451"/>
      <c r="BY329" s="451"/>
      <c r="BZ329" s="451"/>
      <c r="CA329" s="451"/>
      <c r="CB329" s="452"/>
      <c r="CC329" s="451"/>
      <c r="CD329" s="451"/>
      <c r="CE329" s="451"/>
      <c r="CF329" s="451"/>
      <c r="CG329" s="452"/>
      <c r="CH329" s="451"/>
      <c r="CI329" s="451"/>
      <c r="CJ329" s="451"/>
      <c r="CK329" s="451"/>
      <c r="CL329" s="452"/>
      <c r="CM329" s="451"/>
      <c r="CN329" s="451"/>
      <c r="CO329" s="451"/>
      <c r="CP329" s="451"/>
      <c r="CQ329" s="452"/>
      <c r="CR329" s="451"/>
      <c r="CS329" s="451"/>
      <c r="CT329" s="451"/>
      <c r="CU329" s="451"/>
      <c r="CV329" s="452"/>
      <c r="CW329" s="451"/>
      <c r="CX329" s="451"/>
      <c r="CY329" s="451"/>
      <c r="CZ329" s="451"/>
      <c r="DA329" s="452"/>
      <c r="DB329" s="451"/>
      <c r="DC329" s="451"/>
      <c r="DD329" s="451"/>
      <c r="DE329" s="451"/>
      <c r="DF329" s="452"/>
      <c r="DG329" s="451"/>
      <c r="DH329" s="451"/>
      <c r="DI329" s="451"/>
      <c r="DJ329" s="451"/>
      <c r="DK329" s="452"/>
      <c r="DL329" s="451"/>
      <c r="DM329" s="451"/>
      <c r="DN329" s="451"/>
      <c r="DO329" s="451"/>
      <c r="DP329" s="452"/>
      <c r="DQ329" s="451"/>
      <c r="DR329" s="451"/>
      <c r="DS329" s="451"/>
      <c r="DT329" s="451"/>
      <c r="DU329" s="452"/>
      <c r="DV329" s="451"/>
      <c r="DW329" s="451"/>
      <c r="DX329" s="451"/>
      <c r="DY329" s="451"/>
      <c r="DZ329" s="452"/>
      <c r="EA329" s="451"/>
      <c r="EB329" s="451"/>
      <c r="EC329" s="451"/>
      <c r="ED329" s="451"/>
      <c r="EE329" s="452"/>
      <c r="EF329" s="451"/>
      <c r="EG329" s="451"/>
      <c r="EH329" s="451"/>
      <c r="EI329" s="451"/>
      <c r="EJ329" s="452"/>
      <c r="EK329" s="451"/>
      <c r="EL329" s="451"/>
      <c r="EM329" s="451"/>
      <c r="EN329" s="451"/>
      <c r="EO329" s="13"/>
      <c r="ER329" s="14"/>
      <c r="ES329" s="14"/>
    </row>
    <row r="330" spans="4:149" x14ac:dyDescent="0.2">
      <c r="D330" s="13" t="s">
        <v>361</v>
      </c>
      <c r="G330" s="1">
        <v>0</v>
      </c>
      <c r="I330" s="451"/>
      <c r="J330" s="452"/>
      <c r="K330" s="451"/>
      <c r="L330" s="451">
        <f>SUM(L331:L331)</f>
        <v>0</v>
      </c>
      <c r="M330" s="451"/>
      <c r="N330" s="451"/>
      <c r="O330" s="452"/>
      <c r="P330" s="451"/>
      <c r="Q330" s="451">
        <f>SUM(Q331:Q331)</f>
        <v>0</v>
      </c>
      <c r="R330" s="451"/>
      <c r="S330" s="451"/>
      <c r="T330" s="452"/>
      <c r="U330" s="451"/>
      <c r="V330" s="451">
        <f>SUM(V331:V331)</f>
        <v>0</v>
      </c>
      <c r="W330" s="451"/>
      <c r="X330" s="451"/>
      <c r="Y330" s="452"/>
      <c r="Z330" s="451"/>
      <c r="AA330" s="451">
        <f>SUM(AA331:AA331)</f>
        <v>0</v>
      </c>
      <c r="AB330" s="451"/>
      <c r="AC330" s="451"/>
      <c r="AD330" s="452"/>
      <c r="AE330" s="451"/>
      <c r="AF330" s="451">
        <f>SUM(AF331:AF331)</f>
        <v>0</v>
      </c>
      <c r="AG330" s="451"/>
      <c r="AH330" s="451"/>
      <c r="AI330" s="452"/>
      <c r="AJ330" s="451"/>
      <c r="AK330" s="451">
        <f>SUM(AK331:AK331)</f>
        <v>18552</v>
      </c>
      <c r="AL330" s="451"/>
      <c r="AM330" s="451"/>
      <c r="AN330" s="452"/>
      <c r="AO330" s="451"/>
      <c r="AP330" s="451">
        <f>SUM(AP331:AP331)</f>
        <v>0</v>
      </c>
      <c r="AQ330" s="451"/>
      <c r="AR330" s="451"/>
      <c r="AS330" s="452"/>
      <c r="AT330" s="451"/>
      <c r="AU330" s="451">
        <f>SUM(AU331:AU331)</f>
        <v>0</v>
      </c>
      <c r="AV330" s="451"/>
      <c r="AW330" s="451"/>
      <c r="AX330" s="452"/>
      <c r="AY330" s="451"/>
      <c r="AZ330" s="451">
        <f>SUM(AZ331:AZ331)</f>
        <v>0</v>
      </c>
      <c r="BA330" s="451"/>
      <c r="BB330" s="451"/>
      <c r="BC330" s="452"/>
      <c r="BD330" s="451"/>
      <c r="BE330" s="451">
        <f>SUM(BE331:BE331)</f>
        <v>0</v>
      </c>
      <c r="BF330" s="451"/>
      <c r="BG330" s="451"/>
      <c r="BH330" s="452"/>
      <c r="BI330" s="451"/>
      <c r="BJ330" s="451">
        <f>SUM(BJ331:BJ331)</f>
        <v>0</v>
      </c>
      <c r="BK330" s="451"/>
      <c r="BL330" s="451"/>
      <c r="BM330" s="452"/>
      <c r="BN330" s="451"/>
      <c r="BO330" s="451">
        <f>SUM(BO331:BO331)</f>
        <v>0</v>
      </c>
      <c r="BP330" s="451"/>
      <c r="BQ330" s="451"/>
      <c r="BR330" s="452"/>
      <c r="BS330" s="451"/>
      <c r="BT330" s="451">
        <f>SUM(BT331:BT331)</f>
        <v>18552</v>
      </c>
      <c r="BU330" s="451"/>
      <c r="BV330" s="451"/>
      <c r="BW330" s="452"/>
      <c r="BX330" s="451"/>
      <c r="BY330" s="451">
        <f>SUM(BY331:BY331)</f>
        <v>0</v>
      </c>
      <c r="CA330" s="451"/>
      <c r="CB330" s="452"/>
      <c r="CC330" s="451"/>
      <c r="CD330" s="451">
        <f>SUM(CD331:CD331)</f>
        <v>0</v>
      </c>
      <c r="CE330" s="451"/>
      <c r="CF330" s="451"/>
      <c r="CG330" s="452"/>
      <c r="CH330" s="451"/>
      <c r="CI330" s="451">
        <f>SUM(CI331:CI331)</f>
        <v>0</v>
      </c>
      <c r="CJ330" s="451"/>
      <c r="CK330" s="451"/>
      <c r="CL330" s="452"/>
      <c r="CM330" s="451"/>
      <c r="CN330" s="451">
        <f>SUM(CN331:CN331)</f>
        <v>0</v>
      </c>
      <c r="CO330" s="451"/>
      <c r="CP330" s="451"/>
      <c r="CQ330" s="452"/>
      <c r="CR330" s="451"/>
      <c r="CS330" s="451">
        <f>SUM(CS331:CS331)</f>
        <v>0</v>
      </c>
      <c r="CT330" s="451"/>
      <c r="CU330" s="451"/>
      <c r="CV330" s="452"/>
      <c r="CW330" s="451"/>
      <c r="CX330" s="451">
        <f>SUM(CX331:CX331)</f>
        <v>0</v>
      </c>
      <c r="CY330" s="451"/>
      <c r="CZ330" s="451"/>
      <c r="DA330" s="452"/>
      <c r="DB330" s="451"/>
      <c r="DC330" s="451">
        <f>SUM(DC331:DC331)</f>
        <v>0</v>
      </c>
      <c r="DD330" s="451"/>
      <c r="DE330" s="451"/>
      <c r="DF330" s="452"/>
      <c r="DG330" s="451"/>
      <c r="DH330" s="451">
        <f>SUM(DH331:DH331)</f>
        <v>0</v>
      </c>
      <c r="DI330" s="451"/>
      <c r="DJ330" s="451"/>
      <c r="DK330" s="452"/>
      <c r="DL330" s="451"/>
      <c r="DM330" s="451">
        <f>SUM(DM331:DM331)</f>
        <v>0</v>
      </c>
      <c r="DN330" s="451"/>
      <c r="DO330" s="451"/>
      <c r="DP330" s="452"/>
      <c r="DQ330" s="451"/>
      <c r="DR330" s="451">
        <f>SUM(DR331:DR331)</f>
        <v>0</v>
      </c>
      <c r="DS330" s="451"/>
      <c r="DT330" s="451"/>
      <c r="DU330" s="452"/>
      <c r="DV330" s="451"/>
      <c r="DW330" s="451">
        <f>SUM(DW331:DW331)</f>
        <v>0</v>
      </c>
      <c r="DX330" s="451"/>
      <c r="DY330" s="451"/>
      <c r="DZ330" s="452"/>
      <c r="EA330" s="451"/>
      <c r="EB330" s="451">
        <f>SUM(EB331:EB331)</f>
        <v>0</v>
      </c>
      <c r="EC330" s="451"/>
      <c r="ED330" s="451"/>
      <c r="EE330" s="452"/>
      <c r="EF330" s="451"/>
      <c r="EG330" s="451">
        <f>SUM(EG331:EG331)</f>
        <v>0</v>
      </c>
      <c r="EH330" s="451"/>
      <c r="EI330" s="451"/>
      <c r="EJ330" s="452"/>
      <c r="EK330" s="451"/>
      <c r="EL330" s="451">
        <f>SUM(EL331:EL331)</f>
        <v>0</v>
      </c>
      <c r="EM330" s="451"/>
      <c r="EN330" s="451"/>
      <c r="EO330" s="13"/>
      <c r="ER330" s="14"/>
      <c r="ES330" s="14"/>
    </row>
    <row r="331" spans="4:149" x14ac:dyDescent="0.2">
      <c r="D331" s="13" t="s">
        <v>347</v>
      </c>
      <c r="F331" s="456"/>
      <c r="G331" s="457">
        <v>0</v>
      </c>
      <c r="H331" s="458"/>
      <c r="I331" s="451"/>
      <c r="J331" s="452"/>
      <c r="K331" s="456"/>
      <c r="L331" s="457">
        <v>0</v>
      </c>
      <c r="M331" s="458"/>
      <c r="N331" s="451"/>
      <c r="O331" s="452"/>
      <c r="P331" s="456"/>
      <c r="Q331" s="457">
        <v>0</v>
      </c>
      <c r="R331" s="458"/>
      <c r="S331" s="451"/>
      <c r="T331" s="452"/>
      <c r="U331" s="456"/>
      <c r="V331" s="457">
        <v>0</v>
      </c>
      <c r="W331" s="458"/>
      <c r="X331" s="451"/>
      <c r="Y331" s="452"/>
      <c r="Z331" s="456"/>
      <c r="AA331" s="457">
        <v>0</v>
      </c>
      <c r="AB331" s="458"/>
      <c r="AC331" s="451"/>
      <c r="AD331" s="452"/>
      <c r="AE331" s="456"/>
      <c r="AF331" s="457">
        <v>0</v>
      </c>
      <c r="AG331" s="458"/>
      <c r="AH331" s="451"/>
      <c r="AI331" s="452"/>
      <c r="AJ331" s="456"/>
      <c r="AK331" s="457">
        <v>18552</v>
      </c>
      <c r="AL331" s="458"/>
      <c r="AM331" s="451"/>
      <c r="AN331" s="452"/>
      <c r="AO331" s="456"/>
      <c r="AP331" s="457">
        <v>0</v>
      </c>
      <c r="AQ331" s="458"/>
      <c r="AR331" s="451"/>
      <c r="AS331" s="452"/>
      <c r="AT331" s="456"/>
      <c r="AU331" s="457">
        <v>0</v>
      </c>
      <c r="AV331" s="458"/>
      <c r="AW331" s="451"/>
      <c r="AX331" s="452"/>
      <c r="AY331" s="456"/>
      <c r="AZ331" s="457">
        <v>0</v>
      </c>
      <c r="BA331" s="458"/>
      <c r="BB331" s="451"/>
      <c r="BC331" s="452"/>
      <c r="BD331" s="456"/>
      <c r="BE331" s="457">
        <v>0</v>
      </c>
      <c r="BF331" s="458"/>
      <c r="BG331" s="451"/>
      <c r="BH331" s="452"/>
      <c r="BI331" s="456"/>
      <c r="BJ331" s="457">
        <v>0</v>
      </c>
      <c r="BK331" s="458"/>
      <c r="BL331" s="451"/>
      <c r="BM331" s="452"/>
      <c r="BN331" s="456"/>
      <c r="BO331" s="457">
        <v>0</v>
      </c>
      <c r="BP331" s="458"/>
      <c r="BQ331" s="451"/>
      <c r="BR331" s="452"/>
      <c r="BS331" s="456"/>
      <c r="BT331" s="457">
        <f>SUM(L331:BO331)</f>
        <v>18552</v>
      </c>
      <c r="BU331" s="458"/>
      <c r="BV331" s="451"/>
      <c r="BW331" s="452"/>
      <c r="BX331" s="456"/>
      <c r="BY331" s="457">
        <v>0</v>
      </c>
      <c r="BZ331" s="458"/>
      <c r="CA331" s="451"/>
      <c r="CB331" s="452"/>
      <c r="CC331" s="456"/>
      <c r="CD331" s="457">
        <v>0</v>
      </c>
      <c r="CE331" s="458"/>
      <c r="CF331" s="451"/>
      <c r="CG331" s="452"/>
      <c r="CH331" s="456"/>
      <c r="CI331" s="457">
        <v>0</v>
      </c>
      <c r="CJ331" s="458"/>
      <c r="CK331" s="451"/>
      <c r="CL331" s="452"/>
      <c r="CM331" s="456"/>
      <c r="CN331" s="457">
        <v>0</v>
      </c>
      <c r="CO331" s="458"/>
      <c r="CP331" s="451"/>
      <c r="CQ331" s="452"/>
      <c r="CR331" s="456"/>
      <c r="CS331" s="457">
        <v>0</v>
      </c>
      <c r="CT331" s="458"/>
      <c r="CU331" s="451"/>
      <c r="CV331" s="452"/>
      <c r="CW331" s="456"/>
      <c r="CX331" s="457">
        <v>0</v>
      </c>
      <c r="CY331" s="458"/>
      <c r="CZ331" s="451"/>
      <c r="DA331" s="452"/>
      <c r="DB331" s="456"/>
      <c r="DC331" s="457">
        <v>0</v>
      </c>
      <c r="DD331" s="458"/>
      <c r="DE331" s="451"/>
      <c r="DF331" s="452"/>
      <c r="DG331" s="456"/>
      <c r="DH331" s="457">
        <v>0</v>
      </c>
      <c r="DI331" s="458"/>
      <c r="DJ331" s="451"/>
      <c r="DK331" s="452"/>
      <c r="DL331" s="456"/>
      <c r="DM331" s="457">
        <v>0</v>
      </c>
      <c r="DN331" s="458"/>
      <c r="DO331" s="451"/>
      <c r="DP331" s="452"/>
      <c r="DQ331" s="456"/>
      <c r="DR331" s="457">
        <v>0</v>
      </c>
      <c r="DS331" s="458"/>
      <c r="DT331" s="451"/>
      <c r="DU331" s="452"/>
      <c r="DV331" s="456"/>
      <c r="DW331" s="457">
        <v>0</v>
      </c>
      <c r="DX331" s="458"/>
      <c r="DY331" s="451"/>
      <c r="DZ331" s="452"/>
      <c r="EA331" s="456"/>
      <c r="EB331" s="457">
        <v>0</v>
      </c>
      <c r="EC331" s="458"/>
      <c r="ED331" s="451"/>
      <c r="EE331" s="452"/>
      <c r="EF331" s="456"/>
      <c r="EG331" s="457">
        <v>0</v>
      </c>
      <c r="EH331" s="458"/>
      <c r="EI331" s="451"/>
      <c r="EJ331" s="452"/>
      <c r="EK331" s="456"/>
      <c r="EL331" s="457">
        <f>SUM(CD331:DW331)</f>
        <v>0</v>
      </c>
      <c r="EM331" s="458"/>
      <c r="EN331" s="451"/>
      <c r="EO331" s="13"/>
      <c r="ER331" s="14"/>
      <c r="ES331" s="14"/>
    </row>
    <row r="332" spans="4:149" x14ac:dyDescent="0.2">
      <c r="D332" s="13"/>
      <c r="G332" s="451"/>
      <c r="H332" s="451"/>
      <c r="I332" s="451"/>
      <c r="J332" s="452"/>
      <c r="L332" s="451"/>
      <c r="M332" s="451"/>
      <c r="N332" s="451"/>
      <c r="O332" s="452"/>
      <c r="Q332" s="451"/>
      <c r="R332" s="451"/>
      <c r="S332" s="451"/>
      <c r="T332" s="452"/>
      <c r="V332" s="451"/>
      <c r="W332" s="451"/>
      <c r="X332" s="451"/>
      <c r="Y332" s="452"/>
      <c r="AA332" s="451"/>
      <c r="AB332" s="451"/>
      <c r="AC332" s="451"/>
      <c r="AD332" s="452"/>
      <c r="AF332" s="451"/>
      <c r="AG332" s="451"/>
      <c r="AH332" s="451"/>
      <c r="AI332" s="452"/>
      <c r="AK332" s="451"/>
      <c r="AL332" s="451"/>
      <c r="AM332" s="451"/>
      <c r="AN332" s="452"/>
      <c r="AP332" s="451"/>
      <c r="AQ332" s="451"/>
      <c r="AR332" s="451"/>
      <c r="AS332" s="452"/>
      <c r="AU332" s="451"/>
      <c r="AV332" s="451"/>
      <c r="AW332" s="451"/>
      <c r="AX332" s="452"/>
      <c r="AZ332" s="451"/>
      <c r="BA332" s="451"/>
      <c r="BB332" s="451"/>
      <c r="BC332" s="452"/>
      <c r="BE332" s="451"/>
      <c r="BF332" s="451"/>
      <c r="BG332" s="451"/>
      <c r="BH332" s="452"/>
      <c r="BJ332" s="451"/>
      <c r="BK332" s="451"/>
      <c r="BL332" s="451"/>
      <c r="BM332" s="452"/>
      <c r="BO332" s="451"/>
      <c r="BP332" s="451"/>
      <c r="BQ332" s="451"/>
      <c r="BR332" s="452"/>
      <c r="BT332" s="451"/>
      <c r="BU332" s="451"/>
      <c r="BV332" s="451"/>
      <c r="BW332" s="452"/>
      <c r="BY332" s="451"/>
      <c r="BZ332" s="451"/>
      <c r="CA332" s="451"/>
      <c r="CB332" s="452"/>
      <c r="CD332" s="451"/>
      <c r="CE332" s="451"/>
      <c r="CF332" s="451"/>
      <c r="CG332" s="452"/>
      <c r="CI332" s="451"/>
      <c r="CJ332" s="451"/>
      <c r="CK332" s="451"/>
      <c r="CL332" s="452"/>
      <c r="CN332" s="451"/>
      <c r="CO332" s="451"/>
      <c r="CP332" s="451"/>
      <c r="CQ332" s="452"/>
      <c r="CS332" s="451"/>
      <c r="CT332" s="451"/>
      <c r="CU332" s="451"/>
      <c r="CV332" s="452"/>
      <c r="CX332" s="451"/>
      <c r="CY332" s="451"/>
      <c r="CZ332" s="451"/>
      <c r="DA332" s="452"/>
      <c r="DC332" s="451"/>
      <c r="DD332" s="451"/>
      <c r="DE332" s="451"/>
      <c r="DF332" s="452"/>
      <c r="DH332" s="451"/>
      <c r="DI332" s="451"/>
      <c r="DJ332" s="451"/>
      <c r="DK332" s="452"/>
      <c r="DM332" s="451"/>
      <c r="DN332" s="451"/>
      <c r="DO332" s="451"/>
      <c r="DP332" s="452"/>
      <c r="DR332" s="451"/>
      <c r="DS332" s="451"/>
      <c r="DT332" s="451"/>
      <c r="DU332" s="452"/>
      <c r="DW332" s="451"/>
      <c r="DX332" s="451"/>
      <c r="DY332" s="451"/>
      <c r="DZ332" s="452"/>
      <c r="EB332" s="451"/>
      <c r="EC332" s="451"/>
      <c r="ED332" s="451"/>
      <c r="EE332" s="452"/>
      <c r="EG332" s="451"/>
      <c r="EH332" s="451"/>
      <c r="EI332" s="451"/>
      <c r="EJ332" s="452"/>
      <c r="EL332" s="451"/>
      <c r="EM332" s="451"/>
      <c r="EN332" s="451"/>
      <c r="EO332" s="13"/>
      <c r="ER332" s="14"/>
      <c r="ES332" s="14"/>
    </row>
    <row r="333" spans="4:149" x14ac:dyDescent="0.2">
      <c r="D333" s="13" t="s">
        <v>377</v>
      </c>
      <c r="G333" s="1">
        <v>0</v>
      </c>
      <c r="I333" s="451"/>
      <c r="J333" s="452"/>
      <c r="K333" s="451"/>
      <c r="L333" s="451">
        <f>SUM(L334:L334)</f>
        <v>0</v>
      </c>
      <c r="M333" s="451"/>
      <c r="N333" s="451"/>
      <c r="O333" s="452"/>
      <c r="P333" s="451"/>
      <c r="Q333" s="451">
        <f>SUM(Q334:Q334)</f>
        <v>0</v>
      </c>
      <c r="R333" s="451"/>
      <c r="S333" s="451"/>
      <c r="T333" s="452"/>
      <c r="U333" s="451"/>
      <c r="V333" s="451">
        <f>SUM(V334:V334)</f>
        <v>0</v>
      </c>
      <c r="W333" s="451"/>
      <c r="X333" s="451"/>
      <c r="Y333" s="452"/>
      <c r="Z333" s="451"/>
      <c r="AA333" s="451">
        <f>SUM(AA334:AA334)</f>
        <v>0</v>
      </c>
      <c r="AB333" s="451"/>
      <c r="AC333" s="451"/>
      <c r="AD333" s="452"/>
      <c r="AE333" s="451"/>
      <c r="AF333" s="451">
        <f>SUM(AF334:AF334)</f>
        <v>0</v>
      </c>
      <c r="AG333" s="451"/>
      <c r="AH333" s="451"/>
      <c r="AI333" s="452"/>
      <c r="AJ333" s="451"/>
      <c r="AK333" s="451">
        <f>SUM(AK334:AK334)</f>
        <v>0</v>
      </c>
      <c r="AL333" s="451"/>
      <c r="AM333" s="451"/>
      <c r="AN333" s="452"/>
      <c r="AO333" s="451"/>
      <c r="AP333" s="451">
        <f>SUM(AP334:AP334)</f>
        <v>0</v>
      </c>
      <c r="AQ333" s="451"/>
      <c r="AR333" s="451"/>
      <c r="AS333" s="452"/>
      <c r="AT333" s="451"/>
      <c r="AU333" s="451">
        <f>SUM(AU334:AU334)</f>
        <v>0</v>
      </c>
      <c r="AV333" s="451"/>
      <c r="AW333" s="451"/>
      <c r="AX333" s="452"/>
      <c r="AY333" s="451"/>
      <c r="AZ333" s="451">
        <f>SUM(AZ334:AZ334)</f>
        <v>0</v>
      </c>
      <c r="BA333" s="451"/>
      <c r="BB333" s="451"/>
      <c r="BC333" s="452"/>
      <c r="BD333" s="451"/>
      <c r="BE333" s="451">
        <f>SUM(BE334:BE334)</f>
        <v>0</v>
      </c>
      <c r="BF333" s="451"/>
      <c r="BG333" s="451"/>
      <c r="BH333" s="452"/>
      <c r="BI333" s="451"/>
      <c r="BJ333" s="451">
        <f>SUM(BJ334:BJ334)</f>
        <v>0</v>
      </c>
      <c r="BK333" s="451"/>
      <c r="BL333" s="451"/>
      <c r="BM333" s="452"/>
      <c r="BN333" s="451"/>
      <c r="BO333" s="451">
        <f>SUM(BO334:BO334)</f>
        <v>0</v>
      </c>
      <c r="BP333" s="451"/>
      <c r="BQ333" s="451"/>
      <c r="BR333" s="452"/>
      <c r="BT333" s="451">
        <f>SUM(BT334:BT334)</f>
        <v>0</v>
      </c>
      <c r="BU333" s="451"/>
      <c r="BV333" s="451"/>
      <c r="BW333" s="452"/>
      <c r="BY333" s="451">
        <f>SUM(BY334:BY334)</f>
        <v>0</v>
      </c>
      <c r="CA333" s="451"/>
      <c r="CB333" s="452"/>
      <c r="CC333" s="451"/>
      <c r="CD333" s="451">
        <f>SUM(CD334:CD334)</f>
        <v>0</v>
      </c>
      <c r="CE333" s="451"/>
      <c r="CF333" s="451"/>
      <c r="CG333" s="452"/>
      <c r="CH333" s="451"/>
      <c r="CI333" s="451">
        <f>SUM(CI334:CI334)</f>
        <v>0</v>
      </c>
      <c r="CJ333" s="451"/>
      <c r="CK333" s="451"/>
      <c r="CL333" s="452"/>
      <c r="CM333" s="451"/>
      <c r="CN333" s="451">
        <f>SUM(CN334:CN334)</f>
        <v>0</v>
      </c>
      <c r="CO333" s="451"/>
      <c r="CP333" s="451"/>
      <c r="CQ333" s="452"/>
      <c r="CR333" s="451"/>
      <c r="CS333" s="451">
        <f>SUM(CS334:CS334)</f>
        <v>0</v>
      </c>
      <c r="CT333" s="451"/>
      <c r="CU333" s="451"/>
      <c r="CV333" s="452"/>
      <c r="CW333" s="451"/>
      <c r="CX333" s="451">
        <f>SUM(CX334:CX334)</f>
        <v>0</v>
      </c>
      <c r="CY333" s="451"/>
      <c r="CZ333" s="451"/>
      <c r="DA333" s="452"/>
      <c r="DB333" s="451"/>
      <c r="DC333" s="451">
        <f>SUM(DC334:DC334)</f>
        <v>0</v>
      </c>
      <c r="DD333" s="451"/>
      <c r="DE333" s="451"/>
      <c r="DF333" s="452"/>
      <c r="DG333" s="451"/>
      <c r="DH333" s="451">
        <f>SUM(DH334:DH334)</f>
        <v>0</v>
      </c>
      <c r="DI333" s="451"/>
      <c r="DJ333" s="451"/>
      <c r="DK333" s="452"/>
      <c r="DL333" s="451"/>
      <c r="DM333" s="451">
        <f>SUM(DM334:DM334)</f>
        <v>0</v>
      </c>
      <c r="DN333" s="451"/>
      <c r="DO333" s="451"/>
      <c r="DP333" s="452"/>
      <c r="DQ333" s="451"/>
      <c r="DR333" s="451">
        <f>SUM(DR334:DR334)</f>
        <v>0</v>
      </c>
      <c r="DS333" s="451"/>
      <c r="DT333" s="451"/>
      <c r="DU333" s="452"/>
      <c r="DV333" s="451"/>
      <c r="DW333" s="451">
        <f>SUM(DW334:DW334)</f>
        <v>0</v>
      </c>
      <c r="DX333" s="451"/>
      <c r="DY333" s="451"/>
      <c r="DZ333" s="452"/>
      <c r="EA333" s="451"/>
      <c r="EB333" s="451">
        <f>SUM(EB334:EB334)</f>
        <v>0</v>
      </c>
      <c r="EC333" s="451"/>
      <c r="ED333" s="451"/>
      <c r="EE333" s="452"/>
      <c r="EF333" s="451"/>
      <c r="EG333" s="451">
        <f>SUM(EG334:EG334)</f>
        <v>0</v>
      </c>
      <c r="EH333" s="451"/>
      <c r="EI333" s="451"/>
      <c r="EJ333" s="452"/>
      <c r="EL333" s="451">
        <f>SUM(EL334:EL334)</f>
        <v>0</v>
      </c>
      <c r="EM333" s="451"/>
      <c r="EN333" s="451"/>
      <c r="EO333" s="13"/>
      <c r="ER333" s="14"/>
      <c r="ES333" s="14"/>
    </row>
    <row r="334" spans="4:149" x14ac:dyDescent="0.2">
      <c r="D334" s="13" t="s">
        <v>347</v>
      </c>
      <c r="F334" s="456"/>
      <c r="G334" s="457">
        <v>0</v>
      </c>
      <c r="H334" s="458"/>
      <c r="I334" s="451"/>
      <c r="J334" s="452"/>
      <c r="K334" s="456"/>
      <c r="L334" s="457">
        <v>0</v>
      </c>
      <c r="M334" s="458"/>
      <c r="N334" s="451"/>
      <c r="O334" s="452"/>
      <c r="P334" s="456"/>
      <c r="Q334" s="457">
        <v>0</v>
      </c>
      <c r="R334" s="458"/>
      <c r="S334" s="451"/>
      <c r="T334" s="452"/>
      <c r="U334" s="456"/>
      <c r="V334" s="457">
        <v>0</v>
      </c>
      <c r="W334" s="458"/>
      <c r="X334" s="451"/>
      <c r="Y334" s="452"/>
      <c r="Z334" s="456"/>
      <c r="AA334" s="457">
        <v>0</v>
      </c>
      <c r="AB334" s="458"/>
      <c r="AC334" s="451"/>
      <c r="AD334" s="452"/>
      <c r="AE334" s="456"/>
      <c r="AF334" s="457">
        <v>0</v>
      </c>
      <c r="AG334" s="458"/>
      <c r="AH334" s="451"/>
      <c r="AI334" s="452"/>
      <c r="AJ334" s="456"/>
      <c r="AK334" s="457">
        <v>0</v>
      </c>
      <c r="AL334" s="458"/>
      <c r="AM334" s="451"/>
      <c r="AN334" s="452"/>
      <c r="AO334" s="456"/>
      <c r="AP334" s="457">
        <v>0</v>
      </c>
      <c r="AQ334" s="458"/>
      <c r="AR334" s="451"/>
      <c r="AS334" s="452"/>
      <c r="AT334" s="456"/>
      <c r="AU334" s="457">
        <v>0</v>
      </c>
      <c r="AV334" s="458"/>
      <c r="AW334" s="451"/>
      <c r="AX334" s="452"/>
      <c r="AY334" s="456"/>
      <c r="AZ334" s="457">
        <v>0</v>
      </c>
      <c r="BA334" s="458"/>
      <c r="BB334" s="451"/>
      <c r="BC334" s="452"/>
      <c r="BD334" s="456"/>
      <c r="BE334" s="457">
        <v>0</v>
      </c>
      <c r="BF334" s="458"/>
      <c r="BG334" s="451"/>
      <c r="BH334" s="452"/>
      <c r="BI334" s="456"/>
      <c r="BJ334" s="457">
        <v>0</v>
      </c>
      <c r="BK334" s="458"/>
      <c r="BL334" s="451"/>
      <c r="BM334" s="452"/>
      <c r="BN334" s="456"/>
      <c r="BO334" s="457">
        <v>0</v>
      </c>
      <c r="BP334" s="458"/>
      <c r="BQ334" s="451"/>
      <c r="BR334" s="452"/>
      <c r="BS334" s="456"/>
      <c r="BT334" s="457">
        <f>SUM(L334:BO334)</f>
        <v>0</v>
      </c>
      <c r="BU334" s="458"/>
      <c r="BV334" s="451"/>
      <c r="BW334" s="452"/>
      <c r="BX334" s="456"/>
      <c r="BY334" s="457">
        <v>0</v>
      </c>
      <c r="BZ334" s="458"/>
      <c r="CA334" s="451"/>
      <c r="CB334" s="452"/>
      <c r="CC334" s="456"/>
      <c r="CD334" s="457">
        <v>0</v>
      </c>
      <c r="CE334" s="458"/>
      <c r="CF334" s="451"/>
      <c r="CG334" s="452"/>
      <c r="CH334" s="456"/>
      <c r="CI334" s="457">
        <v>0</v>
      </c>
      <c r="CJ334" s="458"/>
      <c r="CK334" s="451"/>
      <c r="CL334" s="452"/>
      <c r="CM334" s="456"/>
      <c r="CN334" s="457">
        <v>0</v>
      </c>
      <c r="CO334" s="458"/>
      <c r="CP334" s="451"/>
      <c r="CQ334" s="452"/>
      <c r="CR334" s="456"/>
      <c r="CS334" s="457">
        <v>0</v>
      </c>
      <c r="CT334" s="458"/>
      <c r="CU334" s="451"/>
      <c r="CV334" s="452"/>
      <c r="CW334" s="456"/>
      <c r="CX334" s="457">
        <v>0</v>
      </c>
      <c r="CY334" s="458"/>
      <c r="CZ334" s="451"/>
      <c r="DA334" s="452"/>
      <c r="DB334" s="456"/>
      <c r="DC334" s="457">
        <v>0</v>
      </c>
      <c r="DD334" s="458"/>
      <c r="DE334" s="451"/>
      <c r="DF334" s="452"/>
      <c r="DG334" s="456"/>
      <c r="DH334" s="457">
        <v>0</v>
      </c>
      <c r="DI334" s="458"/>
      <c r="DJ334" s="451"/>
      <c r="DK334" s="452"/>
      <c r="DL334" s="456"/>
      <c r="DM334" s="457">
        <v>0</v>
      </c>
      <c r="DN334" s="458"/>
      <c r="DO334" s="451"/>
      <c r="DP334" s="452"/>
      <c r="DQ334" s="456"/>
      <c r="DR334" s="457">
        <v>0</v>
      </c>
      <c r="DS334" s="458"/>
      <c r="DT334" s="451"/>
      <c r="DU334" s="452"/>
      <c r="DV334" s="456"/>
      <c r="DW334" s="457">
        <v>0</v>
      </c>
      <c r="DX334" s="458"/>
      <c r="DY334" s="451"/>
      <c r="DZ334" s="452"/>
      <c r="EA334" s="456"/>
      <c r="EB334" s="457">
        <v>0</v>
      </c>
      <c r="EC334" s="458"/>
      <c r="ED334" s="451"/>
      <c r="EE334" s="452"/>
      <c r="EF334" s="456"/>
      <c r="EG334" s="457">
        <v>0</v>
      </c>
      <c r="EH334" s="458"/>
      <c r="EI334" s="451"/>
      <c r="EJ334" s="452"/>
      <c r="EK334" s="456"/>
      <c r="EL334" s="457">
        <f>SUM(CD334:DW334)</f>
        <v>0</v>
      </c>
      <c r="EM334" s="458"/>
      <c r="EN334" s="451"/>
      <c r="EO334" s="13"/>
      <c r="ER334" s="14"/>
      <c r="ES334" s="14"/>
    </row>
    <row r="335" spans="4:149" x14ac:dyDescent="0.2">
      <c r="D335" s="13"/>
      <c r="G335" s="451"/>
      <c r="H335" s="451"/>
      <c r="I335" s="451"/>
      <c r="J335" s="452"/>
      <c r="L335" s="451"/>
      <c r="M335" s="451"/>
      <c r="N335" s="451"/>
      <c r="O335" s="452"/>
      <c r="Q335" s="451"/>
      <c r="R335" s="451"/>
      <c r="S335" s="451"/>
      <c r="T335" s="452"/>
      <c r="V335" s="451"/>
      <c r="W335" s="451"/>
      <c r="X335" s="451"/>
      <c r="Y335" s="452"/>
      <c r="AA335" s="451"/>
      <c r="AB335" s="451"/>
      <c r="AC335" s="451"/>
      <c r="AD335" s="452"/>
      <c r="AF335" s="451"/>
      <c r="AG335" s="451"/>
      <c r="AH335" s="451"/>
      <c r="AI335" s="452"/>
      <c r="AK335" s="451"/>
      <c r="AL335" s="451"/>
      <c r="AM335" s="451"/>
      <c r="AN335" s="452"/>
      <c r="AP335" s="451"/>
      <c r="AQ335" s="451"/>
      <c r="AR335" s="451"/>
      <c r="AS335" s="452"/>
      <c r="AU335" s="451"/>
      <c r="AV335" s="451"/>
      <c r="AW335" s="451"/>
      <c r="AX335" s="452"/>
      <c r="AZ335" s="451"/>
      <c r="BA335" s="451"/>
      <c r="BB335" s="451"/>
      <c r="BC335" s="452"/>
      <c r="BE335" s="451"/>
      <c r="BF335" s="451"/>
      <c r="BG335" s="451"/>
      <c r="BH335" s="452"/>
      <c r="BJ335" s="451"/>
      <c r="BK335" s="451"/>
      <c r="BL335" s="451"/>
      <c r="BM335" s="452"/>
      <c r="BO335" s="451"/>
      <c r="BP335" s="451"/>
      <c r="BQ335" s="451"/>
      <c r="BR335" s="452"/>
      <c r="BT335" s="451"/>
      <c r="BU335" s="451"/>
      <c r="BV335" s="451"/>
      <c r="BW335" s="452"/>
      <c r="BY335" s="451"/>
      <c r="BZ335" s="451"/>
      <c r="CA335" s="451"/>
      <c r="CB335" s="452"/>
      <c r="CD335" s="451"/>
      <c r="CE335" s="451"/>
      <c r="CF335" s="451"/>
      <c r="CG335" s="452"/>
      <c r="CI335" s="451"/>
      <c r="CJ335" s="451"/>
      <c r="CK335" s="451"/>
      <c r="CL335" s="452"/>
      <c r="CN335" s="451"/>
      <c r="CO335" s="451"/>
      <c r="CP335" s="451"/>
      <c r="CQ335" s="452"/>
      <c r="CS335" s="451"/>
      <c r="CT335" s="451"/>
      <c r="CU335" s="451"/>
      <c r="CV335" s="452"/>
      <c r="CX335" s="451"/>
      <c r="CY335" s="451"/>
      <c r="CZ335" s="451"/>
      <c r="DA335" s="452"/>
      <c r="DC335" s="451"/>
      <c r="DD335" s="451"/>
      <c r="DE335" s="451"/>
      <c r="DF335" s="452"/>
      <c r="DH335" s="451"/>
      <c r="DI335" s="451"/>
      <c r="DJ335" s="451"/>
      <c r="DK335" s="452"/>
      <c r="DM335" s="451"/>
      <c r="DN335" s="451"/>
      <c r="DO335" s="451"/>
      <c r="DP335" s="452"/>
      <c r="DR335" s="451"/>
      <c r="DS335" s="451"/>
      <c r="DT335" s="451"/>
      <c r="DU335" s="452"/>
      <c r="DW335" s="451"/>
      <c r="DX335" s="451"/>
      <c r="DY335" s="451"/>
      <c r="DZ335" s="452"/>
      <c r="EB335" s="451"/>
      <c r="EC335" s="451"/>
      <c r="ED335" s="451"/>
      <c r="EE335" s="452"/>
      <c r="EG335" s="451"/>
      <c r="EH335" s="451"/>
      <c r="EI335" s="451"/>
      <c r="EJ335" s="452"/>
      <c r="EL335" s="451"/>
      <c r="EM335" s="451"/>
      <c r="EN335" s="451"/>
      <c r="EO335" s="13"/>
      <c r="ER335" s="14"/>
      <c r="ES335" s="14"/>
    </row>
    <row r="336" spans="4:149" ht="12.75" customHeight="1" x14ac:dyDescent="0.2">
      <c r="D336" s="13" t="s">
        <v>413</v>
      </c>
      <c r="G336" s="1">
        <f>SUM(G337)</f>
        <v>0</v>
      </c>
      <c r="I336" s="451"/>
      <c r="J336" s="452"/>
      <c r="K336" s="451"/>
      <c r="L336" s="451">
        <f>SUM(L337:L337)</f>
        <v>0</v>
      </c>
      <c r="M336" s="451"/>
      <c r="N336" s="451"/>
      <c r="O336" s="452"/>
      <c r="P336" s="451"/>
      <c r="Q336" s="451">
        <f>SUM(Q337:Q337)</f>
        <v>0</v>
      </c>
      <c r="R336" s="451"/>
      <c r="S336" s="451"/>
      <c r="T336" s="452"/>
      <c r="U336" s="451"/>
      <c r="V336" s="451">
        <f>SUM(V337:V337)</f>
        <v>0</v>
      </c>
      <c r="W336" s="451"/>
      <c r="X336" s="451"/>
      <c r="Y336" s="452"/>
      <c r="Z336" s="451"/>
      <c r="AA336" s="451">
        <f>SUM(AA337:AA337)</f>
        <v>0</v>
      </c>
      <c r="AB336" s="451"/>
      <c r="AC336" s="451"/>
      <c r="AD336" s="452"/>
      <c r="AE336" s="451"/>
      <c r="AF336" s="451">
        <f>SUM(AF337:AF337)</f>
        <v>0</v>
      </c>
      <c r="AG336" s="451"/>
      <c r="AH336" s="451"/>
      <c r="AI336" s="452"/>
      <c r="AJ336" s="451"/>
      <c r="AK336" s="451">
        <f>SUM(AK337:AK337)</f>
        <v>0</v>
      </c>
      <c r="AL336" s="451"/>
      <c r="AM336" s="451"/>
      <c r="AN336" s="452"/>
      <c r="AO336" s="451"/>
      <c r="AP336" s="451">
        <f>SUM(AP337:AP337)</f>
        <v>0</v>
      </c>
      <c r="AQ336" s="451"/>
      <c r="AR336" s="451"/>
      <c r="AS336" s="452"/>
      <c r="AT336" s="451"/>
      <c r="AU336" s="451">
        <f>SUM(AU337:AU337)</f>
        <v>0</v>
      </c>
      <c r="AV336" s="451"/>
      <c r="AW336" s="451"/>
      <c r="AX336" s="452"/>
      <c r="AY336" s="451"/>
      <c r="AZ336" s="451">
        <f>SUM(AZ337:AZ337)</f>
        <v>0</v>
      </c>
      <c r="BA336" s="451"/>
      <c r="BB336" s="451"/>
      <c r="BC336" s="452"/>
      <c r="BD336" s="451"/>
      <c r="BE336" s="451">
        <f>SUM(BE337:BE337)</f>
        <v>0</v>
      </c>
      <c r="BF336" s="451"/>
      <c r="BG336" s="451"/>
      <c r="BH336" s="452"/>
      <c r="BI336" s="451"/>
      <c r="BJ336" s="451">
        <f>SUM(BJ337:BJ337)</f>
        <v>0</v>
      </c>
      <c r="BK336" s="451"/>
      <c r="BL336" s="451"/>
      <c r="BM336" s="452"/>
      <c r="BN336" s="451"/>
      <c r="BO336" s="451">
        <f>SUM(BO337:BO337)</f>
        <v>0</v>
      </c>
      <c r="BP336" s="451"/>
      <c r="BQ336" s="451"/>
      <c r="BR336" s="452"/>
      <c r="BT336" s="451">
        <f>SUM(BT337:BT337)</f>
        <v>0</v>
      </c>
      <c r="BU336" s="451"/>
      <c r="BV336" s="451"/>
      <c r="BW336" s="452"/>
      <c r="BY336" s="451">
        <f>SUM(BY337:BY337)</f>
        <v>470894</v>
      </c>
      <c r="CA336" s="451"/>
      <c r="CB336" s="452"/>
      <c r="CC336" s="451"/>
      <c r="CD336" s="451">
        <f>SUM(CD337:CD337)</f>
        <v>0</v>
      </c>
      <c r="CE336" s="451"/>
      <c r="CF336" s="451"/>
      <c r="CG336" s="452"/>
      <c r="CH336" s="451"/>
      <c r="CI336" s="451">
        <f>SUM(CI337:CI337)</f>
        <v>0</v>
      </c>
      <c r="CJ336" s="451"/>
      <c r="CK336" s="451"/>
      <c r="CL336" s="452"/>
      <c r="CM336" s="451"/>
      <c r="CN336" s="451">
        <f>SUM(CN337:CN337)</f>
        <v>0</v>
      </c>
      <c r="CO336" s="451"/>
      <c r="CP336" s="451"/>
      <c r="CQ336" s="452"/>
      <c r="CR336" s="451"/>
      <c r="CS336" s="451">
        <f>SUM(CS337:CS337)</f>
        <v>0</v>
      </c>
      <c r="CT336" s="451"/>
      <c r="CU336" s="451"/>
      <c r="CV336" s="452"/>
      <c r="CW336" s="451"/>
      <c r="CX336" s="451">
        <f>SUM(CX337:CX337)</f>
        <v>23165</v>
      </c>
      <c r="CY336" s="451"/>
      <c r="CZ336" s="451"/>
      <c r="DA336" s="452"/>
      <c r="DB336" s="451"/>
      <c r="DC336" s="451">
        <f>SUM(DC337:DC337)</f>
        <v>0</v>
      </c>
      <c r="DD336" s="451"/>
      <c r="DE336" s="451"/>
      <c r="DF336" s="452"/>
      <c r="DG336" s="451"/>
      <c r="DH336" s="451">
        <f>SUM(DH337:DH337)</f>
        <v>0</v>
      </c>
      <c r="DI336" s="451"/>
      <c r="DJ336" s="451"/>
      <c r="DK336" s="452"/>
      <c r="DL336" s="451"/>
      <c r="DM336" s="451">
        <f>SUM(DM337:DM337)</f>
        <v>0</v>
      </c>
      <c r="DN336" s="451"/>
      <c r="DO336" s="451"/>
      <c r="DP336" s="452"/>
      <c r="DQ336" s="451"/>
      <c r="DR336" s="451">
        <f>SUM(DR337:DR337)</f>
        <v>0</v>
      </c>
      <c r="DS336" s="451"/>
      <c r="DT336" s="451"/>
      <c r="DU336" s="452"/>
      <c r="DV336" s="451"/>
      <c r="DW336" s="451">
        <f>SUM(DW337:DW337)</f>
        <v>0</v>
      </c>
      <c r="DX336" s="451"/>
      <c r="DY336" s="451"/>
      <c r="DZ336" s="452"/>
      <c r="EA336" s="451"/>
      <c r="EB336" s="451">
        <f>SUM(EB337:EB337)</f>
        <v>0</v>
      </c>
      <c r="EC336" s="451"/>
      <c r="ED336" s="451"/>
      <c r="EE336" s="452"/>
      <c r="EF336" s="451"/>
      <c r="EG336" s="451">
        <f>SUM(EG337:EG337)</f>
        <v>447729</v>
      </c>
      <c r="EH336" s="451"/>
      <c r="EI336" s="451"/>
      <c r="EJ336" s="452"/>
      <c r="EL336" s="451">
        <f>SUM(EL337:EL337)</f>
        <v>23165</v>
      </c>
      <c r="EM336" s="451"/>
      <c r="EN336" s="451"/>
      <c r="EO336" s="13"/>
      <c r="ER336" s="14"/>
      <c r="ES336" s="14"/>
    </row>
    <row r="337" spans="4:149" ht="12.75" customHeight="1" x14ac:dyDescent="0.2">
      <c r="D337" s="13" t="s">
        <v>347</v>
      </c>
      <c r="F337" s="456"/>
      <c r="G337" s="457">
        <v>0</v>
      </c>
      <c r="H337" s="458"/>
      <c r="I337" s="451"/>
      <c r="J337" s="452"/>
      <c r="K337" s="456"/>
      <c r="L337" s="457">
        <v>0</v>
      </c>
      <c r="M337" s="458"/>
      <c r="N337" s="451"/>
      <c r="O337" s="452"/>
      <c r="P337" s="456"/>
      <c r="Q337" s="457">
        <v>0</v>
      </c>
      <c r="R337" s="458"/>
      <c r="S337" s="451"/>
      <c r="T337" s="452"/>
      <c r="U337" s="456"/>
      <c r="V337" s="457">
        <v>0</v>
      </c>
      <c r="W337" s="458"/>
      <c r="X337" s="451"/>
      <c r="Y337" s="452"/>
      <c r="Z337" s="456"/>
      <c r="AA337" s="457">
        <v>0</v>
      </c>
      <c r="AB337" s="458"/>
      <c r="AC337" s="451"/>
      <c r="AD337" s="452"/>
      <c r="AE337" s="456"/>
      <c r="AF337" s="457">
        <v>0</v>
      </c>
      <c r="AG337" s="458"/>
      <c r="AH337" s="451"/>
      <c r="AI337" s="452"/>
      <c r="AJ337" s="456"/>
      <c r="AK337" s="457">
        <v>0</v>
      </c>
      <c r="AL337" s="458"/>
      <c r="AM337" s="451"/>
      <c r="AN337" s="452"/>
      <c r="AO337" s="456"/>
      <c r="AP337" s="457">
        <v>0</v>
      </c>
      <c r="AQ337" s="458"/>
      <c r="AR337" s="451"/>
      <c r="AS337" s="452"/>
      <c r="AT337" s="456"/>
      <c r="AU337" s="457">
        <v>0</v>
      </c>
      <c r="AV337" s="458"/>
      <c r="AW337" s="451"/>
      <c r="AX337" s="452"/>
      <c r="AY337" s="456"/>
      <c r="AZ337" s="457">
        <v>0</v>
      </c>
      <c r="BA337" s="458"/>
      <c r="BB337" s="451"/>
      <c r="BC337" s="452"/>
      <c r="BD337" s="456"/>
      <c r="BE337" s="457">
        <v>0</v>
      </c>
      <c r="BF337" s="458"/>
      <c r="BG337" s="451"/>
      <c r="BH337" s="452"/>
      <c r="BI337" s="456"/>
      <c r="BJ337" s="457">
        <v>0</v>
      </c>
      <c r="BK337" s="458"/>
      <c r="BL337" s="451"/>
      <c r="BM337" s="452"/>
      <c r="BN337" s="456"/>
      <c r="BO337" s="457">
        <v>0</v>
      </c>
      <c r="BP337" s="458"/>
      <c r="BQ337" s="451"/>
      <c r="BR337" s="452"/>
      <c r="BS337" s="456"/>
      <c r="BT337" s="457">
        <f>SUM(L337:BO337)</f>
        <v>0</v>
      </c>
      <c r="BU337" s="458"/>
      <c r="BV337" s="451"/>
      <c r="BW337" s="452"/>
      <c r="BX337" s="456"/>
      <c r="BY337" s="457">
        <v>470894</v>
      </c>
      <c r="BZ337" s="458"/>
      <c r="CA337" s="451"/>
      <c r="CB337" s="452"/>
      <c r="CC337" s="456"/>
      <c r="CD337" s="457">
        <v>0</v>
      </c>
      <c r="CE337" s="458"/>
      <c r="CF337" s="451"/>
      <c r="CG337" s="452"/>
      <c r="CH337" s="456"/>
      <c r="CI337" s="457">
        <v>0</v>
      </c>
      <c r="CJ337" s="458"/>
      <c r="CK337" s="451"/>
      <c r="CL337" s="452"/>
      <c r="CM337" s="456"/>
      <c r="CN337" s="457">
        <v>0</v>
      </c>
      <c r="CO337" s="458"/>
      <c r="CP337" s="451"/>
      <c r="CQ337" s="452"/>
      <c r="CR337" s="456"/>
      <c r="CS337" s="457">
        <v>0</v>
      </c>
      <c r="CT337" s="458"/>
      <c r="CU337" s="451"/>
      <c r="CV337" s="452"/>
      <c r="CW337" s="456"/>
      <c r="CX337" s="457">
        <v>23165</v>
      </c>
      <c r="CY337" s="458"/>
      <c r="CZ337" s="451"/>
      <c r="DA337" s="452"/>
      <c r="DB337" s="456"/>
      <c r="DC337" s="457">
        <v>0</v>
      </c>
      <c r="DD337" s="458"/>
      <c r="DE337" s="451"/>
      <c r="DF337" s="452"/>
      <c r="DG337" s="456"/>
      <c r="DH337" s="457">
        <v>0</v>
      </c>
      <c r="DI337" s="458"/>
      <c r="DJ337" s="451"/>
      <c r="DK337" s="452"/>
      <c r="DL337" s="456"/>
      <c r="DM337" s="457">
        <v>0</v>
      </c>
      <c r="DN337" s="458"/>
      <c r="DO337" s="451"/>
      <c r="DP337" s="452"/>
      <c r="DQ337" s="456"/>
      <c r="DR337" s="457">
        <v>0</v>
      </c>
      <c r="DS337" s="458"/>
      <c r="DT337" s="451"/>
      <c r="DU337" s="452"/>
      <c r="DV337" s="456"/>
      <c r="DW337" s="457">
        <v>0</v>
      </c>
      <c r="DX337" s="458"/>
      <c r="DY337" s="451"/>
      <c r="DZ337" s="452"/>
      <c r="EA337" s="456"/>
      <c r="EB337" s="457">
        <v>0</v>
      </c>
      <c r="EC337" s="458"/>
      <c r="ED337" s="451"/>
      <c r="EE337" s="452"/>
      <c r="EF337" s="456"/>
      <c r="EG337" s="457">
        <v>447729</v>
      </c>
      <c r="EH337" s="458"/>
      <c r="EI337" s="451"/>
      <c r="EJ337" s="452"/>
      <c r="EK337" s="456"/>
      <c r="EL337" s="457">
        <f>SUM(CD337:DW337)</f>
        <v>23165</v>
      </c>
      <c r="EM337" s="458"/>
      <c r="EN337" s="451"/>
      <c r="EO337" s="13"/>
      <c r="ER337" s="14"/>
      <c r="ES337" s="14"/>
    </row>
    <row r="338" spans="4:149" ht="12.75" customHeight="1" x14ac:dyDescent="0.2">
      <c r="D338" s="13"/>
      <c r="G338" s="451"/>
      <c r="H338" s="451"/>
      <c r="I338" s="451"/>
      <c r="J338" s="452"/>
      <c r="L338" s="451"/>
      <c r="M338" s="451"/>
      <c r="N338" s="451"/>
      <c r="O338" s="452"/>
      <c r="Q338" s="451"/>
      <c r="R338" s="451"/>
      <c r="S338" s="451"/>
      <c r="T338" s="452"/>
      <c r="V338" s="451"/>
      <c r="W338" s="451"/>
      <c r="X338" s="451"/>
      <c r="Y338" s="452"/>
      <c r="AA338" s="451"/>
      <c r="AB338" s="451"/>
      <c r="AC338" s="451"/>
      <c r="AD338" s="452"/>
      <c r="AF338" s="451"/>
      <c r="AG338" s="451"/>
      <c r="AH338" s="451"/>
      <c r="AI338" s="452"/>
      <c r="AK338" s="451"/>
      <c r="AL338" s="451"/>
      <c r="AM338" s="451"/>
      <c r="AN338" s="452"/>
      <c r="AP338" s="451"/>
      <c r="AQ338" s="451"/>
      <c r="AR338" s="451"/>
      <c r="AS338" s="452"/>
      <c r="AU338" s="451"/>
      <c r="AV338" s="451"/>
      <c r="AW338" s="451"/>
      <c r="AX338" s="452"/>
      <c r="AZ338" s="451"/>
      <c r="BA338" s="451"/>
      <c r="BB338" s="451"/>
      <c r="BC338" s="452"/>
      <c r="BE338" s="451"/>
      <c r="BF338" s="451"/>
      <c r="BG338" s="451"/>
      <c r="BH338" s="452"/>
      <c r="BJ338" s="451"/>
      <c r="BK338" s="451"/>
      <c r="BL338" s="451"/>
      <c r="BM338" s="452"/>
      <c r="BO338" s="451"/>
      <c r="BP338" s="451"/>
      <c r="BQ338" s="451"/>
      <c r="BR338" s="452"/>
      <c r="BT338" s="451"/>
      <c r="BU338" s="451"/>
      <c r="BV338" s="451"/>
      <c r="BW338" s="452"/>
      <c r="BY338" s="451"/>
      <c r="BZ338" s="451"/>
      <c r="CA338" s="451"/>
      <c r="CB338" s="452"/>
      <c r="CD338" s="451"/>
      <c r="CE338" s="451"/>
      <c r="CF338" s="451"/>
      <c r="CG338" s="452"/>
      <c r="CI338" s="451"/>
      <c r="CJ338" s="451"/>
      <c r="CK338" s="451"/>
      <c r="CL338" s="452"/>
      <c r="CN338" s="451"/>
      <c r="CO338" s="451"/>
      <c r="CP338" s="451"/>
      <c r="CQ338" s="452"/>
      <c r="CS338" s="451"/>
      <c r="CT338" s="451"/>
      <c r="CU338" s="451"/>
      <c r="CV338" s="452"/>
      <c r="CX338" s="451"/>
      <c r="CY338" s="451"/>
      <c r="CZ338" s="451"/>
      <c r="DA338" s="452"/>
      <c r="DC338" s="451"/>
      <c r="DD338" s="451"/>
      <c r="DE338" s="451"/>
      <c r="DF338" s="452"/>
      <c r="DH338" s="451"/>
      <c r="DI338" s="451"/>
      <c r="DJ338" s="451"/>
      <c r="DK338" s="452"/>
      <c r="DM338" s="451"/>
      <c r="DN338" s="451"/>
      <c r="DO338" s="451"/>
      <c r="DP338" s="452"/>
      <c r="DR338" s="451"/>
      <c r="DS338" s="451"/>
      <c r="DT338" s="451"/>
      <c r="DU338" s="452"/>
      <c r="DW338" s="451"/>
      <c r="DX338" s="451"/>
      <c r="DY338" s="451"/>
      <c r="DZ338" s="452"/>
      <c r="EB338" s="451"/>
      <c r="EC338" s="451"/>
      <c r="ED338" s="451"/>
      <c r="EE338" s="452"/>
      <c r="EG338" s="451"/>
      <c r="EH338" s="451"/>
      <c r="EI338" s="451"/>
      <c r="EJ338" s="452"/>
      <c r="EL338" s="451"/>
      <c r="EM338" s="451"/>
      <c r="EN338" s="451"/>
      <c r="EO338" s="13"/>
      <c r="ER338" s="14"/>
      <c r="ES338" s="14"/>
    </row>
    <row r="339" spans="4:149" x14ac:dyDescent="0.2">
      <c r="D339" s="13" t="s">
        <v>375</v>
      </c>
      <c r="G339" s="1">
        <v>0</v>
      </c>
      <c r="I339" s="451"/>
      <c r="J339" s="452"/>
      <c r="K339" s="451"/>
      <c r="L339" s="451">
        <f>SUM(L340:L340)</f>
        <v>0</v>
      </c>
      <c r="M339" s="451"/>
      <c r="N339" s="451"/>
      <c r="O339" s="452"/>
      <c r="P339" s="451"/>
      <c r="Q339" s="451">
        <f>SUM(Q340:Q340)</f>
        <v>0</v>
      </c>
      <c r="R339" s="451"/>
      <c r="S339" s="451"/>
      <c r="T339" s="452"/>
      <c r="U339" s="451"/>
      <c r="V339" s="451">
        <f>SUM(V340:V340)</f>
        <v>0</v>
      </c>
      <c r="W339" s="451"/>
      <c r="X339" s="451"/>
      <c r="Y339" s="452"/>
      <c r="Z339" s="451"/>
      <c r="AA339" s="451">
        <f>SUM(AA340:AA340)</f>
        <v>0</v>
      </c>
      <c r="AB339" s="451"/>
      <c r="AC339" s="451"/>
      <c r="AD339" s="452"/>
      <c r="AE339" s="451"/>
      <c r="AF339" s="451">
        <f>SUM(AF340:AF340)</f>
        <v>0</v>
      </c>
      <c r="AG339" s="451"/>
      <c r="AH339" s="451"/>
      <c r="AI339" s="452"/>
      <c r="AJ339" s="451"/>
      <c r="AK339" s="451">
        <f>SUM(AK340:AK340)</f>
        <v>0</v>
      </c>
      <c r="AL339" s="451"/>
      <c r="AM339" s="451"/>
      <c r="AN339" s="452"/>
      <c r="AO339" s="451"/>
      <c r="AP339" s="451">
        <f>SUM(AP340:AP340)</f>
        <v>0</v>
      </c>
      <c r="AQ339" s="451"/>
      <c r="AR339" s="451"/>
      <c r="AS339" s="452"/>
      <c r="AT339" s="451"/>
      <c r="AU339" s="451">
        <f>SUM(AU340:AU340)</f>
        <v>0</v>
      </c>
      <c r="AV339" s="451"/>
      <c r="AW339" s="451"/>
      <c r="AX339" s="452"/>
      <c r="AY339" s="451"/>
      <c r="AZ339" s="451">
        <f>SUM(AZ340:AZ340)</f>
        <v>0</v>
      </c>
      <c r="BA339" s="451"/>
      <c r="BB339" s="451"/>
      <c r="BC339" s="452"/>
      <c r="BD339" s="451"/>
      <c r="BE339" s="451">
        <f>SUM(BE340:BE340)</f>
        <v>0</v>
      </c>
      <c r="BF339" s="451"/>
      <c r="BG339" s="451"/>
      <c r="BH339" s="452"/>
      <c r="BI339" s="451"/>
      <c r="BJ339" s="451">
        <f>SUM(BJ340:BJ340)</f>
        <v>0</v>
      </c>
      <c r="BK339" s="451"/>
      <c r="BL339" s="451"/>
      <c r="BM339" s="452"/>
      <c r="BN339" s="451"/>
      <c r="BO339" s="451">
        <f>SUM(BO340:BO340)</f>
        <v>0</v>
      </c>
      <c r="BP339" s="451"/>
      <c r="BQ339" s="451"/>
      <c r="BR339" s="452"/>
      <c r="BT339" s="451">
        <f>SUM(BT340:BT340)</f>
        <v>0</v>
      </c>
      <c r="BU339" s="451"/>
      <c r="BV339" s="451"/>
      <c r="BW339" s="452"/>
      <c r="BY339" s="451">
        <f>SUM(BY340:BY340)</f>
        <v>30810</v>
      </c>
      <c r="CA339" s="451"/>
      <c r="CB339" s="452"/>
      <c r="CC339" s="451"/>
      <c r="CD339" s="451">
        <f>SUM(CD340:CD340)</f>
        <v>0</v>
      </c>
      <c r="CE339" s="451"/>
      <c r="CF339" s="451"/>
      <c r="CG339" s="452"/>
      <c r="CH339" s="451"/>
      <c r="CI339" s="451">
        <f>SUM(CI340:CI340)</f>
        <v>0</v>
      </c>
      <c r="CJ339" s="451"/>
      <c r="CK339" s="451"/>
      <c r="CL339" s="452"/>
      <c r="CM339" s="451"/>
      <c r="CN339" s="451">
        <f>SUM(CN340:CN340)</f>
        <v>0</v>
      </c>
      <c r="CO339" s="451"/>
      <c r="CP339" s="451"/>
      <c r="CQ339" s="452"/>
      <c r="CR339" s="451"/>
      <c r="CS339" s="451">
        <f>SUM(CS340:CS340)</f>
        <v>0</v>
      </c>
      <c r="CT339" s="451"/>
      <c r="CU339" s="451"/>
      <c r="CV339" s="452"/>
      <c r="CW339" s="451"/>
      <c r="CX339" s="451">
        <f>SUM(CX340:CX340)</f>
        <v>0</v>
      </c>
      <c r="CY339" s="451"/>
      <c r="CZ339" s="451"/>
      <c r="DA339" s="452"/>
      <c r="DB339" s="451"/>
      <c r="DC339" s="451">
        <f>SUM(DC340:DC340)</f>
        <v>0</v>
      </c>
      <c r="DD339" s="451"/>
      <c r="DE339" s="451"/>
      <c r="DF339" s="452"/>
      <c r="DG339" s="451"/>
      <c r="DH339" s="451">
        <f>SUM(DH340:DH340)</f>
        <v>0</v>
      </c>
      <c r="DI339" s="451"/>
      <c r="DJ339" s="451"/>
      <c r="DK339" s="452"/>
      <c r="DL339" s="451"/>
      <c r="DM339" s="451">
        <f>SUM(DM340:DM340)</f>
        <v>0</v>
      </c>
      <c r="DN339" s="451"/>
      <c r="DO339" s="451"/>
      <c r="DP339" s="452"/>
      <c r="DQ339" s="451"/>
      <c r="DR339" s="451">
        <f>SUM(DR340:DR340)</f>
        <v>0</v>
      </c>
      <c r="DS339" s="451"/>
      <c r="DT339" s="451"/>
      <c r="DU339" s="452"/>
      <c r="DV339" s="451"/>
      <c r="DW339" s="451">
        <f>SUM(DW340:DW340)</f>
        <v>0</v>
      </c>
      <c r="DX339" s="451"/>
      <c r="DY339" s="451"/>
      <c r="DZ339" s="452"/>
      <c r="EA339" s="451"/>
      <c r="EB339" s="451">
        <f>SUM(EB340:EB340)</f>
        <v>0</v>
      </c>
      <c r="EC339" s="451"/>
      <c r="ED339" s="451"/>
      <c r="EE339" s="452"/>
      <c r="EF339" s="451"/>
      <c r="EG339" s="451">
        <f>SUM(EG340:EG340)</f>
        <v>30810</v>
      </c>
      <c r="EH339" s="451"/>
      <c r="EI339" s="451"/>
      <c r="EJ339" s="452"/>
      <c r="EL339" s="451">
        <f>SUM(EL340:EL340)</f>
        <v>0</v>
      </c>
      <c r="EM339" s="451"/>
      <c r="EN339" s="451"/>
      <c r="EO339" s="13"/>
      <c r="ER339" s="14"/>
      <c r="ES339" s="14"/>
    </row>
    <row r="340" spans="4:149" x14ac:dyDescent="0.2">
      <c r="D340" s="13" t="s">
        <v>347</v>
      </c>
      <c r="F340" s="456"/>
      <c r="G340" s="457">
        <v>0</v>
      </c>
      <c r="H340" s="458"/>
      <c r="I340" s="451"/>
      <c r="J340" s="452"/>
      <c r="K340" s="456"/>
      <c r="L340" s="457">
        <v>0</v>
      </c>
      <c r="M340" s="458"/>
      <c r="N340" s="451"/>
      <c r="O340" s="452"/>
      <c r="P340" s="456"/>
      <c r="Q340" s="457">
        <v>0</v>
      </c>
      <c r="R340" s="458"/>
      <c r="S340" s="451"/>
      <c r="T340" s="452"/>
      <c r="U340" s="456"/>
      <c r="V340" s="457">
        <v>0</v>
      </c>
      <c r="W340" s="458"/>
      <c r="X340" s="451"/>
      <c r="Y340" s="452"/>
      <c r="Z340" s="456"/>
      <c r="AA340" s="457">
        <v>0</v>
      </c>
      <c r="AB340" s="458"/>
      <c r="AC340" s="451"/>
      <c r="AD340" s="452"/>
      <c r="AE340" s="456"/>
      <c r="AF340" s="457">
        <v>0</v>
      </c>
      <c r="AG340" s="458"/>
      <c r="AH340" s="451"/>
      <c r="AI340" s="452"/>
      <c r="AJ340" s="456"/>
      <c r="AK340" s="457">
        <v>0</v>
      </c>
      <c r="AL340" s="458"/>
      <c r="AM340" s="451"/>
      <c r="AN340" s="452"/>
      <c r="AO340" s="456"/>
      <c r="AP340" s="457">
        <v>0</v>
      </c>
      <c r="AQ340" s="458"/>
      <c r="AR340" s="451"/>
      <c r="AS340" s="452"/>
      <c r="AT340" s="456"/>
      <c r="AU340" s="457">
        <v>0</v>
      </c>
      <c r="AV340" s="458"/>
      <c r="AW340" s="451"/>
      <c r="AX340" s="452"/>
      <c r="AY340" s="456"/>
      <c r="AZ340" s="457">
        <v>0</v>
      </c>
      <c r="BA340" s="458"/>
      <c r="BB340" s="451"/>
      <c r="BC340" s="452"/>
      <c r="BD340" s="456"/>
      <c r="BE340" s="457">
        <v>0</v>
      </c>
      <c r="BF340" s="458"/>
      <c r="BG340" s="451"/>
      <c r="BH340" s="452"/>
      <c r="BI340" s="456"/>
      <c r="BJ340" s="457">
        <v>0</v>
      </c>
      <c r="BK340" s="458"/>
      <c r="BL340" s="451"/>
      <c r="BM340" s="452"/>
      <c r="BN340" s="456"/>
      <c r="BO340" s="457">
        <v>0</v>
      </c>
      <c r="BP340" s="458"/>
      <c r="BQ340" s="451"/>
      <c r="BR340" s="452"/>
      <c r="BS340" s="456"/>
      <c r="BT340" s="457">
        <f>SUM(L340:BO340)</f>
        <v>0</v>
      </c>
      <c r="BU340" s="458"/>
      <c r="BV340" s="451"/>
      <c r="BW340" s="452"/>
      <c r="BX340" s="456"/>
      <c r="BY340" s="457">
        <v>30810</v>
      </c>
      <c r="BZ340" s="458"/>
      <c r="CA340" s="451"/>
      <c r="CB340" s="452"/>
      <c r="CC340" s="456"/>
      <c r="CD340" s="457">
        <v>0</v>
      </c>
      <c r="CE340" s="458"/>
      <c r="CF340" s="451"/>
      <c r="CG340" s="452"/>
      <c r="CH340" s="456"/>
      <c r="CI340" s="457">
        <v>0</v>
      </c>
      <c r="CJ340" s="458"/>
      <c r="CK340" s="451"/>
      <c r="CL340" s="452"/>
      <c r="CM340" s="456"/>
      <c r="CN340" s="457">
        <v>0</v>
      </c>
      <c r="CO340" s="458"/>
      <c r="CP340" s="451"/>
      <c r="CQ340" s="452"/>
      <c r="CR340" s="456"/>
      <c r="CS340" s="457">
        <v>0</v>
      </c>
      <c r="CT340" s="458"/>
      <c r="CU340" s="451"/>
      <c r="CV340" s="452"/>
      <c r="CW340" s="456"/>
      <c r="CX340" s="457">
        <v>0</v>
      </c>
      <c r="CY340" s="458"/>
      <c r="CZ340" s="451"/>
      <c r="DA340" s="452"/>
      <c r="DB340" s="456"/>
      <c r="DC340" s="457">
        <v>0</v>
      </c>
      <c r="DD340" s="458"/>
      <c r="DE340" s="451"/>
      <c r="DF340" s="452"/>
      <c r="DG340" s="456"/>
      <c r="DH340" s="457">
        <v>0</v>
      </c>
      <c r="DI340" s="458"/>
      <c r="DJ340" s="451"/>
      <c r="DK340" s="452"/>
      <c r="DL340" s="456"/>
      <c r="DM340" s="457">
        <v>0</v>
      </c>
      <c r="DN340" s="458"/>
      <c r="DO340" s="451"/>
      <c r="DP340" s="452"/>
      <c r="DQ340" s="456"/>
      <c r="DR340" s="457">
        <v>0</v>
      </c>
      <c r="DS340" s="458"/>
      <c r="DT340" s="451"/>
      <c r="DU340" s="452"/>
      <c r="DV340" s="456"/>
      <c r="DW340" s="457">
        <v>0</v>
      </c>
      <c r="DX340" s="458"/>
      <c r="DY340" s="451"/>
      <c r="DZ340" s="452"/>
      <c r="EA340" s="456"/>
      <c r="EB340" s="457">
        <v>0</v>
      </c>
      <c r="EC340" s="458"/>
      <c r="ED340" s="451"/>
      <c r="EE340" s="452"/>
      <c r="EF340" s="456"/>
      <c r="EG340" s="457">
        <v>30810</v>
      </c>
      <c r="EH340" s="458"/>
      <c r="EI340" s="451"/>
      <c r="EJ340" s="452"/>
      <c r="EK340" s="456"/>
      <c r="EL340" s="457">
        <f>SUM(CD340:DW340)</f>
        <v>0</v>
      </c>
      <c r="EM340" s="458"/>
      <c r="EN340" s="451"/>
      <c r="EO340" s="13"/>
      <c r="ER340" s="14"/>
      <c r="ES340" s="14"/>
    </row>
    <row r="341" spans="4:149" x14ac:dyDescent="0.2">
      <c r="D341" s="469"/>
      <c r="E341" s="470"/>
      <c r="F341" s="3"/>
      <c r="G341" s="471"/>
      <c r="H341" s="471"/>
      <c r="I341" s="471"/>
      <c r="J341" s="472"/>
      <c r="K341" s="471"/>
      <c r="L341" s="471"/>
      <c r="M341" s="471"/>
      <c r="N341" s="471"/>
      <c r="O341" s="472"/>
      <c r="P341" s="471"/>
      <c r="Q341" s="471"/>
      <c r="R341" s="471"/>
      <c r="S341" s="471"/>
      <c r="T341" s="472"/>
      <c r="U341" s="471"/>
      <c r="V341" s="471"/>
      <c r="W341" s="471"/>
      <c r="X341" s="471"/>
      <c r="Y341" s="472"/>
      <c r="Z341" s="471"/>
      <c r="AA341" s="471"/>
      <c r="AB341" s="471"/>
      <c r="AC341" s="471"/>
      <c r="AD341" s="472"/>
      <c r="AE341" s="471"/>
      <c r="AF341" s="471"/>
      <c r="AG341" s="471"/>
      <c r="AH341" s="471"/>
      <c r="AI341" s="472"/>
      <c r="AJ341" s="471"/>
      <c r="AK341" s="471"/>
      <c r="AL341" s="471"/>
      <c r="AM341" s="471"/>
      <c r="AN341" s="472"/>
      <c r="AO341" s="471"/>
      <c r="AP341" s="471"/>
      <c r="AQ341" s="471"/>
      <c r="AR341" s="471"/>
      <c r="AS341" s="472"/>
      <c r="AT341" s="471"/>
      <c r="AU341" s="471"/>
      <c r="AV341" s="471"/>
      <c r="AW341" s="471"/>
      <c r="AX341" s="472"/>
      <c r="AY341" s="471"/>
      <c r="AZ341" s="471"/>
      <c r="BA341" s="471"/>
      <c r="BB341" s="471"/>
      <c r="BC341" s="472"/>
      <c r="BD341" s="471"/>
      <c r="BE341" s="471"/>
      <c r="BF341" s="471"/>
      <c r="BG341" s="471"/>
      <c r="BH341" s="472"/>
      <c r="BI341" s="471"/>
      <c r="BJ341" s="471"/>
      <c r="BK341" s="471"/>
      <c r="BL341" s="471"/>
      <c r="BM341" s="472"/>
      <c r="BN341" s="471"/>
      <c r="BO341" s="471"/>
      <c r="BP341" s="471"/>
      <c r="BQ341" s="471"/>
      <c r="BR341" s="472"/>
      <c r="BS341" s="471"/>
      <c r="BT341" s="471"/>
      <c r="BU341" s="471"/>
      <c r="BV341" s="471"/>
      <c r="BW341" s="472"/>
      <c r="BX341" s="471"/>
      <c r="BY341" s="471"/>
      <c r="BZ341" s="471"/>
      <c r="CA341" s="471"/>
      <c r="CB341" s="472"/>
      <c r="CC341" s="471"/>
      <c r="CD341" s="471"/>
      <c r="CE341" s="471"/>
      <c r="CF341" s="471"/>
      <c r="CG341" s="472"/>
      <c r="CH341" s="471"/>
      <c r="CI341" s="471"/>
      <c r="CJ341" s="471"/>
      <c r="CK341" s="471"/>
      <c r="CL341" s="472"/>
      <c r="CM341" s="471"/>
      <c r="CN341" s="471"/>
      <c r="CO341" s="471"/>
      <c r="CP341" s="471"/>
      <c r="CQ341" s="472"/>
      <c r="CR341" s="471"/>
      <c r="CS341" s="471"/>
      <c r="CT341" s="471"/>
      <c r="CU341" s="471"/>
      <c r="CV341" s="472"/>
      <c r="CW341" s="471"/>
      <c r="CX341" s="471"/>
      <c r="CY341" s="471"/>
      <c r="CZ341" s="471"/>
      <c r="DA341" s="472"/>
      <c r="DB341" s="471"/>
      <c r="DC341" s="471"/>
      <c r="DD341" s="471"/>
      <c r="DE341" s="471"/>
      <c r="DF341" s="472"/>
      <c r="DG341" s="471"/>
      <c r="DH341" s="471"/>
      <c r="DI341" s="471"/>
      <c r="DJ341" s="471"/>
      <c r="DK341" s="472"/>
      <c r="DL341" s="471"/>
      <c r="DM341" s="471"/>
      <c r="DN341" s="471"/>
      <c r="DO341" s="471"/>
      <c r="DP341" s="472"/>
      <c r="DQ341" s="471"/>
      <c r="DR341" s="471"/>
      <c r="DS341" s="471"/>
      <c r="DT341" s="471"/>
      <c r="DU341" s="472"/>
      <c r="DV341" s="471"/>
      <c r="DW341" s="471"/>
      <c r="DX341" s="471"/>
      <c r="DY341" s="471"/>
      <c r="DZ341" s="472"/>
      <c r="EA341" s="471"/>
      <c r="EB341" s="471"/>
      <c r="EC341" s="471"/>
      <c r="ED341" s="471"/>
      <c r="EE341" s="472"/>
      <c r="EF341" s="471"/>
      <c r="EG341" s="471"/>
      <c r="EH341" s="471"/>
      <c r="EI341" s="471"/>
      <c r="EJ341" s="472"/>
      <c r="EK341" s="471"/>
      <c r="EL341" s="471"/>
      <c r="EM341" s="471"/>
      <c r="EN341" s="473"/>
      <c r="EO341" s="13"/>
      <c r="ER341" s="14"/>
      <c r="ES341" s="14"/>
    </row>
    <row r="342" spans="4:149" x14ac:dyDescent="0.2">
      <c r="E342" s="5"/>
      <c r="G342" s="451"/>
      <c r="H342" s="451"/>
      <c r="I342" s="451"/>
      <c r="J342" s="451"/>
      <c r="K342" s="451"/>
      <c r="L342" s="451"/>
      <c r="M342" s="451"/>
      <c r="N342" s="451"/>
      <c r="O342" s="451"/>
      <c r="P342" s="451"/>
      <c r="Q342" s="451"/>
      <c r="R342" s="451"/>
      <c r="S342" s="451"/>
      <c r="T342" s="451"/>
      <c r="U342" s="451"/>
      <c r="V342" s="451"/>
      <c r="W342" s="451"/>
      <c r="X342" s="451"/>
      <c r="Y342" s="451"/>
      <c r="Z342" s="451"/>
      <c r="AA342" s="451"/>
      <c r="AB342" s="451"/>
      <c r="AC342" s="451"/>
      <c r="AD342" s="451"/>
      <c r="AE342" s="451"/>
      <c r="AF342" s="451"/>
      <c r="AG342" s="451"/>
      <c r="AH342" s="451"/>
      <c r="AI342" s="451"/>
      <c r="AJ342" s="451"/>
      <c r="AK342" s="451"/>
      <c r="AL342" s="451"/>
      <c r="AM342" s="451"/>
      <c r="AN342" s="451"/>
      <c r="AO342" s="451"/>
      <c r="AP342" s="451"/>
      <c r="AQ342" s="451"/>
      <c r="AR342" s="451"/>
      <c r="AS342" s="451"/>
      <c r="AT342" s="451"/>
      <c r="AU342" s="451"/>
      <c r="AV342" s="451"/>
      <c r="AW342" s="451"/>
      <c r="AX342" s="451"/>
      <c r="AY342" s="451"/>
      <c r="AZ342" s="451"/>
      <c r="BA342" s="451"/>
      <c r="BB342" s="451"/>
      <c r="BC342" s="451"/>
      <c r="BD342" s="451"/>
      <c r="BE342" s="451"/>
      <c r="BF342" s="451"/>
      <c r="BG342" s="451"/>
      <c r="BH342" s="451"/>
      <c r="BI342" s="451"/>
      <c r="BJ342" s="451"/>
      <c r="BK342" s="451"/>
      <c r="BL342" s="451"/>
      <c r="BM342" s="451"/>
      <c r="BN342" s="451"/>
      <c r="BO342" s="451"/>
      <c r="BP342" s="451"/>
      <c r="BQ342" s="451"/>
      <c r="BR342" s="451"/>
      <c r="BS342" s="451"/>
      <c r="BT342" s="451"/>
      <c r="BU342" s="451"/>
      <c r="BV342" s="451"/>
      <c r="BW342" s="451"/>
      <c r="BX342" s="451"/>
      <c r="BY342" s="451"/>
      <c r="BZ342" s="451"/>
      <c r="CA342" s="451"/>
      <c r="CB342" s="451"/>
      <c r="CC342" s="451"/>
      <c r="CD342" s="451"/>
      <c r="CE342" s="451"/>
      <c r="CF342" s="451"/>
      <c r="CG342" s="451"/>
      <c r="CH342" s="451"/>
      <c r="CI342" s="451"/>
      <c r="CJ342" s="451"/>
      <c r="CK342" s="451"/>
      <c r="CL342" s="451"/>
      <c r="CM342" s="451"/>
      <c r="CN342" s="451"/>
      <c r="CO342" s="451"/>
      <c r="CP342" s="451"/>
      <c r="CQ342" s="451"/>
      <c r="CR342" s="451"/>
      <c r="CS342" s="451"/>
      <c r="CT342" s="451"/>
      <c r="CU342" s="451"/>
      <c r="CV342" s="451"/>
      <c r="CW342" s="451"/>
      <c r="CX342" s="451"/>
      <c r="CY342" s="451"/>
      <c r="CZ342" s="451"/>
      <c r="DA342" s="451"/>
      <c r="DB342" s="451"/>
      <c r="DC342" s="451"/>
      <c r="DD342" s="451"/>
      <c r="DE342" s="451"/>
      <c r="DF342" s="451"/>
      <c r="DG342" s="451"/>
      <c r="DH342" s="451"/>
      <c r="DI342" s="451"/>
      <c r="DJ342" s="451"/>
      <c r="DK342" s="451"/>
      <c r="DL342" s="451"/>
      <c r="DM342" s="451"/>
      <c r="DN342" s="451"/>
      <c r="DO342" s="451"/>
      <c r="DP342" s="451"/>
      <c r="DQ342" s="451"/>
      <c r="DR342" s="451"/>
      <c r="DS342" s="451"/>
      <c r="DT342" s="451"/>
      <c r="DU342" s="451"/>
      <c r="DV342" s="451"/>
      <c r="DW342" s="451"/>
      <c r="DX342" s="451"/>
      <c r="DY342" s="451"/>
      <c r="DZ342" s="451"/>
      <c r="EA342" s="451"/>
      <c r="EB342" s="451"/>
      <c r="EC342" s="451"/>
      <c r="ED342" s="451"/>
      <c r="EE342" s="451"/>
      <c r="EF342" s="451"/>
      <c r="EG342" s="451"/>
      <c r="EH342" s="451"/>
      <c r="EI342" s="451"/>
      <c r="EJ342" s="451"/>
      <c r="EK342" s="451"/>
      <c r="EL342" s="451"/>
      <c r="EM342" s="451"/>
      <c r="EN342" s="451"/>
    </row>
    <row r="343" spans="4:149" x14ac:dyDescent="0.2">
      <c r="E343" s="1"/>
      <c r="EL343" s="451"/>
    </row>
    <row r="344" spans="4:149" x14ac:dyDescent="0.2">
      <c r="E344" s="1"/>
    </row>
    <row r="345" spans="4:149" x14ac:dyDescent="0.2">
      <c r="E345" s="1"/>
    </row>
    <row r="346" spans="4:149" x14ac:dyDescent="0.2">
      <c r="E346" s="1"/>
    </row>
    <row r="347" spans="4:149" x14ac:dyDescent="0.2">
      <c r="E347" s="1"/>
    </row>
    <row r="348" spans="4:149" x14ac:dyDescent="0.2">
      <c r="E348" s="1"/>
    </row>
    <row r="349" spans="4:149" x14ac:dyDescent="0.2">
      <c r="E349" s="1"/>
    </row>
    <row r="350" spans="4:149" x14ac:dyDescent="0.2">
      <c r="E350" s="1"/>
    </row>
  </sheetData>
  <pageMargins left="0.7" right="0.7" top="0.75" bottom="0.75" header="0.3" footer="0.3"/>
  <pageSetup paperSize="9" scale="47" orientation="portrait" r:id="rId1"/>
  <rowBreaks count="1" manualBreakCount="1">
    <brk id="177" max="14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231C4-9A12-4467-930C-14F6D578B734}">
  <dimension ref="D1:EQ166"/>
  <sheetViews>
    <sheetView view="pageBreakPreview" zoomScaleNormal="100" zoomScaleSheetLayoutView="100" workbookViewId="0">
      <selection activeCell="J22" sqref="J22"/>
    </sheetView>
  </sheetViews>
  <sheetFormatPr defaultColWidth="10" defaultRowHeight="12.75" x14ac:dyDescent="0.2"/>
  <cols>
    <col min="1" max="1" width="1.85546875" style="1" customWidth="1"/>
    <col min="2" max="3" width="1" style="1" customWidth="1"/>
    <col min="4" max="4" width="34" style="1" customWidth="1"/>
    <col min="5" max="6" width="1" style="1" customWidth="1"/>
    <col min="7" max="7" width="17.85546875" style="1" customWidth="1"/>
    <col min="8" max="9" width="1" style="1" customWidth="1"/>
    <col min="10" max="11" width="1" style="1" hidden="1" customWidth="1"/>
    <col min="12" max="12" width="17.85546875" style="1" hidden="1" customWidth="1"/>
    <col min="13" max="16" width="1" style="1" hidden="1" customWidth="1"/>
    <col min="17" max="17" width="17.85546875" style="1" hidden="1" customWidth="1"/>
    <col min="18" max="21" width="1" style="1" hidden="1" customWidth="1"/>
    <col min="22" max="22" width="17.85546875" style="1" hidden="1" customWidth="1"/>
    <col min="23" max="26" width="1" style="1" hidden="1" customWidth="1"/>
    <col min="27" max="27" width="17.85546875" style="1" hidden="1" customWidth="1"/>
    <col min="28" max="31" width="1" style="1" hidden="1" customWidth="1"/>
    <col min="32" max="32" width="17.85546875" style="1" hidden="1" customWidth="1"/>
    <col min="33" max="36" width="1" style="1" hidden="1" customWidth="1"/>
    <col min="37" max="37" width="17.85546875" style="1" hidden="1" customWidth="1"/>
    <col min="38" max="41" width="1" style="1" hidden="1" customWidth="1"/>
    <col min="42" max="42" width="17.85546875" style="1" hidden="1" customWidth="1"/>
    <col min="43" max="46" width="1" style="1" hidden="1" customWidth="1"/>
    <col min="47" max="47" width="17.85546875" style="1" hidden="1" customWidth="1"/>
    <col min="48" max="51" width="1" style="1" hidden="1" customWidth="1"/>
    <col min="52" max="52" width="17.85546875" style="1" hidden="1" customWidth="1"/>
    <col min="53" max="54" width="1" style="1" hidden="1" customWidth="1"/>
    <col min="55" max="56" width="1" style="1" customWidth="1"/>
    <col min="57" max="57" width="17.85546875" style="1" customWidth="1"/>
    <col min="58" max="59" width="1" style="1" customWidth="1"/>
    <col min="60" max="61" width="1" style="1" hidden="1" customWidth="1"/>
    <col min="62" max="62" width="17.85546875" style="1" hidden="1" customWidth="1"/>
    <col min="63" max="66" width="1" style="1" hidden="1" customWidth="1"/>
    <col min="67" max="67" width="17.85546875" style="1" hidden="1" customWidth="1"/>
    <col min="68" max="69" width="1" style="1" hidden="1" customWidth="1"/>
    <col min="70" max="71" width="1" style="1" customWidth="1"/>
    <col min="72" max="72" width="17.85546875" style="1" customWidth="1"/>
    <col min="73" max="76" width="1" style="1" customWidth="1"/>
    <col min="77" max="77" width="17.85546875" style="1" customWidth="1"/>
    <col min="78" max="79" width="1" style="1" customWidth="1"/>
    <col min="80" max="81" width="1" style="1" hidden="1" customWidth="1"/>
    <col min="82" max="82" width="17.85546875" style="1" hidden="1" customWidth="1"/>
    <col min="83" max="86" width="1" style="1" hidden="1" customWidth="1"/>
    <col min="87" max="87" width="17.85546875" style="1" hidden="1" customWidth="1"/>
    <col min="88" max="91" width="1" style="1" hidden="1" customWidth="1"/>
    <col min="92" max="92" width="17.85546875" style="1" hidden="1" customWidth="1"/>
    <col min="93" max="96" width="1" style="1" hidden="1" customWidth="1"/>
    <col min="97" max="97" width="17.85546875" style="1" hidden="1" customWidth="1"/>
    <col min="98" max="101" width="1" style="1" hidden="1" customWidth="1"/>
    <col min="102" max="102" width="17.85546875" style="1" hidden="1" customWidth="1"/>
    <col min="103" max="106" width="1" style="1" hidden="1" customWidth="1"/>
    <col min="107" max="107" width="17.85546875" style="1" hidden="1" customWidth="1"/>
    <col min="108" max="111" width="1" style="1" hidden="1" customWidth="1"/>
    <col min="112" max="112" width="17.85546875" style="1" hidden="1" customWidth="1"/>
    <col min="113" max="116" width="1" style="1" hidden="1" customWidth="1"/>
    <col min="117" max="117" width="17.85546875" style="1" hidden="1" customWidth="1"/>
    <col min="118" max="121" width="1" style="1" hidden="1" customWidth="1"/>
    <col min="122" max="122" width="17.85546875" style="1" hidden="1" customWidth="1"/>
    <col min="123" max="124" width="1" style="1" hidden="1" customWidth="1"/>
    <col min="125" max="126" width="1" style="1" customWidth="1"/>
    <col min="127" max="127" width="17.85546875" style="1" customWidth="1"/>
    <col min="128" max="129" width="1" style="1" customWidth="1"/>
    <col min="130" max="131" width="1" style="1" hidden="1" customWidth="1"/>
    <col min="132" max="132" width="17.85546875" style="1" hidden="1" customWidth="1"/>
    <col min="133" max="136" width="1" style="1" hidden="1" customWidth="1"/>
    <col min="137" max="137" width="17.85546875" style="1" hidden="1" customWidth="1"/>
    <col min="138" max="139" width="1" style="1" hidden="1" customWidth="1"/>
    <col min="140" max="141" width="1" style="1" customWidth="1"/>
    <col min="142" max="142" width="17.85546875" style="1" customWidth="1"/>
    <col min="143" max="143" width="1" style="1" customWidth="1"/>
    <col min="144" max="144" width="2" style="1" customWidth="1"/>
    <col min="145" max="145" width="6.42578125" style="1" customWidth="1"/>
    <col min="146" max="146" width="17.42578125" style="1" customWidth="1"/>
    <col min="147" max="147" width="12.28515625" style="1" customWidth="1"/>
    <col min="148" max="256" width="10" style="1"/>
    <col min="257" max="257" width="1.85546875" style="1" customWidth="1"/>
    <col min="258" max="259" width="1" style="1" customWidth="1"/>
    <col min="260" max="260" width="34" style="1" customWidth="1"/>
    <col min="261" max="262" width="1" style="1" customWidth="1"/>
    <col min="263" max="263" width="17.85546875" style="1" customWidth="1"/>
    <col min="264" max="265" width="1" style="1" customWidth="1"/>
    <col min="266" max="310" width="0" style="1" hidden="1" customWidth="1"/>
    <col min="311" max="312" width="1" style="1" customWidth="1"/>
    <col min="313" max="313" width="17.85546875" style="1" customWidth="1"/>
    <col min="314" max="315" width="1" style="1" customWidth="1"/>
    <col min="316" max="325" width="0" style="1" hidden="1" customWidth="1"/>
    <col min="326" max="327" width="1" style="1" customWidth="1"/>
    <col min="328" max="328" width="17.85546875" style="1" customWidth="1"/>
    <col min="329" max="332" width="1" style="1" customWidth="1"/>
    <col min="333" max="333" width="17.85546875" style="1" customWidth="1"/>
    <col min="334" max="335" width="1" style="1" customWidth="1"/>
    <col min="336" max="380" width="0" style="1" hidden="1" customWidth="1"/>
    <col min="381" max="382" width="1" style="1" customWidth="1"/>
    <col min="383" max="383" width="17.85546875" style="1" customWidth="1"/>
    <col min="384" max="385" width="1" style="1" customWidth="1"/>
    <col min="386" max="395" width="0" style="1" hidden="1" customWidth="1"/>
    <col min="396" max="397" width="1" style="1" customWidth="1"/>
    <col min="398" max="398" width="17.85546875" style="1" customWidth="1"/>
    <col min="399" max="399" width="1" style="1" customWidth="1"/>
    <col min="400" max="400" width="2" style="1" customWidth="1"/>
    <col min="401" max="401" width="6.42578125" style="1" customWidth="1"/>
    <col min="402" max="402" width="17.42578125" style="1" customWidth="1"/>
    <col min="403" max="403" width="12.28515625" style="1" customWidth="1"/>
    <col min="404" max="512" width="10" style="1"/>
    <col min="513" max="513" width="1.85546875" style="1" customWidth="1"/>
    <col min="514" max="515" width="1" style="1" customWidth="1"/>
    <col min="516" max="516" width="34" style="1" customWidth="1"/>
    <col min="517" max="518" width="1" style="1" customWidth="1"/>
    <col min="519" max="519" width="17.85546875" style="1" customWidth="1"/>
    <col min="520" max="521" width="1" style="1" customWidth="1"/>
    <col min="522" max="566" width="0" style="1" hidden="1" customWidth="1"/>
    <col min="567" max="568" width="1" style="1" customWidth="1"/>
    <col min="569" max="569" width="17.85546875" style="1" customWidth="1"/>
    <col min="570" max="571" width="1" style="1" customWidth="1"/>
    <col min="572" max="581" width="0" style="1" hidden="1" customWidth="1"/>
    <col min="582" max="583" width="1" style="1" customWidth="1"/>
    <col min="584" max="584" width="17.85546875" style="1" customWidth="1"/>
    <col min="585" max="588" width="1" style="1" customWidth="1"/>
    <col min="589" max="589" width="17.85546875" style="1" customWidth="1"/>
    <col min="590" max="591" width="1" style="1" customWidth="1"/>
    <col min="592" max="636" width="0" style="1" hidden="1" customWidth="1"/>
    <col min="637" max="638" width="1" style="1" customWidth="1"/>
    <col min="639" max="639" width="17.85546875" style="1" customWidth="1"/>
    <col min="640" max="641" width="1" style="1" customWidth="1"/>
    <col min="642" max="651" width="0" style="1" hidden="1" customWidth="1"/>
    <col min="652" max="653" width="1" style="1" customWidth="1"/>
    <col min="654" max="654" width="17.85546875" style="1" customWidth="1"/>
    <col min="655" max="655" width="1" style="1" customWidth="1"/>
    <col min="656" max="656" width="2" style="1" customWidth="1"/>
    <col min="657" max="657" width="6.42578125" style="1" customWidth="1"/>
    <col min="658" max="658" width="17.42578125" style="1" customWidth="1"/>
    <col min="659" max="659" width="12.28515625" style="1" customWidth="1"/>
    <col min="660" max="768" width="10" style="1"/>
    <col min="769" max="769" width="1.85546875" style="1" customWidth="1"/>
    <col min="770" max="771" width="1" style="1" customWidth="1"/>
    <col min="772" max="772" width="34" style="1" customWidth="1"/>
    <col min="773" max="774" width="1" style="1" customWidth="1"/>
    <col min="775" max="775" width="17.85546875" style="1" customWidth="1"/>
    <col min="776" max="777" width="1" style="1" customWidth="1"/>
    <col min="778" max="822" width="0" style="1" hidden="1" customWidth="1"/>
    <col min="823" max="824" width="1" style="1" customWidth="1"/>
    <col min="825" max="825" width="17.85546875" style="1" customWidth="1"/>
    <col min="826" max="827" width="1" style="1" customWidth="1"/>
    <col min="828" max="837" width="0" style="1" hidden="1" customWidth="1"/>
    <col min="838" max="839" width="1" style="1" customWidth="1"/>
    <col min="840" max="840" width="17.85546875" style="1" customWidth="1"/>
    <col min="841" max="844" width="1" style="1" customWidth="1"/>
    <col min="845" max="845" width="17.85546875" style="1" customWidth="1"/>
    <col min="846" max="847" width="1" style="1" customWidth="1"/>
    <col min="848" max="892" width="0" style="1" hidden="1" customWidth="1"/>
    <col min="893" max="894" width="1" style="1" customWidth="1"/>
    <col min="895" max="895" width="17.85546875" style="1" customWidth="1"/>
    <col min="896" max="897" width="1" style="1" customWidth="1"/>
    <col min="898" max="907" width="0" style="1" hidden="1" customWidth="1"/>
    <col min="908" max="909" width="1" style="1" customWidth="1"/>
    <col min="910" max="910" width="17.85546875" style="1" customWidth="1"/>
    <col min="911" max="911" width="1" style="1" customWidth="1"/>
    <col min="912" max="912" width="2" style="1" customWidth="1"/>
    <col min="913" max="913" width="6.42578125" style="1" customWidth="1"/>
    <col min="914" max="914" width="17.42578125" style="1" customWidth="1"/>
    <col min="915" max="915" width="12.28515625" style="1" customWidth="1"/>
    <col min="916" max="1024" width="10" style="1"/>
    <col min="1025" max="1025" width="1.85546875" style="1" customWidth="1"/>
    <col min="1026" max="1027" width="1" style="1" customWidth="1"/>
    <col min="1028" max="1028" width="34" style="1" customWidth="1"/>
    <col min="1029" max="1030" width="1" style="1" customWidth="1"/>
    <col min="1031" max="1031" width="17.85546875" style="1" customWidth="1"/>
    <col min="1032" max="1033" width="1" style="1" customWidth="1"/>
    <col min="1034" max="1078" width="0" style="1" hidden="1" customWidth="1"/>
    <col min="1079" max="1080" width="1" style="1" customWidth="1"/>
    <col min="1081" max="1081" width="17.85546875" style="1" customWidth="1"/>
    <col min="1082" max="1083" width="1" style="1" customWidth="1"/>
    <col min="1084" max="1093" width="0" style="1" hidden="1" customWidth="1"/>
    <col min="1094" max="1095" width="1" style="1" customWidth="1"/>
    <col min="1096" max="1096" width="17.85546875" style="1" customWidth="1"/>
    <col min="1097" max="1100" width="1" style="1" customWidth="1"/>
    <col min="1101" max="1101" width="17.85546875" style="1" customWidth="1"/>
    <col min="1102" max="1103" width="1" style="1" customWidth="1"/>
    <col min="1104" max="1148" width="0" style="1" hidden="1" customWidth="1"/>
    <col min="1149" max="1150" width="1" style="1" customWidth="1"/>
    <col min="1151" max="1151" width="17.85546875" style="1" customWidth="1"/>
    <col min="1152" max="1153" width="1" style="1" customWidth="1"/>
    <col min="1154" max="1163" width="0" style="1" hidden="1" customWidth="1"/>
    <col min="1164" max="1165" width="1" style="1" customWidth="1"/>
    <col min="1166" max="1166" width="17.85546875" style="1" customWidth="1"/>
    <col min="1167" max="1167" width="1" style="1" customWidth="1"/>
    <col min="1168" max="1168" width="2" style="1" customWidth="1"/>
    <col min="1169" max="1169" width="6.42578125" style="1" customWidth="1"/>
    <col min="1170" max="1170" width="17.42578125" style="1" customWidth="1"/>
    <col min="1171" max="1171" width="12.28515625" style="1" customWidth="1"/>
    <col min="1172" max="1280" width="10" style="1"/>
    <col min="1281" max="1281" width="1.85546875" style="1" customWidth="1"/>
    <col min="1282" max="1283" width="1" style="1" customWidth="1"/>
    <col min="1284" max="1284" width="34" style="1" customWidth="1"/>
    <col min="1285" max="1286" width="1" style="1" customWidth="1"/>
    <col min="1287" max="1287" width="17.85546875" style="1" customWidth="1"/>
    <col min="1288" max="1289" width="1" style="1" customWidth="1"/>
    <col min="1290" max="1334" width="0" style="1" hidden="1" customWidth="1"/>
    <col min="1335" max="1336" width="1" style="1" customWidth="1"/>
    <col min="1337" max="1337" width="17.85546875" style="1" customWidth="1"/>
    <col min="1338" max="1339" width="1" style="1" customWidth="1"/>
    <col min="1340" max="1349" width="0" style="1" hidden="1" customWidth="1"/>
    <col min="1350" max="1351" width="1" style="1" customWidth="1"/>
    <col min="1352" max="1352" width="17.85546875" style="1" customWidth="1"/>
    <col min="1353" max="1356" width="1" style="1" customWidth="1"/>
    <col min="1357" max="1357" width="17.85546875" style="1" customWidth="1"/>
    <col min="1358" max="1359" width="1" style="1" customWidth="1"/>
    <col min="1360" max="1404" width="0" style="1" hidden="1" customWidth="1"/>
    <col min="1405" max="1406" width="1" style="1" customWidth="1"/>
    <col min="1407" max="1407" width="17.85546875" style="1" customWidth="1"/>
    <col min="1408" max="1409" width="1" style="1" customWidth="1"/>
    <col min="1410" max="1419" width="0" style="1" hidden="1" customWidth="1"/>
    <col min="1420" max="1421" width="1" style="1" customWidth="1"/>
    <col min="1422" max="1422" width="17.85546875" style="1" customWidth="1"/>
    <col min="1423" max="1423" width="1" style="1" customWidth="1"/>
    <col min="1424" max="1424" width="2" style="1" customWidth="1"/>
    <col min="1425" max="1425" width="6.42578125" style="1" customWidth="1"/>
    <col min="1426" max="1426" width="17.42578125" style="1" customWidth="1"/>
    <col min="1427" max="1427" width="12.28515625" style="1" customWidth="1"/>
    <col min="1428" max="1536" width="10" style="1"/>
    <col min="1537" max="1537" width="1.85546875" style="1" customWidth="1"/>
    <col min="1538" max="1539" width="1" style="1" customWidth="1"/>
    <col min="1540" max="1540" width="34" style="1" customWidth="1"/>
    <col min="1541" max="1542" width="1" style="1" customWidth="1"/>
    <col min="1543" max="1543" width="17.85546875" style="1" customWidth="1"/>
    <col min="1544" max="1545" width="1" style="1" customWidth="1"/>
    <col min="1546" max="1590" width="0" style="1" hidden="1" customWidth="1"/>
    <col min="1591" max="1592" width="1" style="1" customWidth="1"/>
    <col min="1593" max="1593" width="17.85546875" style="1" customWidth="1"/>
    <col min="1594" max="1595" width="1" style="1" customWidth="1"/>
    <col min="1596" max="1605" width="0" style="1" hidden="1" customWidth="1"/>
    <col min="1606" max="1607" width="1" style="1" customWidth="1"/>
    <col min="1608" max="1608" width="17.85546875" style="1" customWidth="1"/>
    <col min="1609" max="1612" width="1" style="1" customWidth="1"/>
    <col min="1613" max="1613" width="17.85546875" style="1" customWidth="1"/>
    <col min="1614" max="1615" width="1" style="1" customWidth="1"/>
    <col min="1616" max="1660" width="0" style="1" hidden="1" customWidth="1"/>
    <col min="1661" max="1662" width="1" style="1" customWidth="1"/>
    <col min="1663" max="1663" width="17.85546875" style="1" customWidth="1"/>
    <col min="1664" max="1665" width="1" style="1" customWidth="1"/>
    <col min="1666" max="1675" width="0" style="1" hidden="1" customWidth="1"/>
    <col min="1676" max="1677" width="1" style="1" customWidth="1"/>
    <col min="1678" max="1678" width="17.85546875" style="1" customWidth="1"/>
    <col min="1679" max="1679" width="1" style="1" customWidth="1"/>
    <col min="1680" max="1680" width="2" style="1" customWidth="1"/>
    <col min="1681" max="1681" width="6.42578125" style="1" customWidth="1"/>
    <col min="1682" max="1682" width="17.42578125" style="1" customWidth="1"/>
    <col min="1683" max="1683" width="12.28515625" style="1" customWidth="1"/>
    <col min="1684" max="1792" width="10" style="1"/>
    <col min="1793" max="1793" width="1.85546875" style="1" customWidth="1"/>
    <col min="1794" max="1795" width="1" style="1" customWidth="1"/>
    <col min="1796" max="1796" width="34" style="1" customWidth="1"/>
    <col min="1797" max="1798" width="1" style="1" customWidth="1"/>
    <col min="1799" max="1799" width="17.85546875" style="1" customWidth="1"/>
    <col min="1800" max="1801" width="1" style="1" customWidth="1"/>
    <col min="1802" max="1846" width="0" style="1" hidden="1" customWidth="1"/>
    <col min="1847" max="1848" width="1" style="1" customWidth="1"/>
    <col min="1849" max="1849" width="17.85546875" style="1" customWidth="1"/>
    <col min="1850" max="1851" width="1" style="1" customWidth="1"/>
    <col min="1852" max="1861" width="0" style="1" hidden="1" customWidth="1"/>
    <col min="1862" max="1863" width="1" style="1" customWidth="1"/>
    <col min="1864" max="1864" width="17.85546875" style="1" customWidth="1"/>
    <col min="1865" max="1868" width="1" style="1" customWidth="1"/>
    <col min="1869" max="1869" width="17.85546875" style="1" customWidth="1"/>
    <col min="1870" max="1871" width="1" style="1" customWidth="1"/>
    <col min="1872" max="1916" width="0" style="1" hidden="1" customWidth="1"/>
    <col min="1917" max="1918" width="1" style="1" customWidth="1"/>
    <col min="1919" max="1919" width="17.85546875" style="1" customWidth="1"/>
    <col min="1920" max="1921" width="1" style="1" customWidth="1"/>
    <col min="1922" max="1931" width="0" style="1" hidden="1" customWidth="1"/>
    <col min="1932" max="1933" width="1" style="1" customWidth="1"/>
    <col min="1934" max="1934" width="17.85546875" style="1" customWidth="1"/>
    <col min="1935" max="1935" width="1" style="1" customWidth="1"/>
    <col min="1936" max="1936" width="2" style="1" customWidth="1"/>
    <col min="1937" max="1937" width="6.42578125" style="1" customWidth="1"/>
    <col min="1938" max="1938" width="17.42578125" style="1" customWidth="1"/>
    <col min="1939" max="1939" width="12.28515625" style="1" customWidth="1"/>
    <col min="1940" max="2048" width="10" style="1"/>
    <col min="2049" max="2049" width="1.85546875" style="1" customWidth="1"/>
    <col min="2050" max="2051" width="1" style="1" customWidth="1"/>
    <col min="2052" max="2052" width="34" style="1" customWidth="1"/>
    <col min="2053" max="2054" width="1" style="1" customWidth="1"/>
    <col min="2055" max="2055" width="17.85546875" style="1" customWidth="1"/>
    <col min="2056" max="2057" width="1" style="1" customWidth="1"/>
    <col min="2058" max="2102" width="0" style="1" hidden="1" customWidth="1"/>
    <col min="2103" max="2104" width="1" style="1" customWidth="1"/>
    <col min="2105" max="2105" width="17.85546875" style="1" customWidth="1"/>
    <col min="2106" max="2107" width="1" style="1" customWidth="1"/>
    <col min="2108" max="2117" width="0" style="1" hidden="1" customWidth="1"/>
    <col min="2118" max="2119" width="1" style="1" customWidth="1"/>
    <col min="2120" max="2120" width="17.85546875" style="1" customWidth="1"/>
    <col min="2121" max="2124" width="1" style="1" customWidth="1"/>
    <col min="2125" max="2125" width="17.85546875" style="1" customWidth="1"/>
    <col min="2126" max="2127" width="1" style="1" customWidth="1"/>
    <col min="2128" max="2172" width="0" style="1" hidden="1" customWidth="1"/>
    <col min="2173" max="2174" width="1" style="1" customWidth="1"/>
    <col min="2175" max="2175" width="17.85546875" style="1" customWidth="1"/>
    <col min="2176" max="2177" width="1" style="1" customWidth="1"/>
    <col min="2178" max="2187" width="0" style="1" hidden="1" customWidth="1"/>
    <col min="2188" max="2189" width="1" style="1" customWidth="1"/>
    <col min="2190" max="2190" width="17.85546875" style="1" customWidth="1"/>
    <col min="2191" max="2191" width="1" style="1" customWidth="1"/>
    <col min="2192" max="2192" width="2" style="1" customWidth="1"/>
    <col min="2193" max="2193" width="6.42578125" style="1" customWidth="1"/>
    <col min="2194" max="2194" width="17.42578125" style="1" customWidth="1"/>
    <col min="2195" max="2195" width="12.28515625" style="1" customWidth="1"/>
    <col min="2196" max="2304" width="10" style="1"/>
    <col min="2305" max="2305" width="1.85546875" style="1" customWidth="1"/>
    <col min="2306" max="2307" width="1" style="1" customWidth="1"/>
    <col min="2308" max="2308" width="34" style="1" customWidth="1"/>
    <col min="2309" max="2310" width="1" style="1" customWidth="1"/>
    <col min="2311" max="2311" width="17.85546875" style="1" customWidth="1"/>
    <col min="2312" max="2313" width="1" style="1" customWidth="1"/>
    <col min="2314" max="2358" width="0" style="1" hidden="1" customWidth="1"/>
    <col min="2359" max="2360" width="1" style="1" customWidth="1"/>
    <col min="2361" max="2361" width="17.85546875" style="1" customWidth="1"/>
    <col min="2362" max="2363" width="1" style="1" customWidth="1"/>
    <col min="2364" max="2373" width="0" style="1" hidden="1" customWidth="1"/>
    <col min="2374" max="2375" width="1" style="1" customWidth="1"/>
    <col min="2376" max="2376" width="17.85546875" style="1" customWidth="1"/>
    <col min="2377" max="2380" width="1" style="1" customWidth="1"/>
    <col min="2381" max="2381" width="17.85546875" style="1" customWidth="1"/>
    <col min="2382" max="2383" width="1" style="1" customWidth="1"/>
    <col min="2384" max="2428" width="0" style="1" hidden="1" customWidth="1"/>
    <col min="2429" max="2430" width="1" style="1" customWidth="1"/>
    <col min="2431" max="2431" width="17.85546875" style="1" customWidth="1"/>
    <col min="2432" max="2433" width="1" style="1" customWidth="1"/>
    <col min="2434" max="2443" width="0" style="1" hidden="1" customWidth="1"/>
    <col min="2444" max="2445" width="1" style="1" customWidth="1"/>
    <col min="2446" max="2446" width="17.85546875" style="1" customWidth="1"/>
    <col min="2447" max="2447" width="1" style="1" customWidth="1"/>
    <col min="2448" max="2448" width="2" style="1" customWidth="1"/>
    <col min="2449" max="2449" width="6.42578125" style="1" customWidth="1"/>
    <col min="2450" max="2450" width="17.42578125" style="1" customWidth="1"/>
    <col min="2451" max="2451" width="12.28515625" style="1" customWidth="1"/>
    <col min="2452" max="2560" width="10" style="1"/>
    <col min="2561" max="2561" width="1.85546875" style="1" customWidth="1"/>
    <col min="2562" max="2563" width="1" style="1" customWidth="1"/>
    <col min="2564" max="2564" width="34" style="1" customWidth="1"/>
    <col min="2565" max="2566" width="1" style="1" customWidth="1"/>
    <col min="2567" max="2567" width="17.85546875" style="1" customWidth="1"/>
    <col min="2568" max="2569" width="1" style="1" customWidth="1"/>
    <col min="2570" max="2614" width="0" style="1" hidden="1" customWidth="1"/>
    <col min="2615" max="2616" width="1" style="1" customWidth="1"/>
    <col min="2617" max="2617" width="17.85546875" style="1" customWidth="1"/>
    <col min="2618" max="2619" width="1" style="1" customWidth="1"/>
    <col min="2620" max="2629" width="0" style="1" hidden="1" customWidth="1"/>
    <col min="2630" max="2631" width="1" style="1" customWidth="1"/>
    <col min="2632" max="2632" width="17.85546875" style="1" customWidth="1"/>
    <col min="2633" max="2636" width="1" style="1" customWidth="1"/>
    <col min="2637" max="2637" width="17.85546875" style="1" customWidth="1"/>
    <col min="2638" max="2639" width="1" style="1" customWidth="1"/>
    <col min="2640" max="2684" width="0" style="1" hidden="1" customWidth="1"/>
    <col min="2685" max="2686" width="1" style="1" customWidth="1"/>
    <col min="2687" max="2687" width="17.85546875" style="1" customWidth="1"/>
    <col min="2688" max="2689" width="1" style="1" customWidth="1"/>
    <col min="2690" max="2699" width="0" style="1" hidden="1" customWidth="1"/>
    <col min="2700" max="2701" width="1" style="1" customWidth="1"/>
    <col min="2702" max="2702" width="17.85546875" style="1" customWidth="1"/>
    <col min="2703" max="2703" width="1" style="1" customWidth="1"/>
    <col min="2704" max="2704" width="2" style="1" customWidth="1"/>
    <col min="2705" max="2705" width="6.42578125" style="1" customWidth="1"/>
    <col min="2706" max="2706" width="17.42578125" style="1" customWidth="1"/>
    <col min="2707" max="2707" width="12.28515625" style="1" customWidth="1"/>
    <col min="2708" max="2816" width="10" style="1"/>
    <col min="2817" max="2817" width="1.85546875" style="1" customWidth="1"/>
    <col min="2818" max="2819" width="1" style="1" customWidth="1"/>
    <col min="2820" max="2820" width="34" style="1" customWidth="1"/>
    <col min="2821" max="2822" width="1" style="1" customWidth="1"/>
    <col min="2823" max="2823" width="17.85546875" style="1" customWidth="1"/>
    <col min="2824" max="2825" width="1" style="1" customWidth="1"/>
    <col min="2826" max="2870" width="0" style="1" hidden="1" customWidth="1"/>
    <col min="2871" max="2872" width="1" style="1" customWidth="1"/>
    <col min="2873" max="2873" width="17.85546875" style="1" customWidth="1"/>
    <col min="2874" max="2875" width="1" style="1" customWidth="1"/>
    <col min="2876" max="2885" width="0" style="1" hidden="1" customWidth="1"/>
    <col min="2886" max="2887" width="1" style="1" customWidth="1"/>
    <col min="2888" max="2888" width="17.85546875" style="1" customWidth="1"/>
    <col min="2889" max="2892" width="1" style="1" customWidth="1"/>
    <col min="2893" max="2893" width="17.85546875" style="1" customWidth="1"/>
    <col min="2894" max="2895" width="1" style="1" customWidth="1"/>
    <col min="2896" max="2940" width="0" style="1" hidden="1" customWidth="1"/>
    <col min="2941" max="2942" width="1" style="1" customWidth="1"/>
    <col min="2943" max="2943" width="17.85546875" style="1" customWidth="1"/>
    <col min="2944" max="2945" width="1" style="1" customWidth="1"/>
    <col min="2946" max="2955" width="0" style="1" hidden="1" customWidth="1"/>
    <col min="2956" max="2957" width="1" style="1" customWidth="1"/>
    <col min="2958" max="2958" width="17.85546875" style="1" customWidth="1"/>
    <col min="2959" max="2959" width="1" style="1" customWidth="1"/>
    <col min="2960" max="2960" width="2" style="1" customWidth="1"/>
    <col min="2961" max="2961" width="6.42578125" style="1" customWidth="1"/>
    <col min="2962" max="2962" width="17.42578125" style="1" customWidth="1"/>
    <col min="2963" max="2963" width="12.28515625" style="1" customWidth="1"/>
    <col min="2964" max="3072" width="10" style="1"/>
    <col min="3073" max="3073" width="1.85546875" style="1" customWidth="1"/>
    <col min="3074" max="3075" width="1" style="1" customWidth="1"/>
    <col min="3076" max="3076" width="34" style="1" customWidth="1"/>
    <col min="3077" max="3078" width="1" style="1" customWidth="1"/>
    <col min="3079" max="3079" width="17.85546875" style="1" customWidth="1"/>
    <col min="3080" max="3081" width="1" style="1" customWidth="1"/>
    <col min="3082" max="3126" width="0" style="1" hidden="1" customWidth="1"/>
    <col min="3127" max="3128" width="1" style="1" customWidth="1"/>
    <col min="3129" max="3129" width="17.85546875" style="1" customWidth="1"/>
    <col min="3130" max="3131" width="1" style="1" customWidth="1"/>
    <col min="3132" max="3141" width="0" style="1" hidden="1" customWidth="1"/>
    <col min="3142" max="3143" width="1" style="1" customWidth="1"/>
    <col min="3144" max="3144" width="17.85546875" style="1" customWidth="1"/>
    <col min="3145" max="3148" width="1" style="1" customWidth="1"/>
    <col min="3149" max="3149" width="17.85546875" style="1" customWidth="1"/>
    <col min="3150" max="3151" width="1" style="1" customWidth="1"/>
    <col min="3152" max="3196" width="0" style="1" hidden="1" customWidth="1"/>
    <col min="3197" max="3198" width="1" style="1" customWidth="1"/>
    <col min="3199" max="3199" width="17.85546875" style="1" customWidth="1"/>
    <col min="3200" max="3201" width="1" style="1" customWidth="1"/>
    <col min="3202" max="3211" width="0" style="1" hidden="1" customWidth="1"/>
    <col min="3212" max="3213" width="1" style="1" customWidth="1"/>
    <col min="3214" max="3214" width="17.85546875" style="1" customWidth="1"/>
    <col min="3215" max="3215" width="1" style="1" customWidth="1"/>
    <col min="3216" max="3216" width="2" style="1" customWidth="1"/>
    <col min="3217" max="3217" width="6.42578125" style="1" customWidth="1"/>
    <col min="3218" max="3218" width="17.42578125" style="1" customWidth="1"/>
    <col min="3219" max="3219" width="12.28515625" style="1" customWidth="1"/>
    <col min="3220" max="3328" width="10" style="1"/>
    <col min="3329" max="3329" width="1.85546875" style="1" customWidth="1"/>
    <col min="3330" max="3331" width="1" style="1" customWidth="1"/>
    <col min="3332" max="3332" width="34" style="1" customWidth="1"/>
    <col min="3333" max="3334" width="1" style="1" customWidth="1"/>
    <col min="3335" max="3335" width="17.85546875" style="1" customWidth="1"/>
    <col min="3336" max="3337" width="1" style="1" customWidth="1"/>
    <col min="3338" max="3382" width="0" style="1" hidden="1" customWidth="1"/>
    <col min="3383" max="3384" width="1" style="1" customWidth="1"/>
    <col min="3385" max="3385" width="17.85546875" style="1" customWidth="1"/>
    <col min="3386" max="3387" width="1" style="1" customWidth="1"/>
    <col min="3388" max="3397" width="0" style="1" hidden="1" customWidth="1"/>
    <col min="3398" max="3399" width="1" style="1" customWidth="1"/>
    <col min="3400" max="3400" width="17.85546875" style="1" customWidth="1"/>
    <col min="3401" max="3404" width="1" style="1" customWidth="1"/>
    <col min="3405" max="3405" width="17.85546875" style="1" customWidth="1"/>
    <col min="3406" max="3407" width="1" style="1" customWidth="1"/>
    <col min="3408" max="3452" width="0" style="1" hidden="1" customWidth="1"/>
    <col min="3453" max="3454" width="1" style="1" customWidth="1"/>
    <col min="3455" max="3455" width="17.85546875" style="1" customWidth="1"/>
    <col min="3456" max="3457" width="1" style="1" customWidth="1"/>
    <col min="3458" max="3467" width="0" style="1" hidden="1" customWidth="1"/>
    <col min="3468" max="3469" width="1" style="1" customWidth="1"/>
    <col min="3470" max="3470" width="17.85546875" style="1" customWidth="1"/>
    <col min="3471" max="3471" width="1" style="1" customWidth="1"/>
    <col min="3472" max="3472" width="2" style="1" customWidth="1"/>
    <col min="3473" max="3473" width="6.42578125" style="1" customWidth="1"/>
    <col min="3474" max="3474" width="17.42578125" style="1" customWidth="1"/>
    <col min="3475" max="3475" width="12.28515625" style="1" customWidth="1"/>
    <col min="3476" max="3584" width="10" style="1"/>
    <col min="3585" max="3585" width="1.85546875" style="1" customWidth="1"/>
    <col min="3586" max="3587" width="1" style="1" customWidth="1"/>
    <col min="3588" max="3588" width="34" style="1" customWidth="1"/>
    <col min="3589" max="3590" width="1" style="1" customWidth="1"/>
    <col min="3591" max="3591" width="17.85546875" style="1" customWidth="1"/>
    <col min="3592" max="3593" width="1" style="1" customWidth="1"/>
    <col min="3594" max="3638" width="0" style="1" hidden="1" customWidth="1"/>
    <col min="3639" max="3640" width="1" style="1" customWidth="1"/>
    <col min="3641" max="3641" width="17.85546875" style="1" customWidth="1"/>
    <col min="3642" max="3643" width="1" style="1" customWidth="1"/>
    <col min="3644" max="3653" width="0" style="1" hidden="1" customWidth="1"/>
    <col min="3654" max="3655" width="1" style="1" customWidth="1"/>
    <col min="3656" max="3656" width="17.85546875" style="1" customWidth="1"/>
    <col min="3657" max="3660" width="1" style="1" customWidth="1"/>
    <col min="3661" max="3661" width="17.85546875" style="1" customWidth="1"/>
    <col min="3662" max="3663" width="1" style="1" customWidth="1"/>
    <col min="3664" max="3708" width="0" style="1" hidden="1" customWidth="1"/>
    <col min="3709" max="3710" width="1" style="1" customWidth="1"/>
    <col min="3711" max="3711" width="17.85546875" style="1" customWidth="1"/>
    <col min="3712" max="3713" width="1" style="1" customWidth="1"/>
    <col min="3714" max="3723" width="0" style="1" hidden="1" customWidth="1"/>
    <col min="3724" max="3725" width="1" style="1" customWidth="1"/>
    <col min="3726" max="3726" width="17.85546875" style="1" customWidth="1"/>
    <col min="3727" max="3727" width="1" style="1" customWidth="1"/>
    <col min="3728" max="3728" width="2" style="1" customWidth="1"/>
    <col min="3729" max="3729" width="6.42578125" style="1" customWidth="1"/>
    <col min="3730" max="3730" width="17.42578125" style="1" customWidth="1"/>
    <col min="3731" max="3731" width="12.28515625" style="1" customWidth="1"/>
    <col min="3732" max="3840" width="10" style="1"/>
    <col min="3841" max="3841" width="1.85546875" style="1" customWidth="1"/>
    <col min="3842" max="3843" width="1" style="1" customWidth="1"/>
    <col min="3844" max="3844" width="34" style="1" customWidth="1"/>
    <col min="3845" max="3846" width="1" style="1" customWidth="1"/>
    <col min="3847" max="3847" width="17.85546875" style="1" customWidth="1"/>
    <col min="3848" max="3849" width="1" style="1" customWidth="1"/>
    <col min="3850" max="3894" width="0" style="1" hidden="1" customWidth="1"/>
    <col min="3895" max="3896" width="1" style="1" customWidth="1"/>
    <col min="3897" max="3897" width="17.85546875" style="1" customWidth="1"/>
    <col min="3898" max="3899" width="1" style="1" customWidth="1"/>
    <col min="3900" max="3909" width="0" style="1" hidden="1" customWidth="1"/>
    <col min="3910" max="3911" width="1" style="1" customWidth="1"/>
    <col min="3912" max="3912" width="17.85546875" style="1" customWidth="1"/>
    <col min="3913" max="3916" width="1" style="1" customWidth="1"/>
    <col min="3917" max="3917" width="17.85546875" style="1" customWidth="1"/>
    <col min="3918" max="3919" width="1" style="1" customWidth="1"/>
    <col min="3920" max="3964" width="0" style="1" hidden="1" customWidth="1"/>
    <col min="3965" max="3966" width="1" style="1" customWidth="1"/>
    <col min="3967" max="3967" width="17.85546875" style="1" customWidth="1"/>
    <col min="3968" max="3969" width="1" style="1" customWidth="1"/>
    <col min="3970" max="3979" width="0" style="1" hidden="1" customWidth="1"/>
    <col min="3980" max="3981" width="1" style="1" customWidth="1"/>
    <col min="3982" max="3982" width="17.85546875" style="1" customWidth="1"/>
    <col min="3983" max="3983" width="1" style="1" customWidth="1"/>
    <col min="3984" max="3984" width="2" style="1" customWidth="1"/>
    <col min="3985" max="3985" width="6.42578125" style="1" customWidth="1"/>
    <col min="3986" max="3986" width="17.42578125" style="1" customWidth="1"/>
    <col min="3987" max="3987" width="12.28515625" style="1" customWidth="1"/>
    <col min="3988" max="4096" width="10" style="1"/>
    <col min="4097" max="4097" width="1.85546875" style="1" customWidth="1"/>
    <col min="4098" max="4099" width="1" style="1" customWidth="1"/>
    <col min="4100" max="4100" width="34" style="1" customWidth="1"/>
    <col min="4101" max="4102" width="1" style="1" customWidth="1"/>
    <col min="4103" max="4103" width="17.85546875" style="1" customWidth="1"/>
    <col min="4104" max="4105" width="1" style="1" customWidth="1"/>
    <col min="4106" max="4150" width="0" style="1" hidden="1" customWidth="1"/>
    <col min="4151" max="4152" width="1" style="1" customWidth="1"/>
    <col min="4153" max="4153" width="17.85546875" style="1" customWidth="1"/>
    <col min="4154" max="4155" width="1" style="1" customWidth="1"/>
    <col min="4156" max="4165" width="0" style="1" hidden="1" customWidth="1"/>
    <col min="4166" max="4167" width="1" style="1" customWidth="1"/>
    <col min="4168" max="4168" width="17.85546875" style="1" customWidth="1"/>
    <col min="4169" max="4172" width="1" style="1" customWidth="1"/>
    <col min="4173" max="4173" width="17.85546875" style="1" customWidth="1"/>
    <col min="4174" max="4175" width="1" style="1" customWidth="1"/>
    <col min="4176" max="4220" width="0" style="1" hidden="1" customWidth="1"/>
    <col min="4221" max="4222" width="1" style="1" customWidth="1"/>
    <col min="4223" max="4223" width="17.85546875" style="1" customWidth="1"/>
    <col min="4224" max="4225" width="1" style="1" customWidth="1"/>
    <col min="4226" max="4235" width="0" style="1" hidden="1" customWidth="1"/>
    <col min="4236" max="4237" width="1" style="1" customWidth="1"/>
    <col min="4238" max="4238" width="17.85546875" style="1" customWidth="1"/>
    <col min="4239" max="4239" width="1" style="1" customWidth="1"/>
    <col min="4240" max="4240" width="2" style="1" customWidth="1"/>
    <col min="4241" max="4241" width="6.42578125" style="1" customWidth="1"/>
    <col min="4242" max="4242" width="17.42578125" style="1" customWidth="1"/>
    <col min="4243" max="4243" width="12.28515625" style="1" customWidth="1"/>
    <col min="4244" max="4352" width="10" style="1"/>
    <col min="4353" max="4353" width="1.85546875" style="1" customWidth="1"/>
    <col min="4354" max="4355" width="1" style="1" customWidth="1"/>
    <col min="4356" max="4356" width="34" style="1" customWidth="1"/>
    <col min="4357" max="4358" width="1" style="1" customWidth="1"/>
    <col min="4359" max="4359" width="17.85546875" style="1" customWidth="1"/>
    <col min="4360" max="4361" width="1" style="1" customWidth="1"/>
    <col min="4362" max="4406" width="0" style="1" hidden="1" customWidth="1"/>
    <col min="4407" max="4408" width="1" style="1" customWidth="1"/>
    <col min="4409" max="4409" width="17.85546875" style="1" customWidth="1"/>
    <col min="4410" max="4411" width="1" style="1" customWidth="1"/>
    <col min="4412" max="4421" width="0" style="1" hidden="1" customWidth="1"/>
    <col min="4422" max="4423" width="1" style="1" customWidth="1"/>
    <col min="4424" max="4424" width="17.85546875" style="1" customWidth="1"/>
    <col min="4425" max="4428" width="1" style="1" customWidth="1"/>
    <col min="4429" max="4429" width="17.85546875" style="1" customWidth="1"/>
    <col min="4430" max="4431" width="1" style="1" customWidth="1"/>
    <col min="4432" max="4476" width="0" style="1" hidden="1" customWidth="1"/>
    <col min="4477" max="4478" width="1" style="1" customWidth="1"/>
    <col min="4479" max="4479" width="17.85546875" style="1" customWidth="1"/>
    <col min="4480" max="4481" width="1" style="1" customWidth="1"/>
    <col min="4482" max="4491" width="0" style="1" hidden="1" customWidth="1"/>
    <col min="4492" max="4493" width="1" style="1" customWidth="1"/>
    <col min="4494" max="4494" width="17.85546875" style="1" customWidth="1"/>
    <col min="4495" max="4495" width="1" style="1" customWidth="1"/>
    <col min="4496" max="4496" width="2" style="1" customWidth="1"/>
    <col min="4497" max="4497" width="6.42578125" style="1" customWidth="1"/>
    <col min="4498" max="4498" width="17.42578125" style="1" customWidth="1"/>
    <col min="4499" max="4499" width="12.28515625" style="1" customWidth="1"/>
    <col min="4500" max="4608" width="10" style="1"/>
    <col min="4609" max="4609" width="1.85546875" style="1" customWidth="1"/>
    <col min="4610" max="4611" width="1" style="1" customWidth="1"/>
    <col min="4612" max="4612" width="34" style="1" customWidth="1"/>
    <col min="4613" max="4614" width="1" style="1" customWidth="1"/>
    <col min="4615" max="4615" width="17.85546875" style="1" customWidth="1"/>
    <col min="4616" max="4617" width="1" style="1" customWidth="1"/>
    <col min="4618" max="4662" width="0" style="1" hidden="1" customWidth="1"/>
    <col min="4663" max="4664" width="1" style="1" customWidth="1"/>
    <col min="4665" max="4665" width="17.85546875" style="1" customWidth="1"/>
    <col min="4666" max="4667" width="1" style="1" customWidth="1"/>
    <col min="4668" max="4677" width="0" style="1" hidden="1" customWidth="1"/>
    <col min="4678" max="4679" width="1" style="1" customWidth="1"/>
    <col min="4680" max="4680" width="17.85546875" style="1" customWidth="1"/>
    <col min="4681" max="4684" width="1" style="1" customWidth="1"/>
    <col min="4685" max="4685" width="17.85546875" style="1" customWidth="1"/>
    <col min="4686" max="4687" width="1" style="1" customWidth="1"/>
    <col min="4688" max="4732" width="0" style="1" hidden="1" customWidth="1"/>
    <col min="4733" max="4734" width="1" style="1" customWidth="1"/>
    <col min="4735" max="4735" width="17.85546875" style="1" customWidth="1"/>
    <col min="4736" max="4737" width="1" style="1" customWidth="1"/>
    <col min="4738" max="4747" width="0" style="1" hidden="1" customWidth="1"/>
    <col min="4748" max="4749" width="1" style="1" customWidth="1"/>
    <col min="4750" max="4750" width="17.85546875" style="1" customWidth="1"/>
    <col min="4751" max="4751" width="1" style="1" customWidth="1"/>
    <col min="4752" max="4752" width="2" style="1" customWidth="1"/>
    <col min="4753" max="4753" width="6.42578125" style="1" customWidth="1"/>
    <col min="4754" max="4754" width="17.42578125" style="1" customWidth="1"/>
    <col min="4755" max="4755" width="12.28515625" style="1" customWidth="1"/>
    <col min="4756" max="4864" width="10" style="1"/>
    <col min="4865" max="4865" width="1.85546875" style="1" customWidth="1"/>
    <col min="4866" max="4867" width="1" style="1" customWidth="1"/>
    <col min="4868" max="4868" width="34" style="1" customWidth="1"/>
    <col min="4869" max="4870" width="1" style="1" customWidth="1"/>
    <col min="4871" max="4871" width="17.85546875" style="1" customWidth="1"/>
    <col min="4872" max="4873" width="1" style="1" customWidth="1"/>
    <col min="4874" max="4918" width="0" style="1" hidden="1" customWidth="1"/>
    <col min="4919" max="4920" width="1" style="1" customWidth="1"/>
    <col min="4921" max="4921" width="17.85546875" style="1" customWidth="1"/>
    <col min="4922" max="4923" width="1" style="1" customWidth="1"/>
    <col min="4924" max="4933" width="0" style="1" hidden="1" customWidth="1"/>
    <col min="4934" max="4935" width="1" style="1" customWidth="1"/>
    <col min="4936" max="4936" width="17.85546875" style="1" customWidth="1"/>
    <col min="4937" max="4940" width="1" style="1" customWidth="1"/>
    <col min="4941" max="4941" width="17.85546875" style="1" customWidth="1"/>
    <col min="4942" max="4943" width="1" style="1" customWidth="1"/>
    <col min="4944" max="4988" width="0" style="1" hidden="1" customWidth="1"/>
    <col min="4989" max="4990" width="1" style="1" customWidth="1"/>
    <col min="4991" max="4991" width="17.85546875" style="1" customWidth="1"/>
    <col min="4992" max="4993" width="1" style="1" customWidth="1"/>
    <col min="4994" max="5003" width="0" style="1" hidden="1" customWidth="1"/>
    <col min="5004" max="5005" width="1" style="1" customWidth="1"/>
    <col min="5006" max="5006" width="17.85546875" style="1" customWidth="1"/>
    <col min="5007" max="5007" width="1" style="1" customWidth="1"/>
    <col min="5008" max="5008" width="2" style="1" customWidth="1"/>
    <col min="5009" max="5009" width="6.42578125" style="1" customWidth="1"/>
    <col min="5010" max="5010" width="17.42578125" style="1" customWidth="1"/>
    <col min="5011" max="5011" width="12.28515625" style="1" customWidth="1"/>
    <col min="5012" max="5120" width="10" style="1"/>
    <col min="5121" max="5121" width="1.85546875" style="1" customWidth="1"/>
    <col min="5122" max="5123" width="1" style="1" customWidth="1"/>
    <col min="5124" max="5124" width="34" style="1" customWidth="1"/>
    <col min="5125" max="5126" width="1" style="1" customWidth="1"/>
    <col min="5127" max="5127" width="17.85546875" style="1" customWidth="1"/>
    <col min="5128" max="5129" width="1" style="1" customWidth="1"/>
    <col min="5130" max="5174" width="0" style="1" hidden="1" customWidth="1"/>
    <col min="5175" max="5176" width="1" style="1" customWidth="1"/>
    <col min="5177" max="5177" width="17.85546875" style="1" customWidth="1"/>
    <col min="5178" max="5179" width="1" style="1" customWidth="1"/>
    <col min="5180" max="5189" width="0" style="1" hidden="1" customWidth="1"/>
    <col min="5190" max="5191" width="1" style="1" customWidth="1"/>
    <col min="5192" max="5192" width="17.85546875" style="1" customWidth="1"/>
    <col min="5193" max="5196" width="1" style="1" customWidth="1"/>
    <col min="5197" max="5197" width="17.85546875" style="1" customWidth="1"/>
    <col min="5198" max="5199" width="1" style="1" customWidth="1"/>
    <col min="5200" max="5244" width="0" style="1" hidden="1" customWidth="1"/>
    <col min="5245" max="5246" width="1" style="1" customWidth="1"/>
    <col min="5247" max="5247" width="17.85546875" style="1" customWidth="1"/>
    <col min="5248" max="5249" width="1" style="1" customWidth="1"/>
    <col min="5250" max="5259" width="0" style="1" hidden="1" customWidth="1"/>
    <col min="5260" max="5261" width="1" style="1" customWidth="1"/>
    <col min="5262" max="5262" width="17.85546875" style="1" customWidth="1"/>
    <col min="5263" max="5263" width="1" style="1" customWidth="1"/>
    <col min="5264" max="5264" width="2" style="1" customWidth="1"/>
    <col min="5265" max="5265" width="6.42578125" style="1" customWidth="1"/>
    <col min="5266" max="5266" width="17.42578125" style="1" customWidth="1"/>
    <col min="5267" max="5267" width="12.28515625" style="1" customWidth="1"/>
    <col min="5268" max="5376" width="10" style="1"/>
    <col min="5377" max="5377" width="1.85546875" style="1" customWidth="1"/>
    <col min="5378" max="5379" width="1" style="1" customWidth="1"/>
    <col min="5380" max="5380" width="34" style="1" customWidth="1"/>
    <col min="5381" max="5382" width="1" style="1" customWidth="1"/>
    <col min="5383" max="5383" width="17.85546875" style="1" customWidth="1"/>
    <col min="5384" max="5385" width="1" style="1" customWidth="1"/>
    <col min="5386" max="5430" width="0" style="1" hidden="1" customWidth="1"/>
    <col min="5431" max="5432" width="1" style="1" customWidth="1"/>
    <col min="5433" max="5433" width="17.85546875" style="1" customWidth="1"/>
    <col min="5434" max="5435" width="1" style="1" customWidth="1"/>
    <col min="5436" max="5445" width="0" style="1" hidden="1" customWidth="1"/>
    <col min="5446" max="5447" width="1" style="1" customWidth="1"/>
    <col min="5448" max="5448" width="17.85546875" style="1" customWidth="1"/>
    <col min="5449" max="5452" width="1" style="1" customWidth="1"/>
    <col min="5453" max="5453" width="17.85546875" style="1" customWidth="1"/>
    <col min="5454" max="5455" width="1" style="1" customWidth="1"/>
    <col min="5456" max="5500" width="0" style="1" hidden="1" customWidth="1"/>
    <col min="5501" max="5502" width="1" style="1" customWidth="1"/>
    <col min="5503" max="5503" width="17.85546875" style="1" customWidth="1"/>
    <col min="5504" max="5505" width="1" style="1" customWidth="1"/>
    <col min="5506" max="5515" width="0" style="1" hidden="1" customWidth="1"/>
    <col min="5516" max="5517" width="1" style="1" customWidth="1"/>
    <col min="5518" max="5518" width="17.85546875" style="1" customWidth="1"/>
    <col min="5519" max="5519" width="1" style="1" customWidth="1"/>
    <col min="5520" max="5520" width="2" style="1" customWidth="1"/>
    <col min="5521" max="5521" width="6.42578125" style="1" customWidth="1"/>
    <col min="5522" max="5522" width="17.42578125" style="1" customWidth="1"/>
    <col min="5523" max="5523" width="12.28515625" style="1" customWidth="1"/>
    <col min="5524" max="5632" width="10" style="1"/>
    <col min="5633" max="5633" width="1.85546875" style="1" customWidth="1"/>
    <col min="5634" max="5635" width="1" style="1" customWidth="1"/>
    <col min="5636" max="5636" width="34" style="1" customWidth="1"/>
    <col min="5637" max="5638" width="1" style="1" customWidth="1"/>
    <col min="5639" max="5639" width="17.85546875" style="1" customWidth="1"/>
    <col min="5640" max="5641" width="1" style="1" customWidth="1"/>
    <col min="5642" max="5686" width="0" style="1" hidden="1" customWidth="1"/>
    <col min="5687" max="5688" width="1" style="1" customWidth="1"/>
    <col min="5689" max="5689" width="17.85546875" style="1" customWidth="1"/>
    <col min="5690" max="5691" width="1" style="1" customWidth="1"/>
    <col min="5692" max="5701" width="0" style="1" hidden="1" customWidth="1"/>
    <col min="5702" max="5703" width="1" style="1" customWidth="1"/>
    <col min="5704" max="5704" width="17.85546875" style="1" customWidth="1"/>
    <col min="5705" max="5708" width="1" style="1" customWidth="1"/>
    <col min="5709" max="5709" width="17.85546875" style="1" customWidth="1"/>
    <col min="5710" max="5711" width="1" style="1" customWidth="1"/>
    <col min="5712" max="5756" width="0" style="1" hidden="1" customWidth="1"/>
    <col min="5757" max="5758" width="1" style="1" customWidth="1"/>
    <col min="5759" max="5759" width="17.85546875" style="1" customWidth="1"/>
    <col min="5760" max="5761" width="1" style="1" customWidth="1"/>
    <col min="5762" max="5771" width="0" style="1" hidden="1" customWidth="1"/>
    <col min="5772" max="5773" width="1" style="1" customWidth="1"/>
    <col min="5774" max="5774" width="17.85546875" style="1" customWidth="1"/>
    <col min="5775" max="5775" width="1" style="1" customWidth="1"/>
    <col min="5776" max="5776" width="2" style="1" customWidth="1"/>
    <col min="5777" max="5777" width="6.42578125" style="1" customWidth="1"/>
    <col min="5778" max="5778" width="17.42578125" style="1" customWidth="1"/>
    <col min="5779" max="5779" width="12.28515625" style="1" customWidth="1"/>
    <col min="5780" max="5888" width="10" style="1"/>
    <col min="5889" max="5889" width="1.85546875" style="1" customWidth="1"/>
    <col min="5890" max="5891" width="1" style="1" customWidth="1"/>
    <col min="5892" max="5892" width="34" style="1" customWidth="1"/>
    <col min="5893" max="5894" width="1" style="1" customWidth="1"/>
    <col min="5895" max="5895" width="17.85546875" style="1" customWidth="1"/>
    <col min="5896" max="5897" width="1" style="1" customWidth="1"/>
    <col min="5898" max="5942" width="0" style="1" hidden="1" customWidth="1"/>
    <col min="5943" max="5944" width="1" style="1" customWidth="1"/>
    <col min="5945" max="5945" width="17.85546875" style="1" customWidth="1"/>
    <col min="5946" max="5947" width="1" style="1" customWidth="1"/>
    <col min="5948" max="5957" width="0" style="1" hidden="1" customWidth="1"/>
    <col min="5958" max="5959" width="1" style="1" customWidth="1"/>
    <col min="5960" max="5960" width="17.85546875" style="1" customWidth="1"/>
    <col min="5961" max="5964" width="1" style="1" customWidth="1"/>
    <col min="5965" max="5965" width="17.85546875" style="1" customWidth="1"/>
    <col min="5966" max="5967" width="1" style="1" customWidth="1"/>
    <col min="5968" max="6012" width="0" style="1" hidden="1" customWidth="1"/>
    <col min="6013" max="6014" width="1" style="1" customWidth="1"/>
    <col min="6015" max="6015" width="17.85546875" style="1" customWidth="1"/>
    <col min="6016" max="6017" width="1" style="1" customWidth="1"/>
    <col min="6018" max="6027" width="0" style="1" hidden="1" customWidth="1"/>
    <col min="6028" max="6029" width="1" style="1" customWidth="1"/>
    <col min="6030" max="6030" width="17.85546875" style="1" customWidth="1"/>
    <col min="6031" max="6031" width="1" style="1" customWidth="1"/>
    <col min="6032" max="6032" width="2" style="1" customWidth="1"/>
    <col min="6033" max="6033" width="6.42578125" style="1" customWidth="1"/>
    <col min="6034" max="6034" width="17.42578125" style="1" customWidth="1"/>
    <col min="6035" max="6035" width="12.28515625" style="1" customWidth="1"/>
    <col min="6036" max="6144" width="10" style="1"/>
    <col min="6145" max="6145" width="1.85546875" style="1" customWidth="1"/>
    <col min="6146" max="6147" width="1" style="1" customWidth="1"/>
    <col min="6148" max="6148" width="34" style="1" customWidth="1"/>
    <col min="6149" max="6150" width="1" style="1" customWidth="1"/>
    <col min="6151" max="6151" width="17.85546875" style="1" customWidth="1"/>
    <col min="6152" max="6153" width="1" style="1" customWidth="1"/>
    <col min="6154" max="6198" width="0" style="1" hidden="1" customWidth="1"/>
    <col min="6199" max="6200" width="1" style="1" customWidth="1"/>
    <col min="6201" max="6201" width="17.85546875" style="1" customWidth="1"/>
    <col min="6202" max="6203" width="1" style="1" customWidth="1"/>
    <col min="6204" max="6213" width="0" style="1" hidden="1" customWidth="1"/>
    <col min="6214" max="6215" width="1" style="1" customWidth="1"/>
    <col min="6216" max="6216" width="17.85546875" style="1" customWidth="1"/>
    <col min="6217" max="6220" width="1" style="1" customWidth="1"/>
    <col min="6221" max="6221" width="17.85546875" style="1" customWidth="1"/>
    <col min="6222" max="6223" width="1" style="1" customWidth="1"/>
    <col min="6224" max="6268" width="0" style="1" hidden="1" customWidth="1"/>
    <col min="6269" max="6270" width="1" style="1" customWidth="1"/>
    <col min="6271" max="6271" width="17.85546875" style="1" customWidth="1"/>
    <col min="6272" max="6273" width="1" style="1" customWidth="1"/>
    <col min="6274" max="6283" width="0" style="1" hidden="1" customWidth="1"/>
    <col min="6284" max="6285" width="1" style="1" customWidth="1"/>
    <col min="6286" max="6286" width="17.85546875" style="1" customWidth="1"/>
    <col min="6287" max="6287" width="1" style="1" customWidth="1"/>
    <col min="6288" max="6288" width="2" style="1" customWidth="1"/>
    <col min="6289" max="6289" width="6.42578125" style="1" customWidth="1"/>
    <col min="6290" max="6290" width="17.42578125" style="1" customWidth="1"/>
    <col min="6291" max="6291" width="12.28515625" style="1" customWidth="1"/>
    <col min="6292" max="6400" width="10" style="1"/>
    <col min="6401" max="6401" width="1.85546875" style="1" customWidth="1"/>
    <col min="6402" max="6403" width="1" style="1" customWidth="1"/>
    <col min="6404" max="6404" width="34" style="1" customWidth="1"/>
    <col min="6405" max="6406" width="1" style="1" customWidth="1"/>
    <col min="6407" max="6407" width="17.85546875" style="1" customWidth="1"/>
    <col min="6408" max="6409" width="1" style="1" customWidth="1"/>
    <col min="6410" max="6454" width="0" style="1" hidden="1" customWidth="1"/>
    <col min="6455" max="6456" width="1" style="1" customWidth="1"/>
    <col min="6457" max="6457" width="17.85546875" style="1" customWidth="1"/>
    <col min="6458" max="6459" width="1" style="1" customWidth="1"/>
    <col min="6460" max="6469" width="0" style="1" hidden="1" customWidth="1"/>
    <col min="6470" max="6471" width="1" style="1" customWidth="1"/>
    <col min="6472" max="6472" width="17.85546875" style="1" customWidth="1"/>
    <col min="6473" max="6476" width="1" style="1" customWidth="1"/>
    <col min="6477" max="6477" width="17.85546875" style="1" customWidth="1"/>
    <col min="6478" max="6479" width="1" style="1" customWidth="1"/>
    <col min="6480" max="6524" width="0" style="1" hidden="1" customWidth="1"/>
    <col min="6525" max="6526" width="1" style="1" customWidth="1"/>
    <col min="6527" max="6527" width="17.85546875" style="1" customWidth="1"/>
    <col min="6528" max="6529" width="1" style="1" customWidth="1"/>
    <col min="6530" max="6539" width="0" style="1" hidden="1" customWidth="1"/>
    <col min="6540" max="6541" width="1" style="1" customWidth="1"/>
    <col min="6542" max="6542" width="17.85546875" style="1" customWidth="1"/>
    <col min="6543" max="6543" width="1" style="1" customWidth="1"/>
    <col min="6544" max="6544" width="2" style="1" customWidth="1"/>
    <col min="6545" max="6545" width="6.42578125" style="1" customWidth="1"/>
    <col min="6546" max="6546" width="17.42578125" style="1" customWidth="1"/>
    <col min="6547" max="6547" width="12.28515625" style="1" customWidth="1"/>
    <col min="6548" max="6656" width="10" style="1"/>
    <col min="6657" max="6657" width="1.85546875" style="1" customWidth="1"/>
    <col min="6658" max="6659" width="1" style="1" customWidth="1"/>
    <col min="6660" max="6660" width="34" style="1" customWidth="1"/>
    <col min="6661" max="6662" width="1" style="1" customWidth="1"/>
    <col min="6663" max="6663" width="17.85546875" style="1" customWidth="1"/>
    <col min="6664" max="6665" width="1" style="1" customWidth="1"/>
    <col min="6666" max="6710" width="0" style="1" hidden="1" customWidth="1"/>
    <col min="6711" max="6712" width="1" style="1" customWidth="1"/>
    <col min="6713" max="6713" width="17.85546875" style="1" customWidth="1"/>
    <col min="6714" max="6715" width="1" style="1" customWidth="1"/>
    <col min="6716" max="6725" width="0" style="1" hidden="1" customWidth="1"/>
    <col min="6726" max="6727" width="1" style="1" customWidth="1"/>
    <col min="6728" max="6728" width="17.85546875" style="1" customWidth="1"/>
    <col min="6729" max="6732" width="1" style="1" customWidth="1"/>
    <col min="6733" max="6733" width="17.85546875" style="1" customWidth="1"/>
    <col min="6734" max="6735" width="1" style="1" customWidth="1"/>
    <col min="6736" max="6780" width="0" style="1" hidden="1" customWidth="1"/>
    <col min="6781" max="6782" width="1" style="1" customWidth="1"/>
    <col min="6783" max="6783" width="17.85546875" style="1" customWidth="1"/>
    <col min="6784" max="6785" width="1" style="1" customWidth="1"/>
    <col min="6786" max="6795" width="0" style="1" hidden="1" customWidth="1"/>
    <col min="6796" max="6797" width="1" style="1" customWidth="1"/>
    <col min="6798" max="6798" width="17.85546875" style="1" customWidth="1"/>
    <col min="6799" max="6799" width="1" style="1" customWidth="1"/>
    <col min="6800" max="6800" width="2" style="1" customWidth="1"/>
    <col min="6801" max="6801" width="6.42578125" style="1" customWidth="1"/>
    <col min="6802" max="6802" width="17.42578125" style="1" customWidth="1"/>
    <col min="6803" max="6803" width="12.28515625" style="1" customWidth="1"/>
    <col min="6804" max="6912" width="10" style="1"/>
    <col min="6913" max="6913" width="1.85546875" style="1" customWidth="1"/>
    <col min="6914" max="6915" width="1" style="1" customWidth="1"/>
    <col min="6916" max="6916" width="34" style="1" customWidth="1"/>
    <col min="6917" max="6918" width="1" style="1" customWidth="1"/>
    <col min="6919" max="6919" width="17.85546875" style="1" customWidth="1"/>
    <col min="6920" max="6921" width="1" style="1" customWidth="1"/>
    <col min="6922" max="6966" width="0" style="1" hidden="1" customWidth="1"/>
    <col min="6967" max="6968" width="1" style="1" customWidth="1"/>
    <col min="6969" max="6969" width="17.85546875" style="1" customWidth="1"/>
    <col min="6970" max="6971" width="1" style="1" customWidth="1"/>
    <col min="6972" max="6981" width="0" style="1" hidden="1" customWidth="1"/>
    <col min="6982" max="6983" width="1" style="1" customWidth="1"/>
    <col min="6984" max="6984" width="17.85546875" style="1" customWidth="1"/>
    <col min="6985" max="6988" width="1" style="1" customWidth="1"/>
    <col min="6989" max="6989" width="17.85546875" style="1" customWidth="1"/>
    <col min="6990" max="6991" width="1" style="1" customWidth="1"/>
    <col min="6992" max="7036" width="0" style="1" hidden="1" customWidth="1"/>
    <col min="7037" max="7038" width="1" style="1" customWidth="1"/>
    <col min="7039" max="7039" width="17.85546875" style="1" customWidth="1"/>
    <col min="7040" max="7041" width="1" style="1" customWidth="1"/>
    <col min="7042" max="7051" width="0" style="1" hidden="1" customWidth="1"/>
    <col min="7052" max="7053" width="1" style="1" customWidth="1"/>
    <col min="7054" max="7054" width="17.85546875" style="1" customWidth="1"/>
    <col min="7055" max="7055" width="1" style="1" customWidth="1"/>
    <col min="7056" max="7056" width="2" style="1" customWidth="1"/>
    <col min="7057" max="7057" width="6.42578125" style="1" customWidth="1"/>
    <col min="7058" max="7058" width="17.42578125" style="1" customWidth="1"/>
    <col min="7059" max="7059" width="12.28515625" style="1" customWidth="1"/>
    <col min="7060" max="7168" width="10" style="1"/>
    <col min="7169" max="7169" width="1.85546875" style="1" customWidth="1"/>
    <col min="7170" max="7171" width="1" style="1" customWidth="1"/>
    <col min="7172" max="7172" width="34" style="1" customWidth="1"/>
    <col min="7173" max="7174" width="1" style="1" customWidth="1"/>
    <col min="7175" max="7175" width="17.85546875" style="1" customWidth="1"/>
    <col min="7176" max="7177" width="1" style="1" customWidth="1"/>
    <col min="7178" max="7222" width="0" style="1" hidden="1" customWidth="1"/>
    <col min="7223" max="7224" width="1" style="1" customWidth="1"/>
    <col min="7225" max="7225" width="17.85546875" style="1" customWidth="1"/>
    <col min="7226" max="7227" width="1" style="1" customWidth="1"/>
    <col min="7228" max="7237" width="0" style="1" hidden="1" customWidth="1"/>
    <col min="7238" max="7239" width="1" style="1" customWidth="1"/>
    <col min="7240" max="7240" width="17.85546875" style="1" customWidth="1"/>
    <col min="7241" max="7244" width="1" style="1" customWidth="1"/>
    <col min="7245" max="7245" width="17.85546875" style="1" customWidth="1"/>
    <col min="7246" max="7247" width="1" style="1" customWidth="1"/>
    <col min="7248" max="7292" width="0" style="1" hidden="1" customWidth="1"/>
    <col min="7293" max="7294" width="1" style="1" customWidth="1"/>
    <col min="7295" max="7295" width="17.85546875" style="1" customWidth="1"/>
    <col min="7296" max="7297" width="1" style="1" customWidth="1"/>
    <col min="7298" max="7307" width="0" style="1" hidden="1" customWidth="1"/>
    <col min="7308" max="7309" width="1" style="1" customWidth="1"/>
    <col min="7310" max="7310" width="17.85546875" style="1" customWidth="1"/>
    <col min="7311" max="7311" width="1" style="1" customWidth="1"/>
    <col min="7312" max="7312" width="2" style="1" customWidth="1"/>
    <col min="7313" max="7313" width="6.42578125" style="1" customWidth="1"/>
    <col min="7314" max="7314" width="17.42578125" style="1" customWidth="1"/>
    <col min="7315" max="7315" width="12.28515625" style="1" customWidth="1"/>
    <col min="7316" max="7424" width="10" style="1"/>
    <col min="7425" max="7425" width="1.85546875" style="1" customWidth="1"/>
    <col min="7426" max="7427" width="1" style="1" customWidth="1"/>
    <col min="7428" max="7428" width="34" style="1" customWidth="1"/>
    <col min="7429" max="7430" width="1" style="1" customWidth="1"/>
    <col min="7431" max="7431" width="17.85546875" style="1" customWidth="1"/>
    <col min="7432" max="7433" width="1" style="1" customWidth="1"/>
    <col min="7434" max="7478" width="0" style="1" hidden="1" customWidth="1"/>
    <col min="7479" max="7480" width="1" style="1" customWidth="1"/>
    <col min="7481" max="7481" width="17.85546875" style="1" customWidth="1"/>
    <col min="7482" max="7483" width="1" style="1" customWidth="1"/>
    <col min="7484" max="7493" width="0" style="1" hidden="1" customWidth="1"/>
    <col min="7494" max="7495" width="1" style="1" customWidth="1"/>
    <col min="7496" max="7496" width="17.85546875" style="1" customWidth="1"/>
    <col min="7497" max="7500" width="1" style="1" customWidth="1"/>
    <col min="7501" max="7501" width="17.85546875" style="1" customWidth="1"/>
    <col min="7502" max="7503" width="1" style="1" customWidth="1"/>
    <col min="7504" max="7548" width="0" style="1" hidden="1" customWidth="1"/>
    <col min="7549" max="7550" width="1" style="1" customWidth="1"/>
    <col min="7551" max="7551" width="17.85546875" style="1" customWidth="1"/>
    <col min="7552" max="7553" width="1" style="1" customWidth="1"/>
    <col min="7554" max="7563" width="0" style="1" hidden="1" customWidth="1"/>
    <col min="7564" max="7565" width="1" style="1" customWidth="1"/>
    <col min="7566" max="7566" width="17.85546875" style="1" customWidth="1"/>
    <col min="7567" max="7567" width="1" style="1" customWidth="1"/>
    <col min="7568" max="7568" width="2" style="1" customWidth="1"/>
    <col min="7569" max="7569" width="6.42578125" style="1" customWidth="1"/>
    <col min="7570" max="7570" width="17.42578125" style="1" customWidth="1"/>
    <col min="7571" max="7571" width="12.28515625" style="1" customWidth="1"/>
    <col min="7572" max="7680" width="10" style="1"/>
    <col min="7681" max="7681" width="1.85546875" style="1" customWidth="1"/>
    <col min="7682" max="7683" width="1" style="1" customWidth="1"/>
    <col min="7684" max="7684" width="34" style="1" customWidth="1"/>
    <col min="7685" max="7686" width="1" style="1" customWidth="1"/>
    <col min="7687" max="7687" width="17.85546875" style="1" customWidth="1"/>
    <col min="7688" max="7689" width="1" style="1" customWidth="1"/>
    <col min="7690" max="7734" width="0" style="1" hidden="1" customWidth="1"/>
    <col min="7735" max="7736" width="1" style="1" customWidth="1"/>
    <col min="7737" max="7737" width="17.85546875" style="1" customWidth="1"/>
    <col min="7738" max="7739" width="1" style="1" customWidth="1"/>
    <col min="7740" max="7749" width="0" style="1" hidden="1" customWidth="1"/>
    <col min="7750" max="7751" width="1" style="1" customWidth="1"/>
    <col min="7752" max="7752" width="17.85546875" style="1" customWidth="1"/>
    <col min="7753" max="7756" width="1" style="1" customWidth="1"/>
    <col min="7757" max="7757" width="17.85546875" style="1" customWidth="1"/>
    <col min="7758" max="7759" width="1" style="1" customWidth="1"/>
    <col min="7760" max="7804" width="0" style="1" hidden="1" customWidth="1"/>
    <col min="7805" max="7806" width="1" style="1" customWidth="1"/>
    <col min="7807" max="7807" width="17.85546875" style="1" customWidth="1"/>
    <col min="7808" max="7809" width="1" style="1" customWidth="1"/>
    <col min="7810" max="7819" width="0" style="1" hidden="1" customWidth="1"/>
    <col min="7820" max="7821" width="1" style="1" customWidth="1"/>
    <col min="7822" max="7822" width="17.85546875" style="1" customWidth="1"/>
    <col min="7823" max="7823" width="1" style="1" customWidth="1"/>
    <col min="7824" max="7824" width="2" style="1" customWidth="1"/>
    <col min="7825" max="7825" width="6.42578125" style="1" customWidth="1"/>
    <col min="7826" max="7826" width="17.42578125" style="1" customWidth="1"/>
    <col min="7827" max="7827" width="12.28515625" style="1" customWidth="1"/>
    <col min="7828" max="7936" width="10" style="1"/>
    <col min="7937" max="7937" width="1.85546875" style="1" customWidth="1"/>
    <col min="7938" max="7939" width="1" style="1" customWidth="1"/>
    <col min="7940" max="7940" width="34" style="1" customWidth="1"/>
    <col min="7941" max="7942" width="1" style="1" customWidth="1"/>
    <col min="7943" max="7943" width="17.85546875" style="1" customWidth="1"/>
    <col min="7944" max="7945" width="1" style="1" customWidth="1"/>
    <col min="7946" max="7990" width="0" style="1" hidden="1" customWidth="1"/>
    <col min="7991" max="7992" width="1" style="1" customWidth="1"/>
    <col min="7993" max="7993" width="17.85546875" style="1" customWidth="1"/>
    <col min="7994" max="7995" width="1" style="1" customWidth="1"/>
    <col min="7996" max="8005" width="0" style="1" hidden="1" customWidth="1"/>
    <col min="8006" max="8007" width="1" style="1" customWidth="1"/>
    <col min="8008" max="8008" width="17.85546875" style="1" customWidth="1"/>
    <col min="8009" max="8012" width="1" style="1" customWidth="1"/>
    <col min="8013" max="8013" width="17.85546875" style="1" customWidth="1"/>
    <col min="8014" max="8015" width="1" style="1" customWidth="1"/>
    <col min="8016" max="8060" width="0" style="1" hidden="1" customWidth="1"/>
    <col min="8061" max="8062" width="1" style="1" customWidth="1"/>
    <col min="8063" max="8063" width="17.85546875" style="1" customWidth="1"/>
    <col min="8064" max="8065" width="1" style="1" customWidth="1"/>
    <col min="8066" max="8075" width="0" style="1" hidden="1" customWidth="1"/>
    <col min="8076" max="8077" width="1" style="1" customWidth="1"/>
    <col min="8078" max="8078" width="17.85546875" style="1" customWidth="1"/>
    <col min="8079" max="8079" width="1" style="1" customWidth="1"/>
    <col min="8080" max="8080" width="2" style="1" customWidth="1"/>
    <col min="8081" max="8081" width="6.42578125" style="1" customWidth="1"/>
    <col min="8082" max="8082" width="17.42578125" style="1" customWidth="1"/>
    <col min="8083" max="8083" width="12.28515625" style="1" customWidth="1"/>
    <col min="8084" max="8192" width="10" style="1"/>
    <col min="8193" max="8193" width="1.85546875" style="1" customWidth="1"/>
    <col min="8194" max="8195" width="1" style="1" customWidth="1"/>
    <col min="8196" max="8196" width="34" style="1" customWidth="1"/>
    <col min="8197" max="8198" width="1" style="1" customWidth="1"/>
    <col min="8199" max="8199" width="17.85546875" style="1" customWidth="1"/>
    <col min="8200" max="8201" width="1" style="1" customWidth="1"/>
    <col min="8202" max="8246" width="0" style="1" hidden="1" customWidth="1"/>
    <col min="8247" max="8248" width="1" style="1" customWidth="1"/>
    <col min="8249" max="8249" width="17.85546875" style="1" customWidth="1"/>
    <col min="8250" max="8251" width="1" style="1" customWidth="1"/>
    <col min="8252" max="8261" width="0" style="1" hidden="1" customWidth="1"/>
    <col min="8262" max="8263" width="1" style="1" customWidth="1"/>
    <col min="8264" max="8264" width="17.85546875" style="1" customWidth="1"/>
    <col min="8265" max="8268" width="1" style="1" customWidth="1"/>
    <col min="8269" max="8269" width="17.85546875" style="1" customWidth="1"/>
    <col min="8270" max="8271" width="1" style="1" customWidth="1"/>
    <col min="8272" max="8316" width="0" style="1" hidden="1" customWidth="1"/>
    <col min="8317" max="8318" width="1" style="1" customWidth="1"/>
    <col min="8319" max="8319" width="17.85546875" style="1" customWidth="1"/>
    <col min="8320" max="8321" width="1" style="1" customWidth="1"/>
    <col min="8322" max="8331" width="0" style="1" hidden="1" customWidth="1"/>
    <col min="8332" max="8333" width="1" style="1" customWidth="1"/>
    <col min="8334" max="8334" width="17.85546875" style="1" customWidth="1"/>
    <col min="8335" max="8335" width="1" style="1" customWidth="1"/>
    <col min="8336" max="8336" width="2" style="1" customWidth="1"/>
    <col min="8337" max="8337" width="6.42578125" style="1" customWidth="1"/>
    <col min="8338" max="8338" width="17.42578125" style="1" customWidth="1"/>
    <col min="8339" max="8339" width="12.28515625" style="1" customWidth="1"/>
    <col min="8340" max="8448" width="10" style="1"/>
    <col min="8449" max="8449" width="1.85546875" style="1" customWidth="1"/>
    <col min="8450" max="8451" width="1" style="1" customWidth="1"/>
    <col min="8452" max="8452" width="34" style="1" customWidth="1"/>
    <col min="8453" max="8454" width="1" style="1" customWidth="1"/>
    <col min="8455" max="8455" width="17.85546875" style="1" customWidth="1"/>
    <col min="8456" max="8457" width="1" style="1" customWidth="1"/>
    <col min="8458" max="8502" width="0" style="1" hidden="1" customWidth="1"/>
    <col min="8503" max="8504" width="1" style="1" customWidth="1"/>
    <col min="8505" max="8505" width="17.85546875" style="1" customWidth="1"/>
    <col min="8506" max="8507" width="1" style="1" customWidth="1"/>
    <col min="8508" max="8517" width="0" style="1" hidden="1" customWidth="1"/>
    <col min="8518" max="8519" width="1" style="1" customWidth="1"/>
    <col min="8520" max="8520" width="17.85546875" style="1" customWidth="1"/>
    <col min="8521" max="8524" width="1" style="1" customWidth="1"/>
    <col min="8525" max="8525" width="17.85546875" style="1" customWidth="1"/>
    <col min="8526" max="8527" width="1" style="1" customWidth="1"/>
    <col min="8528" max="8572" width="0" style="1" hidden="1" customWidth="1"/>
    <col min="8573" max="8574" width="1" style="1" customWidth="1"/>
    <col min="8575" max="8575" width="17.85546875" style="1" customWidth="1"/>
    <col min="8576" max="8577" width="1" style="1" customWidth="1"/>
    <col min="8578" max="8587" width="0" style="1" hidden="1" customWidth="1"/>
    <col min="8588" max="8589" width="1" style="1" customWidth="1"/>
    <col min="8590" max="8590" width="17.85546875" style="1" customWidth="1"/>
    <col min="8591" max="8591" width="1" style="1" customWidth="1"/>
    <col min="8592" max="8592" width="2" style="1" customWidth="1"/>
    <col min="8593" max="8593" width="6.42578125" style="1" customWidth="1"/>
    <col min="8594" max="8594" width="17.42578125" style="1" customWidth="1"/>
    <col min="8595" max="8595" width="12.28515625" style="1" customWidth="1"/>
    <col min="8596" max="8704" width="10" style="1"/>
    <col min="8705" max="8705" width="1.85546875" style="1" customWidth="1"/>
    <col min="8706" max="8707" width="1" style="1" customWidth="1"/>
    <col min="8708" max="8708" width="34" style="1" customWidth="1"/>
    <col min="8709" max="8710" width="1" style="1" customWidth="1"/>
    <col min="8711" max="8711" width="17.85546875" style="1" customWidth="1"/>
    <col min="8712" max="8713" width="1" style="1" customWidth="1"/>
    <col min="8714" max="8758" width="0" style="1" hidden="1" customWidth="1"/>
    <col min="8759" max="8760" width="1" style="1" customWidth="1"/>
    <col min="8761" max="8761" width="17.85546875" style="1" customWidth="1"/>
    <col min="8762" max="8763" width="1" style="1" customWidth="1"/>
    <col min="8764" max="8773" width="0" style="1" hidden="1" customWidth="1"/>
    <col min="8774" max="8775" width="1" style="1" customWidth="1"/>
    <col min="8776" max="8776" width="17.85546875" style="1" customWidth="1"/>
    <col min="8777" max="8780" width="1" style="1" customWidth="1"/>
    <col min="8781" max="8781" width="17.85546875" style="1" customWidth="1"/>
    <col min="8782" max="8783" width="1" style="1" customWidth="1"/>
    <col min="8784" max="8828" width="0" style="1" hidden="1" customWidth="1"/>
    <col min="8829" max="8830" width="1" style="1" customWidth="1"/>
    <col min="8831" max="8831" width="17.85546875" style="1" customWidth="1"/>
    <col min="8832" max="8833" width="1" style="1" customWidth="1"/>
    <col min="8834" max="8843" width="0" style="1" hidden="1" customWidth="1"/>
    <col min="8844" max="8845" width="1" style="1" customWidth="1"/>
    <col min="8846" max="8846" width="17.85546875" style="1" customWidth="1"/>
    <col min="8847" max="8847" width="1" style="1" customWidth="1"/>
    <col min="8848" max="8848" width="2" style="1" customWidth="1"/>
    <col min="8849" max="8849" width="6.42578125" style="1" customWidth="1"/>
    <col min="8850" max="8850" width="17.42578125" style="1" customWidth="1"/>
    <col min="8851" max="8851" width="12.28515625" style="1" customWidth="1"/>
    <col min="8852" max="8960" width="10" style="1"/>
    <col min="8961" max="8961" width="1.85546875" style="1" customWidth="1"/>
    <col min="8962" max="8963" width="1" style="1" customWidth="1"/>
    <col min="8964" max="8964" width="34" style="1" customWidth="1"/>
    <col min="8965" max="8966" width="1" style="1" customWidth="1"/>
    <col min="8967" max="8967" width="17.85546875" style="1" customWidth="1"/>
    <col min="8968" max="8969" width="1" style="1" customWidth="1"/>
    <col min="8970" max="9014" width="0" style="1" hidden="1" customWidth="1"/>
    <col min="9015" max="9016" width="1" style="1" customWidth="1"/>
    <col min="9017" max="9017" width="17.85546875" style="1" customWidth="1"/>
    <col min="9018" max="9019" width="1" style="1" customWidth="1"/>
    <col min="9020" max="9029" width="0" style="1" hidden="1" customWidth="1"/>
    <col min="9030" max="9031" width="1" style="1" customWidth="1"/>
    <col min="9032" max="9032" width="17.85546875" style="1" customWidth="1"/>
    <col min="9033" max="9036" width="1" style="1" customWidth="1"/>
    <col min="9037" max="9037" width="17.85546875" style="1" customWidth="1"/>
    <col min="9038" max="9039" width="1" style="1" customWidth="1"/>
    <col min="9040" max="9084" width="0" style="1" hidden="1" customWidth="1"/>
    <col min="9085" max="9086" width="1" style="1" customWidth="1"/>
    <col min="9087" max="9087" width="17.85546875" style="1" customWidth="1"/>
    <col min="9088" max="9089" width="1" style="1" customWidth="1"/>
    <col min="9090" max="9099" width="0" style="1" hidden="1" customWidth="1"/>
    <col min="9100" max="9101" width="1" style="1" customWidth="1"/>
    <col min="9102" max="9102" width="17.85546875" style="1" customWidth="1"/>
    <col min="9103" max="9103" width="1" style="1" customWidth="1"/>
    <col min="9104" max="9104" width="2" style="1" customWidth="1"/>
    <col min="9105" max="9105" width="6.42578125" style="1" customWidth="1"/>
    <col min="9106" max="9106" width="17.42578125" style="1" customWidth="1"/>
    <col min="9107" max="9107" width="12.28515625" style="1" customWidth="1"/>
    <col min="9108" max="9216" width="10" style="1"/>
    <col min="9217" max="9217" width="1.85546875" style="1" customWidth="1"/>
    <col min="9218" max="9219" width="1" style="1" customWidth="1"/>
    <col min="9220" max="9220" width="34" style="1" customWidth="1"/>
    <col min="9221" max="9222" width="1" style="1" customWidth="1"/>
    <col min="9223" max="9223" width="17.85546875" style="1" customWidth="1"/>
    <col min="9224" max="9225" width="1" style="1" customWidth="1"/>
    <col min="9226" max="9270" width="0" style="1" hidden="1" customWidth="1"/>
    <col min="9271" max="9272" width="1" style="1" customWidth="1"/>
    <col min="9273" max="9273" width="17.85546875" style="1" customWidth="1"/>
    <col min="9274" max="9275" width="1" style="1" customWidth="1"/>
    <col min="9276" max="9285" width="0" style="1" hidden="1" customWidth="1"/>
    <col min="9286" max="9287" width="1" style="1" customWidth="1"/>
    <col min="9288" max="9288" width="17.85546875" style="1" customWidth="1"/>
    <col min="9289" max="9292" width="1" style="1" customWidth="1"/>
    <col min="9293" max="9293" width="17.85546875" style="1" customWidth="1"/>
    <col min="9294" max="9295" width="1" style="1" customWidth="1"/>
    <col min="9296" max="9340" width="0" style="1" hidden="1" customWidth="1"/>
    <col min="9341" max="9342" width="1" style="1" customWidth="1"/>
    <col min="9343" max="9343" width="17.85546875" style="1" customWidth="1"/>
    <col min="9344" max="9345" width="1" style="1" customWidth="1"/>
    <col min="9346" max="9355" width="0" style="1" hidden="1" customWidth="1"/>
    <col min="9356" max="9357" width="1" style="1" customWidth="1"/>
    <col min="9358" max="9358" width="17.85546875" style="1" customWidth="1"/>
    <col min="9359" max="9359" width="1" style="1" customWidth="1"/>
    <col min="9360" max="9360" width="2" style="1" customWidth="1"/>
    <col min="9361" max="9361" width="6.42578125" style="1" customWidth="1"/>
    <col min="9362" max="9362" width="17.42578125" style="1" customWidth="1"/>
    <col min="9363" max="9363" width="12.28515625" style="1" customWidth="1"/>
    <col min="9364" max="9472" width="10" style="1"/>
    <col min="9473" max="9473" width="1.85546875" style="1" customWidth="1"/>
    <col min="9474" max="9475" width="1" style="1" customWidth="1"/>
    <col min="9476" max="9476" width="34" style="1" customWidth="1"/>
    <col min="9477" max="9478" width="1" style="1" customWidth="1"/>
    <col min="9479" max="9479" width="17.85546875" style="1" customWidth="1"/>
    <col min="9480" max="9481" width="1" style="1" customWidth="1"/>
    <col min="9482" max="9526" width="0" style="1" hidden="1" customWidth="1"/>
    <col min="9527" max="9528" width="1" style="1" customWidth="1"/>
    <col min="9529" max="9529" width="17.85546875" style="1" customWidth="1"/>
    <col min="9530" max="9531" width="1" style="1" customWidth="1"/>
    <col min="9532" max="9541" width="0" style="1" hidden="1" customWidth="1"/>
    <col min="9542" max="9543" width="1" style="1" customWidth="1"/>
    <col min="9544" max="9544" width="17.85546875" style="1" customWidth="1"/>
    <col min="9545" max="9548" width="1" style="1" customWidth="1"/>
    <col min="9549" max="9549" width="17.85546875" style="1" customWidth="1"/>
    <col min="9550" max="9551" width="1" style="1" customWidth="1"/>
    <col min="9552" max="9596" width="0" style="1" hidden="1" customWidth="1"/>
    <col min="9597" max="9598" width="1" style="1" customWidth="1"/>
    <col min="9599" max="9599" width="17.85546875" style="1" customWidth="1"/>
    <col min="9600" max="9601" width="1" style="1" customWidth="1"/>
    <col min="9602" max="9611" width="0" style="1" hidden="1" customWidth="1"/>
    <col min="9612" max="9613" width="1" style="1" customWidth="1"/>
    <col min="9614" max="9614" width="17.85546875" style="1" customWidth="1"/>
    <col min="9615" max="9615" width="1" style="1" customWidth="1"/>
    <col min="9616" max="9616" width="2" style="1" customWidth="1"/>
    <col min="9617" max="9617" width="6.42578125" style="1" customWidth="1"/>
    <col min="9618" max="9618" width="17.42578125" style="1" customWidth="1"/>
    <col min="9619" max="9619" width="12.28515625" style="1" customWidth="1"/>
    <col min="9620" max="9728" width="10" style="1"/>
    <col min="9729" max="9729" width="1.85546875" style="1" customWidth="1"/>
    <col min="9730" max="9731" width="1" style="1" customWidth="1"/>
    <col min="9732" max="9732" width="34" style="1" customWidth="1"/>
    <col min="9733" max="9734" width="1" style="1" customWidth="1"/>
    <col min="9735" max="9735" width="17.85546875" style="1" customWidth="1"/>
    <col min="9736" max="9737" width="1" style="1" customWidth="1"/>
    <col min="9738" max="9782" width="0" style="1" hidden="1" customWidth="1"/>
    <col min="9783" max="9784" width="1" style="1" customWidth="1"/>
    <col min="9785" max="9785" width="17.85546875" style="1" customWidth="1"/>
    <col min="9786" max="9787" width="1" style="1" customWidth="1"/>
    <col min="9788" max="9797" width="0" style="1" hidden="1" customWidth="1"/>
    <col min="9798" max="9799" width="1" style="1" customWidth="1"/>
    <col min="9800" max="9800" width="17.85546875" style="1" customWidth="1"/>
    <col min="9801" max="9804" width="1" style="1" customWidth="1"/>
    <col min="9805" max="9805" width="17.85546875" style="1" customWidth="1"/>
    <col min="9806" max="9807" width="1" style="1" customWidth="1"/>
    <col min="9808" max="9852" width="0" style="1" hidden="1" customWidth="1"/>
    <col min="9853" max="9854" width="1" style="1" customWidth="1"/>
    <col min="9855" max="9855" width="17.85546875" style="1" customWidth="1"/>
    <col min="9856" max="9857" width="1" style="1" customWidth="1"/>
    <col min="9858" max="9867" width="0" style="1" hidden="1" customWidth="1"/>
    <col min="9868" max="9869" width="1" style="1" customWidth="1"/>
    <col min="9870" max="9870" width="17.85546875" style="1" customWidth="1"/>
    <col min="9871" max="9871" width="1" style="1" customWidth="1"/>
    <col min="9872" max="9872" width="2" style="1" customWidth="1"/>
    <col min="9873" max="9873" width="6.42578125" style="1" customWidth="1"/>
    <col min="9874" max="9874" width="17.42578125" style="1" customWidth="1"/>
    <col min="9875" max="9875" width="12.28515625" style="1" customWidth="1"/>
    <col min="9876" max="9984" width="10" style="1"/>
    <col min="9985" max="9985" width="1.85546875" style="1" customWidth="1"/>
    <col min="9986" max="9987" width="1" style="1" customWidth="1"/>
    <col min="9988" max="9988" width="34" style="1" customWidth="1"/>
    <col min="9989" max="9990" width="1" style="1" customWidth="1"/>
    <col min="9991" max="9991" width="17.85546875" style="1" customWidth="1"/>
    <col min="9992" max="9993" width="1" style="1" customWidth="1"/>
    <col min="9994" max="10038" width="0" style="1" hidden="1" customWidth="1"/>
    <col min="10039" max="10040" width="1" style="1" customWidth="1"/>
    <col min="10041" max="10041" width="17.85546875" style="1" customWidth="1"/>
    <col min="10042" max="10043" width="1" style="1" customWidth="1"/>
    <col min="10044" max="10053" width="0" style="1" hidden="1" customWidth="1"/>
    <col min="10054" max="10055" width="1" style="1" customWidth="1"/>
    <col min="10056" max="10056" width="17.85546875" style="1" customWidth="1"/>
    <col min="10057" max="10060" width="1" style="1" customWidth="1"/>
    <col min="10061" max="10061" width="17.85546875" style="1" customWidth="1"/>
    <col min="10062" max="10063" width="1" style="1" customWidth="1"/>
    <col min="10064" max="10108" width="0" style="1" hidden="1" customWidth="1"/>
    <col min="10109" max="10110" width="1" style="1" customWidth="1"/>
    <col min="10111" max="10111" width="17.85546875" style="1" customWidth="1"/>
    <col min="10112" max="10113" width="1" style="1" customWidth="1"/>
    <col min="10114" max="10123" width="0" style="1" hidden="1" customWidth="1"/>
    <col min="10124" max="10125" width="1" style="1" customWidth="1"/>
    <col min="10126" max="10126" width="17.85546875" style="1" customWidth="1"/>
    <col min="10127" max="10127" width="1" style="1" customWidth="1"/>
    <col min="10128" max="10128" width="2" style="1" customWidth="1"/>
    <col min="10129" max="10129" width="6.42578125" style="1" customWidth="1"/>
    <col min="10130" max="10130" width="17.42578125" style="1" customWidth="1"/>
    <col min="10131" max="10131" width="12.28515625" style="1" customWidth="1"/>
    <col min="10132" max="10240" width="10" style="1"/>
    <col min="10241" max="10241" width="1.85546875" style="1" customWidth="1"/>
    <col min="10242" max="10243" width="1" style="1" customWidth="1"/>
    <col min="10244" max="10244" width="34" style="1" customWidth="1"/>
    <col min="10245" max="10246" width="1" style="1" customWidth="1"/>
    <col min="10247" max="10247" width="17.85546875" style="1" customWidth="1"/>
    <col min="10248" max="10249" width="1" style="1" customWidth="1"/>
    <col min="10250" max="10294" width="0" style="1" hidden="1" customWidth="1"/>
    <col min="10295" max="10296" width="1" style="1" customWidth="1"/>
    <col min="10297" max="10297" width="17.85546875" style="1" customWidth="1"/>
    <col min="10298" max="10299" width="1" style="1" customWidth="1"/>
    <col min="10300" max="10309" width="0" style="1" hidden="1" customWidth="1"/>
    <col min="10310" max="10311" width="1" style="1" customWidth="1"/>
    <col min="10312" max="10312" width="17.85546875" style="1" customWidth="1"/>
    <col min="10313" max="10316" width="1" style="1" customWidth="1"/>
    <col min="10317" max="10317" width="17.85546875" style="1" customWidth="1"/>
    <col min="10318" max="10319" width="1" style="1" customWidth="1"/>
    <col min="10320" max="10364" width="0" style="1" hidden="1" customWidth="1"/>
    <col min="10365" max="10366" width="1" style="1" customWidth="1"/>
    <col min="10367" max="10367" width="17.85546875" style="1" customWidth="1"/>
    <col min="10368" max="10369" width="1" style="1" customWidth="1"/>
    <col min="10370" max="10379" width="0" style="1" hidden="1" customWidth="1"/>
    <col min="10380" max="10381" width="1" style="1" customWidth="1"/>
    <col min="10382" max="10382" width="17.85546875" style="1" customWidth="1"/>
    <col min="10383" max="10383" width="1" style="1" customWidth="1"/>
    <col min="10384" max="10384" width="2" style="1" customWidth="1"/>
    <col min="10385" max="10385" width="6.42578125" style="1" customWidth="1"/>
    <col min="10386" max="10386" width="17.42578125" style="1" customWidth="1"/>
    <col min="10387" max="10387" width="12.28515625" style="1" customWidth="1"/>
    <col min="10388" max="10496" width="10" style="1"/>
    <col min="10497" max="10497" width="1.85546875" style="1" customWidth="1"/>
    <col min="10498" max="10499" width="1" style="1" customWidth="1"/>
    <col min="10500" max="10500" width="34" style="1" customWidth="1"/>
    <col min="10501" max="10502" width="1" style="1" customWidth="1"/>
    <col min="10503" max="10503" width="17.85546875" style="1" customWidth="1"/>
    <col min="10504" max="10505" width="1" style="1" customWidth="1"/>
    <col min="10506" max="10550" width="0" style="1" hidden="1" customWidth="1"/>
    <col min="10551" max="10552" width="1" style="1" customWidth="1"/>
    <col min="10553" max="10553" width="17.85546875" style="1" customWidth="1"/>
    <col min="10554" max="10555" width="1" style="1" customWidth="1"/>
    <col min="10556" max="10565" width="0" style="1" hidden="1" customWidth="1"/>
    <col min="10566" max="10567" width="1" style="1" customWidth="1"/>
    <col min="10568" max="10568" width="17.85546875" style="1" customWidth="1"/>
    <col min="10569" max="10572" width="1" style="1" customWidth="1"/>
    <col min="10573" max="10573" width="17.85546875" style="1" customWidth="1"/>
    <col min="10574" max="10575" width="1" style="1" customWidth="1"/>
    <col min="10576" max="10620" width="0" style="1" hidden="1" customWidth="1"/>
    <col min="10621" max="10622" width="1" style="1" customWidth="1"/>
    <col min="10623" max="10623" width="17.85546875" style="1" customWidth="1"/>
    <col min="10624" max="10625" width="1" style="1" customWidth="1"/>
    <col min="10626" max="10635" width="0" style="1" hidden="1" customWidth="1"/>
    <col min="10636" max="10637" width="1" style="1" customWidth="1"/>
    <col min="10638" max="10638" width="17.85546875" style="1" customWidth="1"/>
    <col min="10639" max="10639" width="1" style="1" customWidth="1"/>
    <col min="10640" max="10640" width="2" style="1" customWidth="1"/>
    <col min="10641" max="10641" width="6.42578125" style="1" customWidth="1"/>
    <col min="10642" max="10642" width="17.42578125" style="1" customWidth="1"/>
    <col min="10643" max="10643" width="12.28515625" style="1" customWidth="1"/>
    <col min="10644" max="10752" width="10" style="1"/>
    <col min="10753" max="10753" width="1.85546875" style="1" customWidth="1"/>
    <col min="10754" max="10755" width="1" style="1" customWidth="1"/>
    <col min="10756" max="10756" width="34" style="1" customWidth="1"/>
    <col min="10757" max="10758" width="1" style="1" customWidth="1"/>
    <col min="10759" max="10759" width="17.85546875" style="1" customWidth="1"/>
    <col min="10760" max="10761" width="1" style="1" customWidth="1"/>
    <col min="10762" max="10806" width="0" style="1" hidden="1" customWidth="1"/>
    <col min="10807" max="10808" width="1" style="1" customWidth="1"/>
    <col min="10809" max="10809" width="17.85546875" style="1" customWidth="1"/>
    <col min="10810" max="10811" width="1" style="1" customWidth="1"/>
    <col min="10812" max="10821" width="0" style="1" hidden="1" customWidth="1"/>
    <col min="10822" max="10823" width="1" style="1" customWidth="1"/>
    <col min="10824" max="10824" width="17.85546875" style="1" customWidth="1"/>
    <col min="10825" max="10828" width="1" style="1" customWidth="1"/>
    <col min="10829" max="10829" width="17.85546875" style="1" customWidth="1"/>
    <col min="10830" max="10831" width="1" style="1" customWidth="1"/>
    <col min="10832" max="10876" width="0" style="1" hidden="1" customWidth="1"/>
    <col min="10877" max="10878" width="1" style="1" customWidth="1"/>
    <col min="10879" max="10879" width="17.85546875" style="1" customWidth="1"/>
    <col min="10880" max="10881" width="1" style="1" customWidth="1"/>
    <col min="10882" max="10891" width="0" style="1" hidden="1" customWidth="1"/>
    <col min="10892" max="10893" width="1" style="1" customWidth="1"/>
    <col min="10894" max="10894" width="17.85546875" style="1" customWidth="1"/>
    <col min="10895" max="10895" width="1" style="1" customWidth="1"/>
    <col min="10896" max="10896" width="2" style="1" customWidth="1"/>
    <col min="10897" max="10897" width="6.42578125" style="1" customWidth="1"/>
    <col min="10898" max="10898" width="17.42578125" style="1" customWidth="1"/>
    <col min="10899" max="10899" width="12.28515625" style="1" customWidth="1"/>
    <col min="10900" max="11008" width="10" style="1"/>
    <col min="11009" max="11009" width="1.85546875" style="1" customWidth="1"/>
    <col min="11010" max="11011" width="1" style="1" customWidth="1"/>
    <col min="11012" max="11012" width="34" style="1" customWidth="1"/>
    <col min="11013" max="11014" width="1" style="1" customWidth="1"/>
    <col min="11015" max="11015" width="17.85546875" style="1" customWidth="1"/>
    <col min="11016" max="11017" width="1" style="1" customWidth="1"/>
    <col min="11018" max="11062" width="0" style="1" hidden="1" customWidth="1"/>
    <col min="11063" max="11064" width="1" style="1" customWidth="1"/>
    <col min="11065" max="11065" width="17.85546875" style="1" customWidth="1"/>
    <col min="11066" max="11067" width="1" style="1" customWidth="1"/>
    <col min="11068" max="11077" width="0" style="1" hidden="1" customWidth="1"/>
    <col min="11078" max="11079" width="1" style="1" customWidth="1"/>
    <col min="11080" max="11080" width="17.85546875" style="1" customWidth="1"/>
    <col min="11081" max="11084" width="1" style="1" customWidth="1"/>
    <col min="11085" max="11085" width="17.85546875" style="1" customWidth="1"/>
    <col min="11086" max="11087" width="1" style="1" customWidth="1"/>
    <col min="11088" max="11132" width="0" style="1" hidden="1" customWidth="1"/>
    <col min="11133" max="11134" width="1" style="1" customWidth="1"/>
    <col min="11135" max="11135" width="17.85546875" style="1" customWidth="1"/>
    <col min="11136" max="11137" width="1" style="1" customWidth="1"/>
    <col min="11138" max="11147" width="0" style="1" hidden="1" customWidth="1"/>
    <col min="11148" max="11149" width="1" style="1" customWidth="1"/>
    <col min="11150" max="11150" width="17.85546875" style="1" customWidth="1"/>
    <col min="11151" max="11151" width="1" style="1" customWidth="1"/>
    <col min="11152" max="11152" width="2" style="1" customWidth="1"/>
    <col min="11153" max="11153" width="6.42578125" style="1" customWidth="1"/>
    <col min="11154" max="11154" width="17.42578125" style="1" customWidth="1"/>
    <col min="11155" max="11155" width="12.28515625" style="1" customWidth="1"/>
    <col min="11156" max="11264" width="10" style="1"/>
    <col min="11265" max="11265" width="1.85546875" style="1" customWidth="1"/>
    <col min="11266" max="11267" width="1" style="1" customWidth="1"/>
    <col min="11268" max="11268" width="34" style="1" customWidth="1"/>
    <col min="11269" max="11270" width="1" style="1" customWidth="1"/>
    <col min="11271" max="11271" width="17.85546875" style="1" customWidth="1"/>
    <col min="11272" max="11273" width="1" style="1" customWidth="1"/>
    <col min="11274" max="11318" width="0" style="1" hidden="1" customWidth="1"/>
    <col min="11319" max="11320" width="1" style="1" customWidth="1"/>
    <col min="11321" max="11321" width="17.85546875" style="1" customWidth="1"/>
    <col min="11322" max="11323" width="1" style="1" customWidth="1"/>
    <col min="11324" max="11333" width="0" style="1" hidden="1" customWidth="1"/>
    <col min="11334" max="11335" width="1" style="1" customWidth="1"/>
    <col min="11336" max="11336" width="17.85546875" style="1" customWidth="1"/>
    <col min="11337" max="11340" width="1" style="1" customWidth="1"/>
    <col min="11341" max="11341" width="17.85546875" style="1" customWidth="1"/>
    <col min="11342" max="11343" width="1" style="1" customWidth="1"/>
    <col min="11344" max="11388" width="0" style="1" hidden="1" customWidth="1"/>
    <col min="11389" max="11390" width="1" style="1" customWidth="1"/>
    <col min="11391" max="11391" width="17.85546875" style="1" customWidth="1"/>
    <col min="11392" max="11393" width="1" style="1" customWidth="1"/>
    <col min="11394" max="11403" width="0" style="1" hidden="1" customWidth="1"/>
    <col min="11404" max="11405" width="1" style="1" customWidth="1"/>
    <col min="11406" max="11406" width="17.85546875" style="1" customWidth="1"/>
    <col min="11407" max="11407" width="1" style="1" customWidth="1"/>
    <col min="11408" max="11408" width="2" style="1" customWidth="1"/>
    <col min="11409" max="11409" width="6.42578125" style="1" customWidth="1"/>
    <col min="11410" max="11410" width="17.42578125" style="1" customWidth="1"/>
    <col min="11411" max="11411" width="12.28515625" style="1" customWidth="1"/>
    <col min="11412" max="11520" width="10" style="1"/>
    <col min="11521" max="11521" width="1.85546875" style="1" customWidth="1"/>
    <col min="11522" max="11523" width="1" style="1" customWidth="1"/>
    <col min="11524" max="11524" width="34" style="1" customWidth="1"/>
    <col min="11525" max="11526" width="1" style="1" customWidth="1"/>
    <col min="11527" max="11527" width="17.85546875" style="1" customWidth="1"/>
    <col min="11528" max="11529" width="1" style="1" customWidth="1"/>
    <col min="11530" max="11574" width="0" style="1" hidden="1" customWidth="1"/>
    <col min="11575" max="11576" width="1" style="1" customWidth="1"/>
    <col min="11577" max="11577" width="17.85546875" style="1" customWidth="1"/>
    <col min="11578" max="11579" width="1" style="1" customWidth="1"/>
    <col min="11580" max="11589" width="0" style="1" hidden="1" customWidth="1"/>
    <col min="11590" max="11591" width="1" style="1" customWidth="1"/>
    <col min="11592" max="11592" width="17.85546875" style="1" customWidth="1"/>
    <col min="11593" max="11596" width="1" style="1" customWidth="1"/>
    <col min="11597" max="11597" width="17.85546875" style="1" customWidth="1"/>
    <col min="11598" max="11599" width="1" style="1" customWidth="1"/>
    <col min="11600" max="11644" width="0" style="1" hidden="1" customWidth="1"/>
    <col min="11645" max="11646" width="1" style="1" customWidth="1"/>
    <col min="11647" max="11647" width="17.85546875" style="1" customWidth="1"/>
    <col min="11648" max="11649" width="1" style="1" customWidth="1"/>
    <col min="11650" max="11659" width="0" style="1" hidden="1" customWidth="1"/>
    <col min="11660" max="11661" width="1" style="1" customWidth="1"/>
    <col min="11662" max="11662" width="17.85546875" style="1" customWidth="1"/>
    <col min="11663" max="11663" width="1" style="1" customWidth="1"/>
    <col min="11664" max="11664" width="2" style="1" customWidth="1"/>
    <col min="11665" max="11665" width="6.42578125" style="1" customWidth="1"/>
    <col min="11666" max="11666" width="17.42578125" style="1" customWidth="1"/>
    <col min="11667" max="11667" width="12.28515625" style="1" customWidth="1"/>
    <col min="11668" max="11776" width="10" style="1"/>
    <col min="11777" max="11777" width="1.85546875" style="1" customWidth="1"/>
    <col min="11778" max="11779" width="1" style="1" customWidth="1"/>
    <col min="11780" max="11780" width="34" style="1" customWidth="1"/>
    <col min="11781" max="11782" width="1" style="1" customWidth="1"/>
    <col min="11783" max="11783" width="17.85546875" style="1" customWidth="1"/>
    <col min="11784" max="11785" width="1" style="1" customWidth="1"/>
    <col min="11786" max="11830" width="0" style="1" hidden="1" customWidth="1"/>
    <col min="11831" max="11832" width="1" style="1" customWidth="1"/>
    <col min="11833" max="11833" width="17.85546875" style="1" customWidth="1"/>
    <col min="11834" max="11835" width="1" style="1" customWidth="1"/>
    <col min="11836" max="11845" width="0" style="1" hidden="1" customWidth="1"/>
    <col min="11846" max="11847" width="1" style="1" customWidth="1"/>
    <col min="11848" max="11848" width="17.85546875" style="1" customWidth="1"/>
    <col min="11849" max="11852" width="1" style="1" customWidth="1"/>
    <col min="11853" max="11853" width="17.85546875" style="1" customWidth="1"/>
    <col min="11854" max="11855" width="1" style="1" customWidth="1"/>
    <col min="11856" max="11900" width="0" style="1" hidden="1" customWidth="1"/>
    <col min="11901" max="11902" width="1" style="1" customWidth="1"/>
    <col min="11903" max="11903" width="17.85546875" style="1" customWidth="1"/>
    <col min="11904" max="11905" width="1" style="1" customWidth="1"/>
    <col min="11906" max="11915" width="0" style="1" hidden="1" customWidth="1"/>
    <col min="11916" max="11917" width="1" style="1" customWidth="1"/>
    <col min="11918" max="11918" width="17.85546875" style="1" customWidth="1"/>
    <col min="11919" max="11919" width="1" style="1" customWidth="1"/>
    <col min="11920" max="11920" width="2" style="1" customWidth="1"/>
    <col min="11921" max="11921" width="6.42578125" style="1" customWidth="1"/>
    <col min="11922" max="11922" width="17.42578125" style="1" customWidth="1"/>
    <col min="11923" max="11923" width="12.28515625" style="1" customWidth="1"/>
    <col min="11924" max="12032" width="10" style="1"/>
    <col min="12033" max="12033" width="1.85546875" style="1" customWidth="1"/>
    <col min="12034" max="12035" width="1" style="1" customWidth="1"/>
    <col min="12036" max="12036" width="34" style="1" customWidth="1"/>
    <col min="12037" max="12038" width="1" style="1" customWidth="1"/>
    <col min="12039" max="12039" width="17.85546875" style="1" customWidth="1"/>
    <col min="12040" max="12041" width="1" style="1" customWidth="1"/>
    <col min="12042" max="12086" width="0" style="1" hidden="1" customWidth="1"/>
    <col min="12087" max="12088" width="1" style="1" customWidth="1"/>
    <col min="12089" max="12089" width="17.85546875" style="1" customWidth="1"/>
    <col min="12090" max="12091" width="1" style="1" customWidth="1"/>
    <col min="12092" max="12101" width="0" style="1" hidden="1" customWidth="1"/>
    <col min="12102" max="12103" width="1" style="1" customWidth="1"/>
    <col min="12104" max="12104" width="17.85546875" style="1" customWidth="1"/>
    <col min="12105" max="12108" width="1" style="1" customWidth="1"/>
    <col min="12109" max="12109" width="17.85546875" style="1" customWidth="1"/>
    <col min="12110" max="12111" width="1" style="1" customWidth="1"/>
    <col min="12112" max="12156" width="0" style="1" hidden="1" customWidth="1"/>
    <col min="12157" max="12158" width="1" style="1" customWidth="1"/>
    <col min="12159" max="12159" width="17.85546875" style="1" customWidth="1"/>
    <col min="12160" max="12161" width="1" style="1" customWidth="1"/>
    <col min="12162" max="12171" width="0" style="1" hidden="1" customWidth="1"/>
    <col min="12172" max="12173" width="1" style="1" customWidth="1"/>
    <col min="12174" max="12174" width="17.85546875" style="1" customWidth="1"/>
    <col min="12175" max="12175" width="1" style="1" customWidth="1"/>
    <col min="12176" max="12176" width="2" style="1" customWidth="1"/>
    <col min="12177" max="12177" width="6.42578125" style="1" customWidth="1"/>
    <col min="12178" max="12178" width="17.42578125" style="1" customWidth="1"/>
    <col min="12179" max="12179" width="12.28515625" style="1" customWidth="1"/>
    <col min="12180" max="12288" width="10" style="1"/>
    <col min="12289" max="12289" width="1.85546875" style="1" customWidth="1"/>
    <col min="12290" max="12291" width="1" style="1" customWidth="1"/>
    <col min="12292" max="12292" width="34" style="1" customWidth="1"/>
    <col min="12293" max="12294" width="1" style="1" customWidth="1"/>
    <col min="12295" max="12295" width="17.85546875" style="1" customWidth="1"/>
    <col min="12296" max="12297" width="1" style="1" customWidth="1"/>
    <col min="12298" max="12342" width="0" style="1" hidden="1" customWidth="1"/>
    <col min="12343" max="12344" width="1" style="1" customWidth="1"/>
    <col min="12345" max="12345" width="17.85546875" style="1" customWidth="1"/>
    <col min="12346" max="12347" width="1" style="1" customWidth="1"/>
    <col min="12348" max="12357" width="0" style="1" hidden="1" customWidth="1"/>
    <col min="12358" max="12359" width="1" style="1" customWidth="1"/>
    <col min="12360" max="12360" width="17.85546875" style="1" customWidth="1"/>
    <col min="12361" max="12364" width="1" style="1" customWidth="1"/>
    <col min="12365" max="12365" width="17.85546875" style="1" customWidth="1"/>
    <col min="12366" max="12367" width="1" style="1" customWidth="1"/>
    <col min="12368" max="12412" width="0" style="1" hidden="1" customWidth="1"/>
    <col min="12413" max="12414" width="1" style="1" customWidth="1"/>
    <col min="12415" max="12415" width="17.85546875" style="1" customWidth="1"/>
    <col min="12416" max="12417" width="1" style="1" customWidth="1"/>
    <col min="12418" max="12427" width="0" style="1" hidden="1" customWidth="1"/>
    <col min="12428" max="12429" width="1" style="1" customWidth="1"/>
    <col min="12430" max="12430" width="17.85546875" style="1" customWidth="1"/>
    <col min="12431" max="12431" width="1" style="1" customWidth="1"/>
    <col min="12432" max="12432" width="2" style="1" customWidth="1"/>
    <col min="12433" max="12433" width="6.42578125" style="1" customWidth="1"/>
    <col min="12434" max="12434" width="17.42578125" style="1" customWidth="1"/>
    <col min="12435" max="12435" width="12.28515625" style="1" customWidth="1"/>
    <col min="12436" max="12544" width="10" style="1"/>
    <col min="12545" max="12545" width="1.85546875" style="1" customWidth="1"/>
    <col min="12546" max="12547" width="1" style="1" customWidth="1"/>
    <col min="12548" max="12548" width="34" style="1" customWidth="1"/>
    <col min="12549" max="12550" width="1" style="1" customWidth="1"/>
    <col min="12551" max="12551" width="17.85546875" style="1" customWidth="1"/>
    <col min="12552" max="12553" width="1" style="1" customWidth="1"/>
    <col min="12554" max="12598" width="0" style="1" hidden="1" customWidth="1"/>
    <col min="12599" max="12600" width="1" style="1" customWidth="1"/>
    <col min="12601" max="12601" width="17.85546875" style="1" customWidth="1"/>
    <col min="12602" max="12603" width="1" style="1" customWidth="1"/>
    <col min="12604" max="12613" width="0" style="1" hidden="1" customWidth="1"/>
    <col min="12614" max="12615" width="1" style="1" customWidth="1"/>
    <col min="12616" max="12616" width="17.85546875" style="1" customWidth="1"/>
    <col min="12617" max="12620" width="1" style="1" customWidth="1"/>
    <col min="12621" max="12621" width="17.85546875" style="1" customWidth="1"/>
    <col min="12622" max="12623" width="1" style="1" customWidth="1"/>
    <col min="12624" max="12668" width="0" style="1" hidden="1" customWidth="1"/>
    <col min="12669" max="12670" width="1" style="1" customWidth="1"/>
    <col min="12671" max="12671" width="17.85546875" style="1" customWidth="1"/>
    <col min="12672" max="12673" width="1" style="1" customWidth="1"/>
    <col min="12674" max="12683" width="0" style="1" hidden="1" customWidth="1"/>
    <col min="12684" max="12685" width="1" style="1" customWidth="1"/>
    <col min="12686" max="12686" width="17.85546875" style="1" customWidth="1"/>
    <col min="12687" max="12687" width="1" style="1" customWidth="1"/>
    <col min="12688" max="12688" width="2" style="1" customWidth="1"/>
    <col min="12689" max="12689" width="6.42578125" style="1" customWidth="1"/>
    <col min="12690" max="12690" width="17.42578125" style="1" customWidth="1"/>
    <col min="12691" max="12691" width="12.28515625" style="1" customWidth="1"/>
    <col min="12692" max="12800" width="10" style="1"/>
    <col min="12801" max="12801" width="1.85546875" style="1" customWidth="1"/>
    <col min="12802" max="12803" width="1" style="1" customWidth="1"/>
    <col min="12804" max="12804" width="34" style="1" customWidth="1"/>
    <col min="12805" max="12806" width="1" style="1" customWidth="1"/>
    <col min="12807" max="12807" width="17.85546875" style="1" customWidth="1"/>
    <col min="12808" max="12809" width="1" style="1" customWidth="1"/>
    <col min="12810" max="12854" width="0" style="1" hidden="1" customWidth="1"/>
    <col min="12855" max="12856" width="1" style="1" customWidth="1"/>
    <col min="12857" max="12857" width="17.85546875" style="1" customWidth="1"/>
    <col min="12858" max="12859" width="1" style="1" customWidth="1"/>
    <col min="12860" max="12869" width="0" style="1" hidden="1" customWidth="1"/>
    <col min="12870" max="12871" width="1" style="1" customWidth="1"/>
    <col min="12872" max="12872" width="17.85546875" style="1" customWidth="1"/>
    <col min="12873" max="12876" width="1" style="1" customWidth="1"/>
    <col min="12877" max="12877" width="17.85546875" style="1" customWidth="1"/>
    <col min="12878" max="12879" width="1" style="1" customWidth="1"/>
    <col min="12880" max="12924" width="0" style="1" hidden="1" customWidth="1"/>
    <col min="12925" max="12926" width="1" style="1" customWidth="1"/>
    <col min="12927" max="12927" width="17.85546875" style="1" customWidth="1"/>
    <col min="12928" max="12929" width="1" style="1" customWidth="1"/>
    <col min="12930" max="12939" width="0" style="1" hidden="1" customWidth="1"/>
    <col min="12940" max="12941" width="1" style="1" customWidth="1"/>
    <col min="12942" max="12942" width="17.85546875" style="1" customWidth="1"/>
    <col min="12943" max="12943" width="1" style="1" customWidth="1"/>
    <col min="12944" max="12944" width="2" style="1" customWidth="1"/>
    <col min="12945" max="12945" width="6.42578125" style="1" customWidth="1"/>
    <col min="12946" max="12946" width="17.42578125" style="1" customWidth="1"/>
    <col min="12947" max="12947" width="12.28515625" style="1" customWidth="1"/>
    <col min="12948" max="13056" width="10" style="1"/>
    <col min="13057" max="13057" width="1.85546875" style="1" customWidth="1"/>
    <col min="13058" max="13059" width="1" style="1" customWidth="1"/>
    <col min="13060" max="13060" width="34" style="1" customWidth="1"/>
    <col min="13061" max="13062" width="1" style="1" customWidth="1"/>
    <col min="13063" max="13063" width="17.85546875" style="1" customWidth="1"/>
    <col min="13064" max="13065" width="1" style="1" customWidth="1"/>
    <col min="13066" max="13110" width="0" style="1" hidden="1" customWidth="1"/>
    <col min="13111" max="13112" width="1" style="1" customWidth="1"/>
    <col min="13113" max="13113" width="17.85546875" style="1" customWidth="1"/>
    <col min="13114" max="13115" width="1" style="1" customWidth="1"/>
    <col min="13116" max="13125" width="0" style="1" hidden="1" customWidth="1"/>
    <col min="13126" max="13127" width="1" style="1" customWidth="1"/>
    <col min="13128" max="13128" width="17.85546875" style="1" customWidth="1"/>
    <col min="13129" max="13132" width="1" style="1" customWidth="1"/>
    <col min="13133" max="13133" width="17.85546875" style="1" customWidth="1"/>
    <col min="13134" max="13135" width="1" style="1" customWidth="1"/>
    <col min="13136" max="13180" width="0" style="1" hidden="1" customWidth="1"/>
    <col min="13181" max="13182" width="1" style="1" customWidth="1"/>
    <col min="13183" max="13183" width="17.85546875" style="1" customWidth="1"/>
    <col min="13184" max="13185" width="1" style="1" customWidth="1"/>
    <col min="13186" max="13195" width="0" style="1" hidden="1" customWidth="1"/>
    <col min="13196" max="13197" width="1" style="1" customWidth="1"/>
    <col min="13198" max="13198" width="17.85546875" style="1" customWidth="1"/>
    <col min="13199" max="13199" width="1" style="1" customWidth="1"/>
    <col min="13200" max="13200" width="2" style="1" customWidth="1"/>
    <col min="13201" max="13201" width="6.42578125" style="1" customWidth="1"/>
    <col min="13202" max="13202" width="17.42578125" style="1" customWidth="1"/>
    <col min="13203" max="13203" width="12.28515625" style="1" customWidth="1"/>
    <col min="13204" max="13312" width="10" style="1"/>
    <col min="13313" max="13313" width="1.85546875" style="1" customWidth="1"/>
    <col min="13314" max="13315" width="1" style="1" customWidth="1"/>
    <col min="13316" max="13316" width="34" style="1" customWidth="1"/>
    <col min="13317" max="13318" width="1" style="1" customWidth="1"/>
    <col min="13319" max="13319" width="17.85546875" style="1" customWidth="1"/>
    <col min="13320" max="13321" width="1" style="1" customWidth="1"/>
    <col min="13322" max="13366" width="0" style="1" hidden="1" customWidth="1"/>
    <col min="13367" max="13368" width="1" style="1" customWidth="1"/>
    <col min="13369" max="13369" width="17.85546875" style="1" customWidth="1"/>
    <col min="13370" max="13371" width="1" style="1" customWidth="1"/>
    <col min="13372" max="13381" width="0" style="1" hidden="1" customWidth="1"/>
    <col min="13382" max="13383" width="1" style="1" customWidth="1"/>
    <col min="13384" max="13384" width="17.85546875" style="1" customWidth="1"/>
    <col min="13385" max="13388" width="1" style="1" customWidth="1"/>
    <col min="13389" max="13389" width="17.85546875" style="1" customWidth="1"/>
    <col min="13390" max="13391" width="1" style="1" customWidth="1"/>
    <col min="13392" max="13436" width="0" style="1" hidden="1" customWidth="1"/>
    <col min="13437" max="13438" width="1" style="1" customWidth="1"/>
    <col min="13439" max="13439" width="17.85546875" style="1" customWidth="1"/>
    <col min="13440" max="13441" width="1" style="1" customWidth="1"/>
    <col min="13442" max="13451" width="0" style="1" hidden="1" customWidth="1"/>
    <col min="13452" max="13453" width="1" style="1" customWidth="1"/>
    <col min="13454" max="13454" width="17.85546875" style="1" customWidth="1"/>
    <col min="13455" max="13455" width="1" style="1" customWidth="1"/>
    <col min="13456" max="13456" width="2" style="1" customWidth="1"/>
    <col min="13457" max="13457" width="6.42578125" style="1" customWidth="1"/>
    <col min="13458" max="13458" width="17.42578125" style="1" customWidth="1"/>
    <col min="13459" max="13459" width="12.28515625" style="1" customWidth="1"/>
    <col min="13460" max="13568" width="10" style="1"/>
    <col min="13569" max="13569" width="1.85546875" style="1" customWidth="1"/>
    <col min="13570" max="13571" width="1" style="1" customWidth="1"/>
    <col min="13572" max="13572" width="34" style="1" customWidth="1"/>
    <col min="13573" max="13574" width="1" style="1" customWidth="1"/>
    <col min="13575" max="13575" width="17.85546875" style="1" customWidth="1"/>
    <col min="13576" max="13577" width="1" style="1" customWidth="1"/>
    <col min="13578" max="13622" width="0" style="1" hidden="1" customWidth="1"/>
    <col min="13623" max="13624" width="1" style="1" customWidth="1"/>
    <col min="13625" max="13625" width="17.85546875" style="1" customWidth="1"/>
    <col min="13626" max="13627" width="1" style="1" customWidth="1"/>
    <col min="13628" max="13637" width="0" style="1" hidden="1" customWidth="1"/>
    <col min="13638" max="13639" width="1" style="1" customWidth="1"/>
    <col min="13640" max="13640" width="17.85546875" style="1" customWidth="1"/>
    <col min="13641" max="13644" width="1" style="1" customWidth="1"/>
    <col min="13645" max="13645" width="17.85546875" style="1" customWidth="1"/>
    <col min="13646" max="13647" width="1" style="1" customWidth="1"/>
    <col min="13648" max="13692" width="0" style="1" hidden="1" customWidth="1"/>
    <col min="13693" max="13694" width="1" style="1" customWidth="1"/>
    <col min="13695" max="13695" width="17.85546875" style="1" customWidth="1"/>
    <col min="13696" max="13697" width="1" style="1" customWidth="1"/>
    <col min="13698" max="13707" width="0" style="1" hidden="1" customWidth="1"/>
    <col min="13708" max="13709" width="1" style="1" customWidth="1"/>
    <col min="13710" max="13710" width="17.85546875" style="1" customWidth="1"/>
    <col min="13711" max="13711" width="1" style="1" customWidth="1"/>
    <col min="13712" max="13712" width="2" style="1" customWidth="1"/>
    <col min="13713" max="13713" width="6.42578125" style="1" customWidth="1"/>
    <col min="13714" max="13714" width="17.42578125" style="1" customWidth="1"/>
    <col min="13715" max="13715" width="12.28515625" style="1" customWidth="1"/>
    <col min="13716" max="13824" width="10" style="1"/>
    <col min="13825" max="13825" width="1.85546875" style="1" customWidth="1"/>
    <col min="13826" max="13827" width="1" style="1" customWidth="1"/>
    <col min="13828" max="13828" width="34" style="1" customWidth="1"/>
    <col min="13829" max="13830" width="1" style="1" customWidth="1"/>
    <col min="13831" max="13831" width="17.85546875" style="1" customWidth="1"/>
    <col min="13832" max="13833" width="1" style="1" customWidth="1"/>
    <col min="13834" max="13878" width="0" style="1" hidden="1" customWidth="1"/>
    <col min="13879" max="13880" width="1" style="1" customWidth="1"/>
    <col min="13881" max="13881" width="17.85546875" style="1" customWidth="1"/>
    <col min="13882" max="13883" width="1" style="1" customWidth="1"/>
    <col min="13884" max="13893" width="0" style="1" hidden="1" customWidth="1"/>
    <col min="13894" max="13895" width="1" style="1" customWidth="1"/>
    <col min="13896" max="13896" width="17.85546875" style="1" customWidth="1"/>
    <col min="13897" max="13900" width="1" style="1" customWidth="1"/>
    <col min="13901" max="13901" width="17.85546875" style="1" customWidth="1"/>
    <col min="13902" max="13903" width="1" style="1" customWidth="1"/>
    <col min="13904" max="13948" width="0" style="1" hidden="1" customWidth="1"/>
    <col min="13949" max="13950" width="1" style="1" customWidth="1"/>
    <col min="13951" max="13951" width="17.85546875" style="1" customWidth="1"/>
    <col min="13952" max="13953" width="1" style="1" customWidth="1"/>
    <col min="13954" max="13963" width="0" style="1" hidden="1" customWidth="1"/>
    <col min="13964" max="13965" width="1" style="1" customWidth="1"/>
    <col min="13966" max="13966" width="17.85546875" style="1" customWidth="1"/>
    <col min="13967" max="13967" width="1" style="1" customWidth="1"/>
    <col min="13968" max="13968" width="2" style="1" customWidth="1"/>
    <col min="13969" max="13969" width="6.42578125" style="1" customWidth="1"/>
    <col min="13970" max="13970" width="17.42578125" style="1" customWidth="1"/>
    <col min="13971" max="13971" width="12.28515625" style="1" customWidth="1"/>
    <col min="13972" max="14080" width="10" style="1"/>
    <col min="14081" max="14081" width="1.85546875" style="1" customWidth="1"/>
    <col min="14082" max="14083" width="1" style="1" customWidth="1"/>
    <col min="14084" max="14084" width="34" style="1" customWidth="1"/>
    <col min="14085" max="14086" width="1" style="1" customWidth="1"/>
    <col min="14087" max="14087" width="17.85546875" style="1" customWidth="1"/>
    <col min="14088" max="14089" width="1" style="1" customWidth="1"/>
    <col min="14090" max="14134" width="0" style="1" hidden="1" customWidth="1"/>
    <col min="14135" max="14136" width="1" style="1" customWidth="1"/>
    <col min="14137" max="14137" width="17.85546875" style="1" customWidth="1"/>
    <col min="14138" max="14139" width="1" style="1" customWidth="1"/>
    <col min="14140" max="14149" width="0" style="1" hidden="1" customWidth="1"/>
    <col min="14150" max="14151" width="1" style="1" customWidth="1"/>
    <col min="14152" max="14152" width="17.85546875" style="1" customWidth="1"/>
    <col min="14153" max="14156" width="1" style="1" customWidth="1"/>
    <col min="14157" max="14157" width="17.85546875" style="1" customWidth="1"/>
    <col min="14158" max="14159" width="1" style="1" customWidth="1"/>
    <col min="14160" max="14204" width="0" style="1" hidden="1" customWidth="1"/>
    <col min="14205" max="14206" width="1" style="1" customWidth="1"/>
    <col min="14207" max="14207" width="17.85546875" style="1" customWidth="1"/>
    <col min="14208" max="14209" width="1" style="1" customWidth="1"/>
    <col min="14210" max="14219" width="0" style="1" hidden="1" customWidth="1"/>
    <col min="14220" max="14221" width="1" style="1" customWidth="1"/>
    <col min="14222" max="14222" width="17.85546875" style="1" customWidth="1"/>
    <col min="14223" max="14223" width="1" style="1" customWidth="1"/>
    <col min="14224" max="14224" width="2" style="1" customWidth="1"/>
    <col min="14225" max="14225" width="6.42578125" style="1" customWidth="1"/>
    <col min="14226" max="14226" width="17.42578125" style="1" customWidth="1"/>
    <col min="14227" max="14227" width="12.28515625" style="1" customWidth="1"/>
    <col min="14228" max="14336" width="10" style="1"/>
    <col min="14337" max="14337" width="1.85546875" style="1" customWidth="1"/>
    <col min="14338" max="14339" width="1" style="1" customWidth="1"/>
    <col min="14340" max="14340" width="34" style="1" customWidth="1"/>
    <col min="14341" max="14342" width="1" style="1" customWidth="1"/>
    <col min="14343" max="14343" width="17.85546875" style="1" customWidth="1"/>
    <col min="14344" max="14345" width="1" style="1" customWidth="1"/>
    <col min="14346" max="14390" width="0" style="1" hidden="1" customWidth="1"/>
    <col min="14391" max="14392" width="1" style="1" customWidth="1"/>
    <col min="14393" max="14393" width="17.85546875" style="1" customWidth="1"/>
    <col min="14394" max="14395" width="1" style="1" customWidth="1"/>
    <col min="14396" max="14405" width="0" style="1" hidden="1" customWidth="1"/>
    <col min="14406" max="14407" width="1" style="1" customWidth="1"/>
    <col min="14408" max="14408" width="17.85546875" style="1" customWidth="1"/>
    <col min="14409" max="14412" width="1" style="1" customWidth="1"/>
    <col min="14413" max="14413" width="17.85546875" style="1" customWidth="1"/>
    <col min="14414" max="14415" width="1" style="1" customWidth="1"/>
    <col min="14416" max="14460" width="0" style="1" hidden="1" customWidth="1"/>
    <col min="14461" max="14462" width="1" style="1" customWidth="1"/>
    <col min="14463" max="14463" width="17.85546875" style="1" customWidth="1"/>
    <col min="14464" max="14465" width="1" style="1" customWidth="1"/>
    <col min="14466" max="14475" width="0" style="1" hidden="1" customWidth="1"/>
    <col min="14476" max="14477" width="1" style="1" customWidth="1"/>
    <col min="14478" max="14478" width="17.85546875" style="1" customWidth="1"/>
    <col min="14479" max="14479" width="1" style="1" customWidth="1"/>
    <col min="14480" max="14480" width="2" style="1" customWidth="1"/>
    <col min="14481" max="14481" width="6.42578125" style="1" customWidth="1"/>
    <col min="14482" max="14482" width="17.42578125" style="1" customWidth="1"/>
    <col min="14483" max="14483" width="12.28515625" style="1" customWidth="1"/>
    <col min="14484" max="14592" width="10" style="1"/>
    <col min="14593" max="14593" width="1.85546875" style="1" customWidth="1"/>
    <col min="14594" max="14595" width="1" style="1" customWidth="1"/>
    <col min="14596" max="14596" width="34" style="1" customWidth="1"/>
    <col min="14597" max="14598" width="1" style="1" customWidth="1"/>
    <col min="14599" max="14599" width="17.85546875" style="1" customWidth="1"/>
    <col min="14600" max="14601" width="1" style="1" customWidth="1"/>
    <col min="14602" max="14646" width="0" style="1" hidden="1" customWidth="1"/>
    <col min="14647" max="14648" width="1" style="1" customWidth="1"/>
    <col min="14649" max="14649" width="17.85546875" style="1" customWidth="1"/>
    <col min="14650" max="14651" width="1" style="1" customWidth="1"/>
    <col min="14652" max="14661" width="0" style="1" hidden="1" customWidth="1"/>
    <col min="14662" max="14663" width="1" style="1" customWidth="1"/>
    <col min="14664" max="14664" width="17.85546875" style="1" customWidth="1"/>
    <col min="14665" max="14668" width="1" style="1" customWidth="1"/>
    <col min="14669" max="14669" width="17.85546875" style="1" customWidth="1"/>
    <col min="14670" max="14671" width="1" style="1" customWidth="1"/>
    <col min="14672" max="14716" width="0" style="1" hidden="1" customWidth="1"/>
    <col min="14717" max="14718" width="1" style="1" customWidth="1"/>
    <col min="14719" max="14719" width="17.85546875" style="1" customWidth="1"/>
    <col min="14720" max="14721" width="1" style="1" customWidth="1"/>
    <col min="14722" max="14731" width="0" style="1" hidden="1" customWidth="1"/>
    <col min="14732" max="14733" width="1" style="1" customWidth="1"/>
    <col min="14734" max="14734" width="17.85546875" style="1" customWidth="1"/>
    <col min="14735" max="14735" width="1" style="1" customWidth="1"/>
    <col min="14736" max="14736" width="2" style="1" customWidth="1"/>
    <col min="14737" max="14737" width="6.42578125" style="1" customWidth="1"/>
    <col min="14738" max="14738" width="17.42578125" style="1" customWidth="1"/>
    <col min="14739" max="14739" width="12.28515625" style="1" customWidth="1"/>
    <col min="14740" max="14848" width="10" style="1"/>
    <col min="14849" max="14849" width="1.85546875" style="1" customWidth="1"/>
    <col min="14850" max="14851" width="1" style="1" customWidth="1"/>
    <col min="14852" max="14852" width="34" style="1" customWidth="1"/>
    <col min="14853" max="14854" width="1" style="1" customWidth="1"/>
    <col min="14855" max="14855" width="17.85546875" style="1" customWidth="1"/>
    <col min="14856" max="14857" width="1" style="1" customWidth="1"/>
    <col min="14858" max="14902" width="0" style="1" hidden="1" customWidth="1"/>
    <col min="14903" max="14904" width="1" style="1" customWidth="1"/>
    <col min="14905" max="14905" width="17.85546875" style="1" customWidth="1"/>
    <col min="14906" max="14907" width="1" style="1" customWidth="1"/>
    <col min="14908" max="14917" width="0" style="1" hidden="1" customWidth="1"/>
    <col min="14918" max="14919" width="1" style="1" customWidth="1"/>
    <col min="14920" max="14920" width="17.85546875" style="1" customWidth="1"/>
    <col min="14921" max="14924" width="1" style="1" customWidth="1"/>
    <col min="14925" max="14925" width="17.85546875" style="1" customWidth="1"/>
    <col min="14926" max="14927" width="1" style="1" customWidth="1"/>
    <col min="14928" max="14972" width="0" style="1" hidden="1" customWidth="1"/>
    <col min="14973" max="14974" width="1" style="1" customWidth="1"/>
    <col min="14975" max="14975" width="17.85546875" style="1" customWidth="1"/>
    <col min="14976" max="14977" width="1" style="1" customWidth="1"/>
    <col min="14978" max="14987" width="0" style="1" hidden="1" customWidth="1"/>
    <col min="14988" max="14989" width="1" style="1" customWidth="1"/>
    <col min="14990" max="14990" width="17.85546875" style="1" customWidth="1"/>
    <col min="14991" max="14991" width="1" style="1" customWidth="1"/>
    <col min="14992" max="14992" width="2" style="1" customWidth="1"/>
    <col min="14993" max="14993" width="6.42578125" style="1" customWidth="1"/>
    <col min="14994" max="14994" width="17.42578125" style="1" customWidth="1"/>
    <col min="14995" max="14995" width="12.28515625" style="1" customWidth="1"/>
    <col min="14996" max="15104" width="10" style="1"/>
    <col min="15105" max="15105" width="1.85546875" style="1" customWidth="1"/>
    <col min="15106" max="15107" width="1" style="1" customWidth="1"/>
    <col min="15108" max="15108" width="34" style="1" customWidth="1"/>
    <col min="15109" max="15110" width="1" style="1" customWidth="1"/>
    <col min="15111" max="15111" width="17.85546875" style="1" customWidth="1"/>
    <col min="15112" max="15113" width="1" style="1" customWidth="1"/>
    <col min="15114" max="15158" width="0" style="1" hidden="1" customWidth="1"/>
    <col min="15159" max="15160" width="1" style="1" customWidth="1"/>
    <col min="15161" max="15161" width="17.85546875" style="1" customWidth="1"/>
    <col min="15162" max="15163" width="1" style="1" customWidth="1"/>
    <col min="15164" max="15173" width="0" style="1" hidden="1" customWidth="1"/>
    <col min="15174" max="15175" width="1" style="1" customWidth="1"/>
    <col min="15176" max="15176" width="17.85546875" style="1" customWidth="1"/>
    <col min="15177" max="15180" width="1" style="1" customWidth="1"/>
    <col min="15181" max="15181" width="17.85546875" style="1" customWidth="1"/>
    <col min="15182" max="15183" width="1" style="1" customWidth="1"/>
    <col min="15184" max="15228" width="0" style="1" hidden="1" customWidth="1"/>
    <col min="15229" max="15230" width="1" style="1" customWidth="1"/>
    <col min="15231" max="15231" width="17.85546875" style="1" customWidth="1"/>
    <col min="15232" max="15233" width="1" style="1" customWidth="1"/>
    <col min="15234" max="15243" width="0" style="1" hidden="1" customWidth="1"/>
    <col min="15244" max="15245" width="1" style="1" customWidth="1"/>
    <col min="15246" max="15246" width="17.85546875" style="1" customWidth="1"/>
    <col min="15247" max="15247" width="1" style="1" customWidth="1"/>
    <col min="15248" max="15248" width="2" style="1" customWidth="1"/>
    <col min="15249" max="15249" width="6.42578125" style="1" customWidth="1"/>
    <col min="15250" max="15250" width="17.42578125" style="1" customWidth="1"/>
    <col min="15251" max="15251" width="12.28515625" style="1" customWidth="1"/>
    <col min="15252" max="15360" width="10" style="1"/>
    <col min="15361" max="15361" width="1.85546875" style="1" customWidth="1"/>
    <col min="15362" max="15363" width="1" style="1" customWidth="1"/>
    <col min="15364" max="15364" width="34" style="1" customWidth="1"/>
    <col min="15365" max="15366" width="1" style="1" customWidth="1"/>
    <col min="15367" max="15367" width="17.85546875" style="1" customWidth="1"/>
    <col min="15368" max="15369" width="1" style="1" customWidth="1"/>
    <col min="15370" max="15414" width="0" style="1" hidden="1" customWidth="1"/>
    <col min="15415" max="15416" width="1" style="1" customWidth="1"/>
    <col min="15417" max="15417" width="17.85546875" style="1" customWidth="1"/>
    <col min="15418" max="15419" width="1" style="1" customWidth="1"/>
    <col min="15420" max="15429" width="0" style="1" hidden="1" customWidth="1"/>
    <col min="15430" max="15431" width="1" style="1" customWidth="1"/>
    <col min="15432" max="15432" width="17.85546875" style="1" customWidth="1"/>
    <col min="15433" max="15436" width="1" style="1" customWidth="1"/>
    <col min="15437" max="15437" width="17.85546875" style="1" customWidth="1"/>
    <col min="15438" max="15439" width="1" style="1" customWidth="1"/>
    <col min="15440" max="15484" width="0" style="1" hidden="1" customWidth="1"/>
    <col min="15485" max="15486" width="1" style="1" customWidth="1"/>
    <col min="15487" max="15487" width="17.85546875" style="1" customWidth="1"/>
    <col min="15488" max="15489" width="1" style="1" customWidth="1"/>
    <col min="15490" max="15499" width="0" style="1" hidden="1" customWidth="1"/>
    <col min="15500" max="15501" width="1" style="1" customWidth="1"/>
    <col min="15502" max="15502" width="17.85546875" style="1" customWidth="1"/>
    <col min="15503" max="15503" width="1" style="1" customWidth="1"/>
    <col min="15504" max="15504" width="2" style="1" customWidth="1"/>
    <col min="15505" max="15505" width="6.42578125" style="1" customWidth="1"/>
    <col min="15506" max="15506" width="17.42578125" style="1" customWidth="1"/>
    <col min="15507" max="15507" width="12.28515625" style="1" customWidth="1"/>
    <col min="15508" max="15616" width="10" style="1"/>
    <col min="15617" max="15617" width="1.85546875" style="1" customWidth="1"/>
    <col min="15618" max="15619" width="1" style="1" customWidth="1"/>
    <col min="15620" max="15620" width="34" style="1" customWidth="1"/>
    <col min="15621" max="15622" width="1" style="1" customWidth="1"/>
    <col min="15623" max="15623" width="17.85546875" style="1" customWidth="1"/>
    <col min="15624" max="15625" width="1" style="1" customWidth="1"/>
    <col min="15626" max="15670" width="0" style="1" hidden="1" customWidth="1"/>
    <col min="15671" max="15672" width="1" style="1" customWidth="1"/>
    <col min="15673" max="15673" width="17.85546875" style="1" customWidth="1"/>
    <col min="15674" max="15675" width="1" style="1" customWidth="1"/>
    <col min="15676" max="15685" width="0" style="1" hidden="1" customWidth="1"/>
    <col min="15686" max="15687" width="1" style="1" customWidth="1"/>
    <col min="15688" max="15688" width="17.85546875" style="1" customWidth="1"/>
    <col min="15689" max="15692" width="1" style="1" customWidth="1"/>
    <col min="15693" max="15693" width="17.85546875" style="1" customWidth="1"/>
    <col min="15694" max="15695" width="1" style="1" customWidth="1"/>
    <col min="15696" max="15740" width="0" style="1" hidden="1" customWidth="1"/>
    <col min="15741" max="15742" width="1" style="1" customWidth="1"/>
    <col min="15743" max="15743" width="17.85546875" style="1" customWidth="1"/>
    <col min="15744" max="15745" width="1" style="1" customWidth="1"/>
    <col min="15746" max="15755" width="0" style="1" hidden="1" customWidth="1"/>
    <col min="15756" max="15757" width="1" style="1" customWidth="1"/>
    <col min="15758" max="15758" width="17.85546875" style="1" customWidth="1"/>
    <col min="15759" max="15759" width="1" style="1" customWidth="1"/>
    <col min="15760" max="15760" width="2" style="1" customWidth="1"/>
    <col min="15761" max="15761" width="6.42578125" style="1" customWidth="1"/>
    <col min="15762" max="15762" width="17.42578125" style="1" customWidth="1"/>
    <col min="15763" max="15763" width="12.28515625" style="1" customWidth="1"/>
    <col min="15764" max="15872" width="10" style="1"/>
    <col min="15873" max="15873" width="1.85546875" style="1" customWidth="1"/>
    <col min="15874" max="15875" width="1" style="1" customWidth="1"/>
    <col min="15876" max="15876" width="34" style="1" customWidth="1"/>
    <col min="15877" max="15878" width="1" style="1" customWidth="1"/>
    <col min="15879" max="15879" width="17.85546875" style="1" customWidth="1"/>
    <col min="15880" max="15881" width="1" style="1" customWidth="1"/>
    <col min="15882" max="15926" width="0" style="1" hidden="1" customWidth="1"/>
    <col min="15927" max="15928" width="1" style="1" customWidth="1"/>
    <col min="15929" max="15929" width="17.85546875" style="1" customWidth="1"/>
    <col min="15930" max="15931" width="1" style="1" customWidth="1"/>
    <col min="15932" max="15941" width="0" style="1" hidden="1" customWidth="1"/>
    <col min="15942" max="15943" width="1" style="1" customWidth="1"/>
    <col min="15944" max="15944" width="17.85546875" style="1" customWidth="1"/>
    <col min="15945" max="15948" width="1" style="1" customWidth="1"/>
    <col min="15949" max="15949" width="17.85546875" style="1" customWidth="1"/>
    <col min="15950" max="15951" width="1" style="1" customWidth="1"/>
    <col min="15952" max="15996" width="0" style="1" hidden="1" customWidth="1"/>
    <col min="15997" max="15998" width="1" style="1" customWidth="1"/>
    <col min="15999" max="15999" width="17.85546875" style="1" customWidth="1"/>
    <col min="16000" max="16001" width="1" style="1" customWidth="1"/>
    <col min="16002" max="16011" width="0" style="1" hidden="1" customWidth="1"/>
    <col min="16012" max="16013" width="1" style="1" customWidth="1"/>
    <col min="16014" max="16014" width="17.85546875" style="1" customWidth="1"/>
    <col min="16015" max="16015" width="1" style="1" customWidth="1"/>
    <col min="16016" max="16016" width="2" style="1" customWidth="1"/>
    <col min="16017" max="16017" width="6.42578125" style="1" customWidth="1"/>
    <col min="16018" max="16018" width="17.42578125" style="1" customWidth="1"/>
    <col min="16019" max="16019" width="12.28515625" style="1" customWidth="1"/>
    <col min="16020" max="16128" width="10" style="1"/>
    <col min="16129" max="16129" width="1.85546875" style="1" customWidth="1"/>
    <col min="16130" max="16131" width="1" style="1" customWidth="1"/>
    <col min="16132" max="16132" width="34" style="1" customWidth="1"/>
    <col min="16133" max="16134" width="1" style="1" customWidth="1"/>
    <col min="16135" max="16135" width="17.85546875" style="1" customWidth="1"/>
    <col min="16136" max="16137" width="1" style="1" customWidth="1"/>
    <col min="16138" max="16182" width="0" style="1" hidden="1" customWidth="1"/>
    <col min="16183" max="16184" width="1" style="1" customWidth="1"/>
    <col min="16185" max="16185" width="17.85546875" style="1" customWidth="1"/>
    <col min="16186" max="16187" width="1" style="1" customWidth="1"/>
    <col min="16188" max="16197" width="0" style="1" hidden="1" customWidth="1"/>
    <col min="16198" max="16199" width="1" style="1" customWidth="1"/>
    <col min="16200" max="16200" width="17.85546875" style="1" customWidth="1"/>
    <col min="16201" max="16204" width="1" style="1" customWidth="1"/>
    <col min="16205" max="16205" width="17.85546875" style="1" customWidth="1"/>
    <col min="16206" max="16207" width="1" style="1" customWidth="1"/>
    <col min="16208" max="16252" width="0" style="1" hidden="1" customWidth="1"/>
    <col min="16253" max="16254" width="1" style="1" customWidth="1"/>
    <col min="16255" max="16255" width="17.85546875" style="1" customWidth="1"/>
    <col min="16256" max="16257" width="1" style="1" customWidth="1"/>
    <col min="16258" max="16267" width="0" style="1" hidden="1" customWidth="1"/>
    <col min="16268" max="16269" width="1" style="1" customWidth="1"/>
    <col min="16270" max="16270" width="17.85546875" style="1" customWidth="1"/>
    <col min="16271" max="16271" width="1" style="1" customWidth="1"/>
    <col min="16272" max="16272" width="2" style="1" customWidth="1"/>
    <col min="16273" max="16273" width="6.42578125" style="1" customWidth="1"/>
    <col min="16274" max="16274" width="17.42578125" style="1" customWidth="1"/>
    <col min="16275" max="16275" width="12.28515625" style="1" customWidth="1"/>
    <col min="16276" max="16384" width="10" style="1"/>
  </cols>
  <sheetData>
    <row r="1" spans="4:147" x14ac:dyDescent="0.2">
      <c r="M1" s="1">
        <f>1770000000+11234076861+1105000000</f>
        <v>14109076861</v>
      </c>
    </row>
    <row r="2" spans="4:147" ht="5.25" customHeight="1" x14ac:dyDescent="0.2"/>
    <row r="4" spans="4:147" x14ac:dyDescent="0.2">
      <c r="D4" s="14"/>
      <c r="E4" s="14"/>
      <c r="F4" s="14"/>
    </row>
    <row r="7" spans="4:147" ht="15.75" x14ac:dyDescent="0.25">
      <c r="D7" s="354" t="s">
        <v>414</v>
      </c>
      <c r="E7" s="422"/>
      <c r="F7" s="422"/>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row>
    <row r="8" spans="4:147" ht="15" customHeight="1" x14ac:dyDescent="0.2">
      <c r="D8" s="4"/>
      <c r="E8" s="385"/>
      <c r="F8" s="201"/>
      <c r="G8" s="489" t="str">
        <f>[31]summary!H8</f>
        <v>2020/21</v>
      </c>
      <c r="H8" s="489"/>
      <c r="I8" s="489"/>
      <c r="J8" s="489"/>
      <c r="K8" s="489"/>
      <c r="L8" s="490"/>
      <c r="M8" s="490"/>
      <c r="N8" s="490"/>
      <c r="O8" s="490"/>
      <c r="P8" s="490"/>
      <c r="Q8" s="490"/>
      <c r="R8" s="490"/>
      <c r="S8" s="490"/>
      <c r="T8" s="490"/>
      <c r="U8" s="490"/>
      <c r="V8" s="490"/>
      <c r="W8" s="490"/>
      <c r="X8" s="490"/>
      <c r="Y8" s="490"/>
      <c r="Z8" s="490"/>
      <c r="AA8" s="490"/>
      <c r="AB8" s="490"/>
      <c r="AC8" s="490"/>
      <c r="AD8" s="490"/>
      <c r="AE8" s="490"/>
      <c r="AF8" s="490"/>
      <c r="AG8" s="490"/>
      <c r="AH8" s="490"/>
      <c r="AI8" s="490"/>
      <c r="AJ8" s="490"/>
      <c r="AK8" s="490"/>
      <c r="AL8" s="490"/>
      <c r="AM8" s="490"/>
      <c r="AN8" s="490"/>
      <c r="AO8" s="490"/>
      <c r="AP8" s="490"/>
      <c r="AQ8" s="490"/>
      <c r="AR8" s="490"/>
      <c r="AS8" s="490"/>
      <c r="AT8" s="490"/>
      <c r="AU8" s="490"/>
      <c r="AV8" s="490"/>
      <c r="AW8" s="490"/>
      <c r="AX8" s="490"/>
      <c r="AY8" s="490"/>
      <c r="AZ8" s="490"/>
      <c r="BA8" s="490"/>
      <c r="BB8" s="490"/>
      <c r="BC8" s="490"/>
      <c r="BD8" s="490"/>
      <c r="BE8" s="490"/>
      <c r="BF8" s="490"/>
      <c r="BG8" s="490"/>
      <c r="BH8" s="490"/>
      <c r="BI8" s="490"/>
      <c r="BJ8" s="490"/>
      <c r="BK8" s="490"/>
      <c r="BL8" s="490"/>
      <c r="BM8" s="490"/>
      <c r="BN8" s="490"/>
      <c r="BO8" s="490"/>
      <c r="BP8" s="490"/>
      <c r="BQ8" s="490"/>
      <c r="BR8" s="490"/>
      <c r="BS8" s="490"/>
      <c r="BT8" s="490"/>
      <c r="BU8" s="476"/>
      <c r="BV8" s="476"/>
      <c r="BW8" s="477"/>
      <c r="BX8" s="476"/>
      <c r="BY8" s="489" t="str">
        <f>[31]summary!BZ8</f>
        <v>2019/20</v>
      </c>
      <c r="BZ8" s="489"/>
      <c r="CA8" s="489"/>
      <c r="CB8" s="489"/>
      <c r="CC8" s="489"/>
      <c r="CD8" s="490"/>
      <c r="CE8" s="490"/>
      <c r="CF8" s="490"/>
      <c r="CG8" s="490"/>
      <c r="CH8" s="490"/>
      <c r="CI8" s="490"/>
      <c r="CJ8" s="490"/>
      <c r="CK8" s="490"/>
      <c r="CL8" s="490"/>
      <c r="CM8" s="490"/>
      <c r="CN8" s="490"/>
      <c r="CO8" s="490"/>
      <c r="CP8" s="490"/>
      <c r="CQ8" s="490"/>
      <c r="CR8" s="490"/>
      <c r="CS8" s="490"/>
      <c r="CT8" s="490"/>
      <c r="CU8" s="490"/>
      <c r="CV8" s="490"/>
      <c r="CW8" s="490"/>
      <c r="CX8" s="490"/>
      <c r="CY8" s="490"/>
      <c r="CZ8" s="490"/>
      <c r="DA8" s="490"/>
      <c r="DB8" s="490"/>
      <c r="DC8" s="490"/>
      <c r="DD8" s="490"/>
      <c r="DE8" s="490"/>
      <c r="DF8" s="490"/>
      <c r="DG8" s="490"/>
      <c r="DH8" s="490"/>
      <c r="DI8" s="490"/>
      <c r="DJ8" s="490"/>
      <c r="DK8" s="490"/>
      <c r="DL8" s="490"/>
      <c r="DM8" s="490"/>
      <c r="DN8" s="490"/>
      <c r="DO8" s="490"/>
      <c r="DP8" s="490"/>
      <c r="DQ8" s="490"/>
      <c r="DR8" s="490"/>
      <c r="DS8" s="490"/>
      <c r="DT8" s="490"/>
      <c r="DU8" s="490"/>
      <c r="DV8" s="490"/>
      <c r="DW8" s="490"/>
      <c r="DX8" s="490"/>
      <c r="DY8" s="490"/>
      <c r="DZ8" s="490"/>
      <c r="EA8" s="490"/>
      <c r="EB8" s="490"/>
      <c r="EC8" s="490"/>
      <c r="ED8" s="490"/>
      <c r="EE8" s="490"/>
      <c r="EF8" s="490"/>
      <c r="EG8" s="490"/>
      <c r="EH8" s="490"/>
      <c r="EI8" s="490"/>
      <c r="EJ8" s="490"/>
      <c r="EK8" s="490"/>
      <c r="EL8" s="490"/>
      <c r="EM8" s="201"/>
      <c r="EN8" s="201"/>
      <c r="EO8" s="13"/>
    </row>
    <row r="9" spans="4:147" ht="18" customHeight="1" x14ac:dyDescent="0.2">
      <c r="D9" s="13"/>
      <c r="E9" s="198"/>
      <c r="G9" s="23" t="str">
        <f>[31]domlongtermissues!G9</f>
        <v>Revised</v>
      </c>
      <c r="H9" s="23"/>
      <c r="I9" s="23"/>
      <c r="J9" s="42"/>
      <c r="K9" s="23"/>
      <c r="L9" s="23" t="s">
        <v>4</v>
      </c>
      <c r="M9" s="23"/>
      <c r="N9" s="23"/>
      <c r="O9" s="42"/>
      <c r="P9" s="23"/>
      <c r="Q9" s="23" t="s">
        <v>5</v>
      </c>
      <c r="R9" s="23"/>
      <c r="S9" s="23"/>
      <c r="T9" s="42"/>
      <c r="U9" s="23"/>
      <c r="V9" s="23" t="s">
        <v>6</v>
      </c>
      <c r="W9" s="23"/>
      <c r="X9" s="23"/>
      <c r="Y9" s="42"/>
      <c r="Z9" s="23"/>
      <c r="AA9" s="23" t="s">
        <v>7</v>
      </c>
      <c r="AB9" s="23"/>
      <c r="AC9" s="23"/>
      <c r="AD9" s="42"/>
      <c r="AE9" s="23"/>
      <c r="AF9" s="23" t="s">
        <v>8</v>
      </c>
      <c r="AG9" s="23"/>
      <c r="AH9" s="23"/>
      <c r="AI9" s="42"/>
      <c r="AJ9" s="23"/>
      <c r="AK9" s="23" t="s">
        <v>9</v>
      </c>
      <c r="AL9" s="23"/>
      <c r="AM9" s="23"/>
      <c r="AN9" s="42"/>
      <c r="AO9" s="23"/>
      <c r="AP9" s="23" t="s">
        <v>10</v>
      </c>
      <c r="AQ9" s="23"/>
      <c r="AR9" s="23"/>
      <c r="AS9" s="42"/>
      <c r="AT9" s="23"/>
      <c r="AU9" s="23" t="s">
        <v>11</v>
      </c>
      <c r="AV9" s="23"/>
      <c r="AW9" s="23"/>
      <c r="AX9" s="42"/>
      <c r="AY9" s="23"/>
      <c r="AZ9" s="23" t="s">
        <v>12</v>
      </c>
      <c r="BA9" s="23"/>
      <c r="BB9" s="23"/>
      <c r="BC9" s="42"/>
      <c r="BD9" s="23"/>
      <c r="BE9" s="23" t="s">
        <v>13</v>
      </c>
      <c r="BF9" s="23"/>
      <c r="BG9" s="23"/>
      <c r="BH9" s="42"/>
      <c r="BI9" s="23"/>
      <c r="BJ9" s="23" t="s">
        <v>14</v>
      </c>
      <c r="BK9" s="23"/>
      <c r="BL9" s="23"/>
      <c r="BM9" s="42"/>
      <c r="BN9" s="23"/>
      <c r="BO9" s="23" t="s">
        <v>15</v>
      </c>
      <c r="BP9" s="23"/>
      <c r="BQ9" s="23"/>
      <c r="BR9" s="42"/>
      <c r="BS9" s="23"/>
      <c r="BT9" s="23" t="s">
        <v>16</v>
      </c>
      <c r="BU9" s="23"/>
      <c r="BV9" s="23"/>
      <c r="BW9" s="65"/>
      <c r="BX9" s="23"/>
      <c r="BY9" s="41" t="str">
        <f>[31]domlongtermissues!BY9</f>
        <v>Preliminary</v>
      </c>
      <c r="BZ9" s="23"/>
      <c r="CA9" s="23"/>
      <c r="CB9" s="42"/>
      <c r="CC9" s="23"/>
      <c r="CD9" s="23" t="s">
        <v>4</v>
      </c>
      <c r="CE9" s="23"/>
      <c r="CF9" s="23"/>
      <c r="CG9" s="42"/>
      <c r="CH9" s="23"/>
      <c r="CI9" s="23" t="s">
        <v>5</v>
      </c>
      <c r="CJ9" s="23"/>
      <c r="CK9" s="23"/>
      <c r="CL9" s="42"/>
      <c r="CM9" s="23"/>
      <c r="CN9" s="23" t="s">
        <v>6</v>
      </c>
      <c r="CO9" s="23"/>
      <c r="CP9" s="23"/>
      <c r="CQ9" s="42"/>
      <c r="CR9" s="23"/>
      <c r="CS9" s="23" t="s">
        <v>7</v>
      </c>
      <c r="CT9" s="23"/>
      <c r="CU9" s="23"/>
      <c r="CV9" s="42"/>
      <c r="CW9" s="23"/>
      <c r="CX9" s="23" t="s">
        <v>8</v>
      </c>
      <c r="CY9" s="23"/>
      <c r="CZ9" s="23"/>
      <c r="DA9" s="42"/>
      <c r="DB9" s="23"/>
      <c r="DC9" s="23" t="s">
        <v>9</v>
      </c>
      <c r="DD9" s="23"/>
      <c r="DE9" s="23"/>
      <c r="DF9" s="42"/>
      <c r="DG9" s="23"/>
      <c r="DH9" s="23" t="s">
        <v>10</v>
      </c>
      <c r="DI9" s="23"/>
      <c r="DJ9" s="23"/>
      <c r="DK9" s="42"/>
      <c r="DL9" s="23"/>
      <c r="DM9" s="23" t="s">
        <v>11</v>
      </c>
      <c r="DN9" s="23"/>
      <c r="DO9" s="23"/>
      <c r="DP9" s="42"/>
      <c r="DQ9" s="23"/>
      <c r="DR9" s="23" t="s">
        <v>12</v>
      </c>
      <c r="DS9" s="23"/>
      <c r="DT9" s="23"/>
      <c r="DU9" s="42"/>
      <c r="DV9" s="23"/>
      <c r="DW9" s="23" t="s">
        <v>13</v>
      </c>
      <c r="DX9" s="23"/>
      <c r="DY9" s="23"/>
      <c r="DZ9" s="42"/>
      <c r="EA9" s="23"/>
      <c r="EB9" s="23" t="s">
        <v>14</v>
      </c>
      <c r="EC9" s="23"/>
      <c r="ED9" s="23"/>
      <c r="EE9" s="42"/>
      <c r="EF9" s="23"/>
      <c r="EG9" s="23" t="s">
        <v>15</v>
      </c>
      <c r="EH9" s="23"/>
      <c r="EI9" s="23"/>
      <c r="EJ9" s="42"/>
      <c r="EK9" s="23"/>
      <c r="EL9" s="23" t="s">
        <v>16</v>
      </c>
      <c r="EO9" s="13"/>
    </row>
    <row r="10" spans="4:147" x14ac:dyDescent="0.2">
      <c r="D10" s="364" t="s">
        <v>19</v>
      </c>
      <c r="E10" s="430"/>
      <c r="F10" s="431"/>
      <c r="G10" s="105" t="s">
        <v>20</v>
      </c>
      <c r="H10" s="105"/>
      <c r="I10" s="105"/>
      <c r="J10" s="366"/>
      <c r="K10" s="105"/>
      <c r="L10" s="105"/>
      <c r="M10" s="105"/>
      <c r="N10" s="105"/>
      <c r="O10" s="366"/>
      <c r="P10" s="105"/>
      <c r="Q10" s="105"/>
      <c r="R10" s="105"/>
      <c r="S10" s="105"/>
      <c r="T10" s="366"/>
      <c r="U10" s="105"/>
      <c r="V10" s="105"/>
      <c r="W10" s="105"/>
      <c r="X10" s="105"/>
      <c r="Y10" s="366"/>
      <c r="Z10" s="105"/>
      <c r="AA10" s="105"/>
      <c r="AB10" s="105"/>
      <c r="AC10" s="105"/>
      <c r="AD10" s="366"/>
      <c r="AE10" s="105"/>
      <c r="AF10" s="105"/>
      <c r="AG10" s="105"/>
      <c r="AH10" s="105"/>
      <c r="AI10" s="366"/>
      <c r="AJ10" s="105"/>
      <c r="AK10" s="105"/>
      <c r="AL10" s="105"/>
      <c r="AM10" s="105"/>
      <c r="AN10" s="366"/>
      <c r="AO10" s="105"/>
      <c r="AP10" s="105"/>
      <c r="AQ10" s="105"/>
      <c r="AR10" s="105"/>
      <c r="AS10" s="366"/>
      <c r="AT10" s="105"/>
      <c r="AU10" s="105"/>
      <c r="AV10" s="105"/>
      <c r="AW10" s="105"/>
      <c r="AX10" s="366"/>
      <c r="AY10" s="105"/>
      <c r="AZ10" s="105"/>
      <c r="BA10" s="105"/>
      <c r="BB10" s="105"/>
      <c r="BC10" s="366"/>
      <c r="BD10" s="105"/>
      <c r="BE10" s="105"/>
      <c r="BF10" s="105"/>
      <c r="BG10" s="105"/>
      <c r="BH10" s="366"/>
      <c r="BI10" s="105"/>
      <c r="BJ10" s="105"/>
      <c r="BK10" s="105"/>
      <c r="BL10" s="105"/>
      <c r="BM10" s="366"/>
      <c r="BN10" s="105"/>
      <c r="BO10" s="105"/>
      <c r="BP10" s="105"/>
      <c r="BQ10" s="105"/>
      <c r="BR10" s="366"/>
      <c r="BS10" s="105"/>
      <c r="BT10" s="105"/>
      <c r="BU10" s="105"/>
      <c r="BV10" s="105"/>
      <c r="BW10" s="366"/>
      <c r="BX10" s="105"/>
      <c r="BY10" s="105" t="s">
        <v>21</v>
      </c>
      <c r="BZ10" s="105"/>
      <c r="CA10" s="105"/>
      <c r="CB10" s="366"/>
      <c r="CC10" s="105"/>
      <c r="CD10" s="105"/>
      <c r="CE10" s="105"/>
      <c r="CF10" s="105"/>
      <c r="CG10" s="366"/>
      <c r="CH10" s="105"/>
      <c r="CI10" s="105"/>
      <c r="CJ10" s="105"/>
      <c r="CK10" s="105"/>
      <c r="CL10" s="366"/>
      <c r="CM10" s="105"/>
      <c r="CN10" s="105"/>
      <c r="CO10" s="105"/>
      <c r="CP10" s="105"/>
      <c r="CQ10" s="366"/>
      <c r="CR10" s="105"/>
      <c r="CS10" s="105"/>
      <c r="CT10" s="105"/>
      <c r="CU10" s="105"/>
      <c r="CV10" s="366"/>
      <c r="CW10" s="105"/>
      <c r="CX10" s="105"/>
      <c r="CY10" s="105"/>
      <c r="CZ10" s="105"/>
      <c r="DA10" s="366"/>
      <c r="DB10" s="105"/>
      <c r="DC10" s="105"/>
      <c r="DD10" s="105"/>
      <c r="DE10" s="105"/>
      <c r="DF10" s="366"/>
      <c r="DG10" s="105"/>
      <c r="DH10" s="105"/>
      <c r="DI10" s="105"/>
      <c r="DJ10" s="105"/>
      <c r="DK10" s="366"/>
      <c r="DL10" s="105"/>
      <c r="DM10" s="105"/>
      <c r="DN10" s="105"/>
      <c r="DO10" s="105"/>
      <c r="DP10" s="366"/>
      <c r="DQ10" s="105"/>
      <c r="DR10" s="105"/>
      <c r="DS10" s="105"/>
      <c r="DT10" s="105"/>
      <c r="DU10" s="366"/>
      <c r="DV10" s="105"/>
      <c r="DW10" s="105"/>
      <c r="DX10" s="105"/>
      <c r="DY10" s="105"/>
      <c r="DZ10" s="366"/>
      <c r="EA10" s="105"/>
      <c r="EB10" s="105"/>
      <c r="EC10" s="105"/>
      <c r="ED10" s="105"/>
      <c r="EE10" s="366"/>
      <c r="EF10" s="105"/>
      <c r="EG10" s="105"/>
      <c r="EH10" s="105"/>
      <c r="EI10" s="105"/>
      <c r="EJ10" s="366"/>
      <c r="EK10" s="105"/>
      <c r="EL10" s="105"/>
      <c r="EM10" s="201"/>
      <c r="EN10" s="201"/>
      <c r="EO10" s="13"/>
    </row>
    <row r="11" spans="4:147" x14ac:dyDescent="0.2">
      <c r="D11" s="433"/>
      <c r="E11" s="387"/>
      <c r="F11" s="388"/>
      <c r="G11" s="388"/>
      <c r="H11" s="388"/>
      <c r="I11" s="388"/>
      <c r="J11" s="387"/>
      <c r="K11" s="388"/>
      <c r="L11" s="388"/>
      <c r="M11" s="388"/>
      <c r="N11" s="388"/>
      <c r="O11" s="387"/>
      <c r="P11" s="388"/>
      <c r="Q11" s="388"/>
      <c r="R11" s="388"/>
      <c r="S11" s="388"/>
      <c r="T11" s="387"/>
      <c r="U11" s="388"/>
      <c r="V11" s="388"/>
      <c r="W11" s="388"/>
      <c r="X11" s="388"/>
      <c r="Y11" s="387"/>
      <c r="Z11" s="388"/>
      <c r="AA11" s="388"/>
      <c r="AB11" s="388"/>
      <c r="AC11" s="388"/>
      <c r="AD11" s="387"/>
      <c r="AE11" s="388"/>
      <c r="AF11" s="388"/>
      <c r="AG11" s="388"/>
      <c r="AH11" s="388"/>
      <c r="AI11" s="387"/>
      <c r="AJ11" s="388"/>
      <c r="AK11" s="388"/>
      <c r="AL11" s="388"/>
      <c r="AM11" s="388"/>
      <c r="AN11" s="387"/>
      <c r="AO11" s="388"/>
      <c r="AP11" s="388"/>
      <c r="AQ11" s="388"/>
      <c r="AR11" s="388"/>
      <c r="AS11" s="387"/>
      <c r="AT11" s="388"/>
      <c r="AU11" s="388"/>
      <c r="AV11" s="388"/>
      <c r="AW11" s="388"/>
      <c r="AX11" s="387"/>
      <c r="AY11" s="388"/>
      <c r="AZ11" s="388"/>
      <c r="BA11" s="388"/>
      <c r="BB11" s="388"/>
      <c r="BC11" s="387"/>
      <c r="BD11" s="388"/>
      <c r="BE11" s="388"/>
      <c r="BF11" s="388"/>
      <c r="BG11" s="388"/>
      <c r="BH11" s="387"/>
      <c r="BI11" s="388"/>
      <c r="BJ11" s="388"/>
      <c r="BK11" s="388"/>
      <c r="BL11" s="388"/>
      <c r="BM11" s="387"/>
      <c r="BN11" s="388"/>
      <c r="BO11" s="388"/>
      <c r="BP11" s="388"/>
      <c r="BQ11" s="388"/>
      <c r="BR11" s="387"/>
      <c r="BS11" s="388"/>
      <c r="BW11" s="198"/>
      <c r="BY11" s="388"/>
      <c r="BZ11" s="388"/>
      <c r="CA11" s="388"/>
      <c r="CB11" s="387"/>
      <c r="CC11" s="388"/>
      <c r="CD11" s="388"/>
      <c r="CE11" s="388"/>
      <c r="CF11" s="388"/>
      <c r="CG11" s="387"/>
      <c r="CH11" s="388"/>
      <c r="CI11" s="388"/>
      <c r="CJ11" s="388"/>
      <c r="CK11" s="388"/>
      <c r="CL11" s="387"/>
      <c r="CM11" s="388"/>
      <c r="CN11" s="388"/>
      <c r="CO11" s="388"/>
      <c r="CP11" s="388"/>
      <c r="CQ11" s="387"/>
      <c r="CR11" s="388"/>
      <c r="CS11" s="388"/>
      <c r="CT11" s="388"/>
      <c r="CU11" s="388"/>
      <c r="CV11" s="387"/>
      <c r="CW11" s="388"/>
      <c r="CX11" s="388"/>
      <c r="CY11" s="388"/>
      <c r="CZ11" s="388"/>
      <c r="DA11" s="387"/>
      <c r="DB11" s="388"/>
      <c r="DC11" s="388"/>
      <c r="DD11" s="388"/>
      <c r="DE11" s="388"/>
      <c r="DF11" s="387"/>
      <c r="DG11" s="388"/>
      <c r="DH11" s="388"/>
      <c r="DI11" s="388"/>
      <c r="DJ11" s="388"/>
      <c r="DK11" s="387"/>
      <c r="DL11" s="388"/>
      <c r="DM11" s="388"/>
      <c r="DN11" s="388"/>
      <c r="DO11" s="388"/>
      <c r="DP11" s="387"/>
      <c r="DQ11" s="388"/>
      <c r="DR11" s="388"/>
      <c r="DS11" s="388"/>
      <c r="DT11" s="388"/>
      <c r="DU11" s="387"/>
      <c r="DV11" s="388"/>
      <c r="DW11" s="388"/>
      <c r="DX11" s="388"/>
      <c r="DY11" s="388"/>
      <c r="DZ11" s="387"/>
      <c r="EA11" s="388"/>
      <c r="EB11" s="388"/>
      <c r="EC11" s="388"/>
      <c r="ED11" s="388"/>
      <c r="EE11" s="387"/>
      <c r="EF11" s="388"/>
      <c r="EG11" s="388"/>
      <c r="EH11" s="388"/>
      <c r="EI11" s="388"/>
      <c r="EJ11" s="387"/>
      <c r="EK11" s="388"/>
      <c r="EO11" s="13"/>
    </row>
    <row r="12" spans="4:147" s="14" customFormat="1" x14ac:dyDescent="0.2">
      <c r="D12" s="93" t="s">
        <v>415</v>
      </c>
      <c r="E12" s="180"/>
      <c r="G12" s="336">
        <f>SUM(G13:G16)</f>
        <v>52465000</v>
      </c>
      <c r="H12" s="336"/>
      <c r="I12" s="336"/>
      <c r="J12" s="335"/>
      <c r="K12" s="336"/>
      <c r="L12" s="390">
        <f>SUM(L13:L16)</f>
        <v>1687473</v>
      </c>
      <c r="M12" s="390"/>
      <c r="N12" s="390"/>
      <c r="O12" s="389"/>
      <c r="P12" s="390"/>
      <c r="Q12" s="390">
        <f>SUM(Q13:Q16)</f>
        <v>364729</v>
      </c>
      <c r="R12" s="390"/>
      <c r="S12" s="390"/>
      <c r="T12" s="389"/>
      <c r="U12" s="390"/>
      <c r="V12" s="390">
        <f>SUM(V13:V16)</f>
        <v>141048</v>
      </c>
      <c r="W12" s="390"/>
      <c r="X12" s="390"/>
      <c r="Y12" s="389"/>
      <c r="Z12" s="390"/>
      <c r="AA12" s="390">
        <f>SUM(AA13:AA16)</f>
        <v>339545</v>
      </c>
      <c r="AB12" s="390"/>
      <c r="AC12" s="390"/>
      <c r="AD12" s="389"/>
      <c r="AE12" s="390"/>
      <c r="AF12" s="390">
        <f>SUM(AF13:AF16)</f>
        <v>253446</v>
      </c>
      <c r="AG12" s="390"/>
      <c r="AH12" s="390"/>
      <c r="AI12" s="389"/>
      <c r="AJ12" s="390"/>
      <c r="AK12" s="390">
        <f>SUM(AK13:AK16)</f>
        <v>241575</v>
      </c>
      <c r="AL12" s="390"/>
      <c r="AM12" s="390"/>
      <c r="AN12" s="389"/>
      <c r="AO12" s="390"/>
      <c r="AP12" s="390">
        <f>SUM(AP13:AP16)</f>
        <v>333330</v>
      </c>
      <c r="AQ12" s="390"/>
      <c r="AR12" s="390"/>
      <c r="AS12" s="389"/>
      <c r="AT12" s="390"/>
      <c r="AU12" s="390">
        <f>SUM(AU13:AU16)</f>
        <v>314155</v>
      </c>
      <c r="AV12" s="390"/>
      <c r="AW12" s="390"/>
      <c r="AX12" s="389"/>
      <c r="AY12" s="390"/>
      <c r="AZ12" s="390">
        <f>SUM(AZ13:AZ16)</f>
        <v>350295</v>
      </c>
      <c r="BA12" s="390"/>
      <c r="BB12" s="390"/>
      <c r="BC12" s="389"/>
      <c r="BD12" s="390"/>
      <c r="BE12" s="390">
        <f>SUM(BE13:BE16)</f>
        <v>530634</v>
      </c>
      <c r="BF12" s="390"/>
      <c r="BG12" s="390"/>
      <c r="BH12" s="389"/>
      <c r="BI12" s="390"/>
      <c r="BJ12" s="390">
        <f>SUM(BJ13:BJ16)</f>
        <v>0</v>
      </c>
      <c r="BK12" s="390"/>
      <c r="BL12" s="390"/>
      <c r="BM12" s="389"/>
      <c r="BN12" s="390"/>
      <c r="BO12" s="390">
        <f>SUM(BO13:BO16)</f>
        <v>0</v>
      </c>
      <c r="BP12" s="390"/>
      <c r="BQ12" s="390"/>
      <c r="BR12" s="389"/>
      <c r="BS12" s="390"/>
      <c r="BT12" s="390">
        <f>SUM(BT13:BT16)</f>
        <v>4556230</v>
      </c>
      <c r="BU12" s="390"/>
      <c r="BV12" s="390"/>
      <c r="BW12" s="389"/>
      <c r="BX12" s="390"/>
      <c r="BY12" s="390">
        <f>SUM(BY13:BY16)</f>
        <v>36583937</v>
      </c>
      <c r="BZ12" s="336"/>
      <c r="CA12" s="336"/>
      <c r="CB12" s="335"/>
      <c r="CC12" s="336"/>
      <c r="CD12" s="390">
        <f>SUM(CD13:CD16)</f>
        <v>3444201</v>
      </c>
      <c r="CE12" s="390"/>
      <c r="CF12" s="390"/>
      <c r="CG12" s="389"/>
      <c r="CH12" s="390"/>
      <c r="CI12" s="390">
        <f>SUM(CI13:CI16)</f>
        <v>13049394</v>
      </c>
      <c r="CJ12" s="390"/>
      <c r="CK12" s="390"/>
      <c r="CL12" s="389"/>
      <c r="CM12" s="390"/>
      <c r="CN12" s="390">
        <f>SUM(CN13:CN16)</f>
        <v>251090</v>
      </c>
      <c r="CO12" s="390"/>
      <c r="CP12" s="390"/>
      <c r="CQ12" s="389"/>
      <c r="CR12" s="390"/>
      <c r="CS12" s="390">
        <f>SUM(CS13:CS16)</f>
        <v>239599</v>
      </c>
      <c r="CT12" s="390"/>
      <c r="CU12" s="390"/>
      <c r="CV12" s="389"/>
      <c r="CW12" s="390"/>
      <c r="CX12" s="390">
        <f>SUM(CX13:CX16)</f>
        <v>606220</v>
      </c>
      <c r="CY12" s="390"/>
      <c r="CZ12" s="390"/>
      <c r="DA12" s="389"/>
      <c r="DB12" s="390"/>
      <c r="DC12" s="390">
        <f>SUM(DC13:DC16)</f>
        <v>699411</v>
      </c>
      <c r="DD12" s="390"/>
      <c r="DE12" s="390"/>
      <c r="DF12" s="389"/>
      <c r="DG12" s="390"/>
      <c r="DH12" s="390">
        <f>SUM(DH13:DH16)</f>
        <v>190972</v>
      </c>
      <c r="DI12" s="390"/>
      <c r="DJ12" s="390"/>
      <c r="DK12" s="389"/>
      <c r="DL12" s="390"/>
      <c r="DM12" s="390">
        <f>SUM(DM13:DM16)</f>
        <v>436828</v>
      </c>
      <c r="DN12" s="390"/>
      <c r="DO12" s="390"/>
      <c r="DP12" s="389"/>
      <c r="DQ12" s="390"/>
      <c r="DR12" s="390">
        <f>SUM(DR13:DR16)</f>
        <v>335951</v>
      </c>
      <c r="DS12" s="390"/>
      <c r="DT12" s="390"/>
      <c r="DU12" s="389"/>
      <c r="DV12" s="390"/>
      <c r="DW12" s="390">
        <f>SUM(DW13:DW16)</f>
        <v>16129719</v>
      </c>
      <c r="DX12" s="390"/>
      <c r="DY12" s="390"/>
      <c r="DZ12" s="389"/>
      <c r="EA12" s="390"/>
      <c r="EB12" s="390">
        <f>SUM(EB13:EB16)</f>
        <v>239823</v>
      </c>
      <c r="EC12" s="390"/>
      <c r="ED12" s="390"/>
      <c r="EE12" s="389"/>
      <c r="EF12" s="390"/>
      <c r="EG12" s="390">
        <f>SUM(EG13:EG16)</f>
        <v>960729</v>
      </c>
      <c r="EH12" s="390"/>
      <c r="EI12" s="390"/>
      <c r="EJ12" s="389"/>
      <c r="EK12" s="390"/>
      <c r="EL12" s="390">
        <f>SUM(EL13:EL16)</f>
        <v>35383385</v>
      </c>
      <c r="EO12" s="93"/>
    </row>
    <row r="13" spans="4:147" x14ac:dyDescent="0.2">
      <c r="D13" s="13" t="s">
        <v>416</v>
      </c>
      <c r="E13" s="198"/>
      <c r="F13" s="391"/>
      <c r="G13" s="434">
        <f>G18</f>
        <v>52465000</v>
      </c>
      <c r="H13" s="438"/>
      <c r="I13" s="330"/>
      <c r="J13" s="329"/>
      <c r="K13" s="391"/>
      <c r="L13" s="434">
        <f>L18</f>
        <v>1200137</v>
      </c>
      <c r="M13" s="438"/>
      <c r="N13" s="388"/>
      <c r="O13" s="387"/>
      <c r="P13" s="391"/>
      <c r="Q13" s="434">
        <f>Q18</f>
        <v>335047</v>
      </c>
      <c r="R13" s="438"/>
      <c r="S13" s="388"/>
      <c r="T13" s="387"/>
      <c r="U13" s="391"/>
      <c r="V13" s="434">
        <f>V18</f>
        <v>112559</v>
      </c>
      <c r="W13" s="438"/>
      <c r="X13" s="388"/>
      <c r="Y13" s="387"/>
      <c r="Z13" s="391"/>
      <c r="AA13" s="434">
        <f>AA18</f>
        <v>339545</v>
      </c>
      <c r="AB13" s="438"/>
      <c r="AC13" s="388"/>
      <c r="AD13" s="387"/>
      <c r="AE13" s="391"/>
      <c r="AF13" s="434">
        <f>AF18</f>
        <v>212255</v>
      </c>
      <c r="AG13" s="438"/>
      <c r="AH13" s="388"/>
      <c r="AI13" s="387"/>
      <c r="AJ13" s="391"/>
      <c r="AK13" s="434">
        <f>AK18</f>
        <v>223023</v>
      </c>
      <c r="AL13" s="438"/>
      <c r="AM13" s="388"/>
      <c r="AN13" s="387"/>
      <c r="AO13" s="391"/>
      <c r="AP13" s="434">
        <f>AP18</f>
        <v>333330</v>
      </c>
      <c r="AQ13" s="438"/>
      <c r="AR13" s="388"/>
      <c r="AS13" s="387"/>
      <c r="AT13" s="391"/>
      <c r="AU13" s="434">
        <f>AU18</f>
        <v>314155</v>
      </c>
      <c r="AV13" s="438"/>
      <c r="AW13" s="388"/>
      <c r="AX13" s="387"/>
      <c r="AY13" s="391"/>
      <c r="AZ13" s="434">
        <f>AZ18</f>
        <v>59957</v>
      </c>
      <c r="BA13" s="438"/>
      <c r="BB13" s="388"/>
      <c r="BC13" s="387"/>
      <c r="BD13" s="391"/>
      <c r="BE13" s="434">
        <f>BE18</f>
        <v>397954</v>
      </c>
      <c r="BF13" s="438"/>
      <c r="BG13" s="388"/>
      <c r="BH13" s="387"/>
      <c r="BI13" s="391"/>
      <c r="BJ13" s="434">
        <f>BJ18</f>
        <v>0</v>
      </c>
      <c r="BK13" s="438"/>
      <c r="BL13" s="388"/>
      <c r="BM13" s="387"/>
      <c r="BN13" s="391"/>
      <c r="BO13" s="434">
        <f>BO18</f>
        <v>0</v>
      </c>
      <c r="BP13" s="438"/>
      <c r="BQ13" s="387"/>
      <c r="BR13" s="387"/>
      <c r="BS13" s="391"/>
      <c r="BT13" s="434">
        <f>BT18</f>
        <v>3527962</v>
      </c>
      <c r="BU13" s="438"/>
      <c r="BV13" s="388"/>
      <c r="BW13" s="387"/>
      <c r="BX13" s="391"/>
      <c r="BY13" s="434">
        <f>BY18</f>
        <v>19427655</v>
      </c>
      <c r="BZ13" s="438"/>
      <c r="CA13" s="330"/>
      <c r="CB13" s="329"/>
      <c r="CC13" s="391"/>
      <c r="CD13" s="434">
        <f>CD18</f>
        <v>334512</v>
      </c>
      <c r="CE13" s="438"/>
      <c r="CF13" s="388"/>
      <c r="CG13" s="387"/>
      <c r="CH13" s="391"/>
      <c r="CI13" s="434">
        <f>CI18</f>
        <v>254394</v>
      </c>
      <c r="CJ13" s="438"/>
      <c r="CK13" s="388"/>
      <c r="CL13" s="387"/>
      <c r="CM13" s="391"/>
      <c r="CN13" s="434">
        <f>CN18</f>
        <v>251090</v>
      </c>
      <c r="CO13" s="438"/>
      <c r="CP13" s="388"/>
      <c r="CQ13" s="387"/>
      <c r="CR13" s="391"/>
      <c r="CS13" s="434">
        <f>CS18</f>
        <v>239599</v>
      </c>
      <c r="CT13" s="438"/>
      <c r="CU13" s="388"/>
      <c r="CV13" s="387"/>
      <c r="CW13" s="391"/>
      <c r="CX13" s="434">
        <f>CX18</f>
        <v>317003</v>
      </c>
      <c r="CY13" s="438"/>
      <c r="CZ13" s="388"/>
      <c r="DA13" s="387"/>
      <c r="DB13" s="391"/>
      <c r="DC13" s="434">
        <f>DC18</f>
        <v>464401</v>
      </c>
      <c r="DD13" s="438"/>
      <c r="DE13" s="388"/>
      <c r="DF13" s="387"/>
      <c r="DG13" s="391"/>
      <c r="DH13" s="434">
        <f>DH18</f>
        <v>190972</v>
      </c>
      <c r="DI13" s="438"/>
      <c r="DJ13" s="388"/>
      <c r="DK13" s="387"/>
      <c r="DL13" s="391"/>
      <c r="DM13" s="434">
        <f>DM18</f>
        <v>372701</v>
      </c>
      <c r="DN13" s="438"/>
      <c r="DO13" s="388"/>
      <c r="DP13" s="387"/>
      <c r="DQ13" s="391"/>
      <c r="DR13" s="434">
        <f>DR18</f>
        <v>335951</v>
      </c>
      <c r="DS13" s="438"/>
      <c r="DT13" s="388"/>
      <c r="DU13" s="387"/>
      <c r="DV13" s="391"/>
      <c r="DW13" s="434">
        <f>DW18</f>
        <v>16129719</v>
      </c>
      <c r="DX13" s="438"/>
      <c r="DY13" s="388"/>
      <c r="DZ13" s="387"/>
      <c r="EA13" s="391"/>
      <c r="EB13" s="434">
        <f>EB18</f>
        <v>239823</v>
      </c>
      <c r="EC13" s="438"/>
      <c r="ED13" s="388"/>
      <c r="EE13" s="387"/>
      <c r="EF13" s="391"/>
      <c r="EG13" s="434">
        <f>EG18</f>
        <v>297490</v>
      </c>
      <c r="EH13" s="438"/>
      <c r="EI13" s="388"/>
      <c r="EJ13" s="387"/>
      <c r="EK13" s="391"/>
      <c r="EL13" s="434">
        <f>EL18</f>
        <v>18890342</v>
      </c>
      <c r="EM13" s="438"/>
      <c r="EO13" s="13"/>
      <c r="EP13" s="14"/>
      <c r="EQ13" s="14"/>
    </row>
    <row r="14" spans="4:147" x14ac:dyDescent="0.2">
      <c r="D14" s="13" t="s">
        <v>417</v>
      </c>
      <c r="E14" s="198"/>
      <c r="F14" s="387"/>
      <c r="G14" s="388">
        <f>G30</f>
        <v>0</v>
      </c>
      <c r="H14" s="440"/>
      <c r="I14" s="388"/>
      <c r="J14" s="387"/>
      <c r="K14" s="387"/>
      <c r="L14" s="388">
        <f>L30</f>
        <v>0</v>
      </c>
      <c r="M14" s="440"/>
      <c r="N14" s="388"/>
      <c r="O14" s="387"/>
      <c r="P14" s="387"/>
      <c r="Q14" s="388">
        <f>Q30</f>
        <v>0</v>
      </c>
      <c r="R14" s="440"/>
      <c r="S14" s="388"/>
      <c r="T14" s="387"/>
      <c r="U14" s="387"/>
      <c r="V14" s="388">
        <f>V30</f>
        <v>0</v>
      </c>
      <c r="W14" s="440"/>
      <c r="X14" s="388"/>
      <c r="Y14" s="387"/>
      <c r="Z14" s="387"/>
      <c r="AA14" s="388">
        <f>AA30</f>
        <v>0</v>
      </c>
      <c r="AB14" s="440"/>
      <c r="AC14" s="388"/>
      <c r="AD14" s="387"/>
      <c r="AE14" s="387"/>
      <c r="AF14" s="388">
        <f>AF30</f>
        <v>0</v>
      </c>
      <c r="AG14" s="440"/>
      <c r="AH14" s="388"/>
      <c r="AI14" s="387"/>
      <c r="AJ14" s="387"/>
      <c r="AK14" s="388">
        <f>AK30</f>
        <v>0</v>
      </c>
      <c r="AL14" s="440"/>
      <c r="AM14" s="388"/>
      <c r="AN14" s="387"/>
      <c r="AO14" s="387"/>
      <c r="AP14" s="388">
        <f>AP30</f>
        <v>0</v>
      </c>
      <c r="AQ14" s="440"/>
      <c r="AR14" s="388"/>
      <c r="AS14" s="387"/>
      <c r="AT14" s="387"/>
      <c r="AU14" s="388">
        <f>AU30</f>
        <v>0</v>
      </c>
      <c r="AV14" s="440"/>
      <c r="AW14" s="388"/>
      <c r="AX14" s="387"/>
      <c r="AY14" s="387"/>
      <c r="AZ14" s="388">
        <f>AZ30</f>
        <v>0</v>
      </c>
      <c r="BA14" s="440"/>
      <c r="BB14" s="388"/>
      <c r="BC14" s="387"/>
      <c r="BD14" s="387"/>
      <c r="BE14" s="388">
        <f>BE30</f>
        <v>0</v>
      </c>
      <c r="BF14" s="440"/>
      <c r="BG14" s="388"/>
      <c r="BH14" s="387"/>
      <c r="BI14" s="387"/>
      <c r="BJ14" s="388">
        <f>BJ30</f>
        <v>0</v>
      </c>
      <c r="BK14" s="440"/>
      <c r="BL14" s="388"/>
      <c r="BM14" s="387"/>
      <c r="BN14" s="387"/>
      <c r="BO14" s="388">
        <f>BO30</f>
        <v>0</v>
      </c>
      <c r="BP14" s="440"/>
      <c r="BQ14" s="387"/>
      <c r="BR14" s="387"/>
      <c r="BS14" s="387"/>
      <c r="BT14" s="388">
        <f>BT30</f>
        <v>0</v>
      </c>
      <c r="BU14" s="440"/>
      <c r="BV14" s="388"/>
      <c r="BW14" s="387"/>
      <c r="BX14" s="387"/>
      <c r="BY14" s="388">
        <f>BY30</f>
        <v>12795000</v>
      </c>
      <c r="BZ14" s="440"/>
      <c r="CA14" s="388"/>
      <c r="CB14" s="387"/>
      <c r="CC14" s="387"/>
      <c r="CD14" s="388">
        <f>CD30</f>
        <v>0</v>
      </c>
      <c r="CE14" s="440"/>
      <c r="CF14" s="388"/>
      <c r="CG14" s="387"/>
      <c r="CH14" s="387"/>
      <c r="CI14" s="388">
        <f>CI30</f>
        <v>12795000</v>
      </c>
      <c r="CJ14" s="440"/>
      <c r="CK14" s="388"/>
      <c r="CL14" s="387"/>
      <c r="CM14" s="387"/>
      <c r="CN14" s="388">
        <f>CN30</f>
        <v>0</v>
      </c>
      <c r="CO14" s="440"/>
      <c r="CP14" s="388"/>
      <c r="CQ14" s="387"/>
      <c r="CR14" s="387"/>
      <c r="CS14" s="388">
        <f>CS30</f>
        <v>0</v>
      </c>
      <c r="CT14" s="440"/>
      <c r="CU14" s="388"/>
      <c r="CV14" s="387"/>
      <c r="CW14" s="387"/>
      <c r="CX14" s="388">
        <f>CX30</f>
        <v>0</v>
      </c>
      <c r="CY14" s="440"/>
      <c r="CZ14" s="388"/>
      <c r="DA14" s="387"/>
      <c r="DB14" s="387"/>
      <c r="DC14" s="388">
        <f>DC30</f>
        <v>0</v>
      </c>
      <c r="DD14" s="440"/>
      <c r="DE14" s="388"/>
      <c r="DF14" s="387"/>
      <c r="DG14" s="387"/>
      <c r="DH14" s="388">
        <f>DH30</f>
        <v>0</v>
      </c>
      <c r="DI14" s="440"/>
      <c r="DJ14" s="388"/>
      <c r="DK14" s="387"/>
      <c r="DL14" s="387"/>
      <c r="DM14" s="388">
        <f>DM30</f>
        <v>0</v>
      </c>
      <c r="DN14" s="440"/>
      <c r="DO14" s="388"/>
      <c r="DP14" s="387"/>
      <c r="DQ14" s="387"/>
      <c r="DR14" s="388">
        <f>DR30</f>
        <v>0</v>
      </c>
      <c r="DS14" s="440"/>
      <c r="DT14" s="388"/>
      <c r="DU14" s="387"/>
      <c r="DV14" s="387"/>
      <c r="DW14" s="388">
        <f>DW30</f>
        <v>0</v>
      </c>
      <c r="DX14" s="440"/>
      <c r="DY14" s="388"/>
      <c r="DZ14" s="387"/>
      <c r="EA14" s="387"/>
      <c r="EB14" s="388">
        <f>EB30</f>
        <v>0</v>
      </c>
      <c r="EC14" s="440"/>
      <c r="ED14" s="388"/>
      <c r="EE14" s="387"/>
      <c r="EF14" s="387"/>
      <c r="EG14" s="388">
        <f>EG30</f>
        <v>0</v>
      </c>
      <c r="EH14" s="440"/>
      <c r="EI14" s="388"/>
      <c r="EJ14" s="387"/>
      <c r="EK14" s="387"/>
      <c r="EL14" s="388">
        <f>EL30</f>
        <v>12795000</v>
      </c>
      <c r="EM14" s="440"/>
      <c r="EO14" s="13"/>
      <c r="EP14" s="14"/>
      <c r="EQ14" s="14"/>
    </row>
    <row r="15" spans="4:147" x14ac:dyDescent="0.2">
      <c r="D15" s="13" t="s">
        <v>418</v>
      </c>
      <c r="E15" s="198"/>
      <c r="F15" s="387"/>
      <c r="G15" s="388">
        <f>G65</f>
        <v>0</v>
      </c>
      <c r="H15" s="440"/>
      <c r="I15" s="330"/>
      <c r="J15" s="329"/>
      <c r="K15" s="387"/>
      <c r="L15" s="388">
        <f>L65</f>
        <v>487336</v>
      </c>
      <c r="M15" s="440"/>
      <c r="N15" s="330"/>
      <c r="O15" s="329"/>
      <c r="P15" s="387"/>
      <c r="Q15" s="388">
        <f>Q65</f>
        <v>29682</v>
      </c>
      <c r="R15" s="440"/>
      <c r="S15" s="388"/>
      <c r="T15" s="387"/>
      <c r="U15" s="387"/>
      <c r="V15" s="388">
        <f>V65</f>
        <v>28489</v>
      </c>
      <c r="W15" s="440"/>
      <c r="X15" s="388"/>
      <c r="Y15" s="387"/>
      <c r="Z15" s="387"/>
      <c r="AA15" s="388">
        <f>AA65</f>
        <v>0</v>
      </c>
      <c r="AB15" s="440"/>
      <c r="AC15" s="388"/>
      <c r="AD15" s="387"/>
      <c r="AE15" s="387"/>
      <c r="AF15" s="388">
        <f>AF65</f>
        <v>41191</v>
      </c>
      <c r="AG15" s="440"/>
      <c r="AH15" s="388"/>
      <c r="AI15" s="387"/>
      <c r="AJ15" s="387"/>
      <c r="AK15" s="388">
        <f>AK65</f>
        <v>18552</v>
      </c>
      <c r="AL15" s="440"/>
      <c r="AM15" s="388"/>
      <c r="AN15" s="387"/>
      <c r="AO15" s="387"/>
      <c r="AP15" s="388">
        <f>AP65</f>
        <v>0</v>
      </c>
      <c r="AQ15" s="440"/>
      <c r="AR15" s="388"/>
      <c r="AS15" s="387"/>
      <c r="AT15" s="387"/>
      <c r="AU15" s="388">
        <f>AU65</f>
        <v>0</v>
      </c>
      <c r="AV15" s="440"/>
      <c r="AW15" s="388"/>
      <c r="AX15" s="387"/>
      <c r="AY15" s="387"/>
      <c r="AZ15" s="388">
        <f>AZ65</f>
        <v>290338</v>
      </c>
      <c r="BA15" s="440"/>
      <c r="BB15" s="388"/>
      <c r="BC15" s="387"/>
      <c r="BD15" s="387"/>
      <c r="BE15" s="388">
        <f>BE65</f>
        <v>132680</v>
      </c>
      <c r="BF15" s="440"/>
      <c r="BG15" s="388"/>
      <c r="BH15" s="387"/>
      <c r="BI15" s="387"/>
      <c r="BJ15" s="388">
        <f>BJ65</f>
        <v>0</v>
      </c>
      <c r="BK15" s="440"/>
      <c r="BL15" s="388"/>
      <c r="BM15" s="387"/>
      <c r="BN15" s="387"/>
      <c r="BO15" s="388">
        <f>BO65</f>
        <v>0</v>
      </c>
      <c r="BP15" s="440"/>
      <c r="BQ15" s="387"/>
      <c r="BR15" s="387"/>
      <c r="BS15" s="387"/>
      <c r="BT15" s="388">
        <f>BT65</f>
        <v>1028268</v>
      </c>
      <c r="BU15" s="440"/>
      <c r="BV15" s="388"/>
      <c r="BW15" s="387"/>
      <c r="BX15" s="387"/>
      <c r="BY15" s="388">
        <f>BY65</f>
        <v>4361282</v>
      </c>
      <c r="BZ15" s="440"/>
      <c r="CA15" s="330"/>
      <c r="CB15" s="329"/>
      <c r="CC15" s="387"/>
      <c r="CD15" s="388">
        <f>CD65</f>
        <v>3109689</v>
      </c>
      <c r="CE15" s="440"/>
      <c r="CF15" s="330"/>
      <c r="CG15" s="329"/>
      <c r="CH15" s="387"/>
      <c r="CI15" s="388">
        <f>CI65</f>
        <v>0</v>
      </c>
      <c r="CJ15" s="440"/>
      <c r="CK15" s="388"/>
      <c r="CL15" s="387"/>
      <c r="CM15" s="387"/>
      <c r="CN15" s="388">
        <f>CN65</f>
        <v>0</v>
      </c>
      <c r="CO15" s="440"/>
      <c r="CP15" s="388"/>
      <c r="CQ15" s="387"/>
      <c r="CR15" s="387"/>
      <c r="CS15" s="388">
        <f>CS65</f>
        <v>0</v>
      </c>
      <c r="CT15" s="440"/>
      <c r="CU15" s="388"/>
      <c r="CV15" s="387"/>
      <c r="CW15" s="387"/>
      <c r="CX15" s="388">
        <f>CX65</f>
        <v>289217</v>
      </c>
      <c r="CY15" s="440"/>
      <c r="CZ15" s="388"/>
      <c r="DA15" s="387"/>
      <c r="DB15" s="387"/>
      <c r="DC15" s="388">
        <f>DC65</f>
        <v>235010</v>
      </c>
      <c r="DD15" s="440"/>
      <c r="DE15" s="388"/>
      <c r="DF15" s="387"/>
      <c r="DG15" s="387"/>
      <c r="DH15" s="388">
        <f>DH65</f>
        <v>0</v>
      </c>
      <c r="DI15" s="440"/>
      <c r="DJ15" s="388"/>
      <c r="DK15" s="387"/>
      <c r="DL15" s="387"/>
      <c r="DM15" s="388">
        <f>DM65</f>
        <v>64127</v>
      </c>
      <c r="DN15" s="440"/>
      <c r="DO15" s="388"/>
      <c r="DP15" s="387"/>
      <c r="DQ15" s="387"/>
      <c r="DR15" s="388">
        <f>DR65</f>
        <v>0</v>
      </c>
      <c r="DS15" s="440"/>
      <c r="DT15" s="388"/>
      <c r="DU15" s="387"/>
      <c r="DV15" s="387"/>
      <c r="DW15" s="388">
        <f>DW65</f>
        <v>0</v>
      </c>
      <c r="DX15" s="440"/>
      <c r="DY15" s="388"/>
      <c r="DZ15" s="387"/>
      <c r="EA15" s="387"/>
      <c r="EB15" s="388">
        <f>EB65</f>
        <v>0</v>
      </c>
      <c r="EC15" s="440"/>
      <c r="ED15" s="388"/>
      <c r="EE15" s="387"/>
      <c r="EF15" s="387"/>
      <c r="EG15" s="388">
        <f>EG65</f>
        <v>663239</v>
      </c>
      <c r="EH15" s="440"/>
      <c r="EI15" s="388"/>
      <c r="EJ15" s="387"/>
      <c r="EK15" s="387"/>
      <c r="EL15" s="388">
        <f>EL65</f>
        <v>3698043</v>
      </c>
      <c r="EM15" s="440"/>
      <c r="EO15" s="13"/>
      <c r="EP15" s="14"/>
      <c r="EQ15" s="14"/>
    </row>
    <row r="16" spans="4:147" ht="12.75" customHeight="1" x14ac:dyDescent="0.2">
      <c r="D16" s="13" t="s">
        <v>419</v>
      </c>
      <c r="E16" s="198"/>
      <c r="F16" s="402"/>
      <c r="G16" s="443">
        <f>G122</f>
        <v>0</v>
      </c>
      <c r="H16" s="442"/>
      <c r="I16" s="330"/>
      <c r="J16" s="329"/>
      <c r="K16" s="402"/>
      <c r="L16" s="443">
        <f>L122</f>
        <v>0</v>
      </c>
      <c r="M16" s="442"/>
      <c r="N16" s="330"/>
      <c r="O16" s="329"/>
      <c r="P16" s="402"/>
      <c r="Q16" s="443">
        <f>Q122</f>
        <v>0</v>
      </c>
      <c r="R16" s="442"/>
      <c r="S16" s="388"/>
      <c r="T16" s="387"/>
      <c r="U16" s="402"/>
      <c r="V16" s="443">
        <f>V122</f>
        <v>0</v>
      </c>
      <c r="W16" s="442"/>
      <c r="X16" s="388"/>
      <c r="Y16" s="387"/>
      <c r="Z16" s="402"/>
      <c r="AA16" s="443">
        <f>AA122</f>
        <v>0</v>
      </c>
      <c r="AB16" s="442"/>
      <c r="AC16" s="388"/>
      <c r="AD16" s="387"/>
      <c r="AE16" s="402"/>
      <c r="AF16" s="443">
        <f>AF122</f>
        <v>0</v>
      </c>
      <c r="AG16" s="442"/>
      <c r="AH16" s="388"/>
      <c r="AI16" s="387"/>
      <c r="AJ16" s="402"/>
      <c r="AK16" s="443">
        <f>AK122</f>
        <v>0</v>
      </c>
      <c r="AL16" s="442"/>
      <c r="AM16" s="388"/>
      <c r="AN16" s="387"/>
      <c r="AO16" s="402"/>
      <c r="AP16" s="443">
        <f>AP122</f>
        <v>0</v>
      </c>
      <c r="AQ16" s="442"/>
      <c r="AR16" s="388"/>
      <c r="AS16" s="387"/>
      <c r="AT16" s="402"/>
      <c r="AU16" s="443">
        <f>AU122</f>
        <v>0</v>
      </c>
      <c r="AV16" s="442"/>
      <c r="AW16" s="388"/>
      <c r="AX16" s="387"/>
      <c r="AY16" s="402"/>
      <c r="AZ16" s="443">
        <f>AZ122</f>
        <v>0</v>
      </c>
      <c r="BA16" s="442"/>
      <c r="BB16" s="388"/>
      <c r="BC16" s="387"/>
      <c r="BD16" s="402"/>
      <c r="BE16" s="443">
        <f>BE122</f>
        <v>0</v>
      </c>
      <c r="BF16" s="442"/>
      <c r="BG16" s="388"/>
      <c r="BH16" s="387"/>
      <c r="BI16" s="402"/>
      <c r="BJ16" s="443">
        <f>BJ122</f>
        <v>0</v>
      </c>
      <c r="BK16" s="442"/>
      <c r="BL16" s="388"/>
      <c r="BM16" s="387"/>
      <c r="BN16" s="402"/>
      <c r="BO16" s="443">
        <f>BO122</f>
        <v>0</v>
      </c>
      <c r="BP16" s="442"/>
      <c r="BQ16" s="388"/>
      <c r="BR16" s="387"/>
      <c r="BS16" s="402"/>
      <c r="BT16" s="443">
        <f>BT122</f>
        <v>0</v>
      </c>
      <c r="BU16" s="442"/>
      <c r="BV16" s="388"/>
      <c r="BW16" s="387"/>
      <c r="BX16" s="402"/>
      <c r="BY16" s="443">
        <f>BY122</f>
        <v>0</v>
      </c>
      <c r="BZ16" s="442"/>
      <c r="CA16" s="330"/>
      <c r="CB16" s="329"/>
      <c r="CC16" s="402"/>
      <c r="CD16" s="443">
        <f>CD122</f>
        <v>0</v>
      </c>
      <c r="CE16" s="442"/>
      <c r="CF16" s="330"/>
      <c r="CG16" s="329"/>
      <c r="CH16" s="402"/>
      <c r="CI16" s="443">
        <f>CI122</f>
        <v>0</v>
      </c>
      <c r="CJ16" s="442"/>
      <c r="CK16" s="388"/>
      <c r="CL16" s="387"/>
      <c r="CM16" s="402"/>
      <c r="CN16" s="443">
        <f>CN122</f>
        <v>0</v>
      </c>
      <c r="CO16" s="442"/>
      <c r="CP16" s="388"/>
      <c r="CQ16" s="387"/>
      <c r="CR16" s="402"/>
      <c r="CS16" s="443">
        <f>CS122</f>
        <v>0</v>
      </c>
      <c r="CT16" s="442"/>
      <c r="CU16" s="388"/>
      <c r="CV16" s="387"/>
      <c r="CW16" s="402"/>
      <c r="CX16" s="443">
        <f>CX122</f>
        <v>0</v>
      </c>
      <c r="CY16" s="442"/>
      <c r="CZ16" s="388"/>
      <c r="DA16" s="387"/>
      <c r="DB16" s="402"/>
      <c r="DC16" s="443">
        <f>DC122</f>
        <v>0</v>
      </c>
      <c r="DD16" s="442"/>
      <c r="DE16" s="388"/>
      <c r="DF16" s="387"/>
      <c r="DG16" s="402"/>
      <c r="DH16" s="443">
        <f>DH122</f>
        <v>0</v>
      </c>
      <c r="DI16" s="442"/>
      <c r="DJ16" s="388"/>
      <c r="DK16" s="387"/>
      <c r="DL16" s="402"/>
      <c r="DM16" s="443">
        <f>DM122</f>
        <v>0</v>
      </c>
      <c r="DN16" s="442"/>
      <c r="DO16" s="388"/>
      <c r="DP16" s="387"/>
      <c r="DQ16" s="402"/>
      <c r="DR16" s="443">
        <f>DR122</f>
        <v>0</v>
      </c>
      <c r="DS16" s="442"/>
      <c r="DT16" s="388"/>
      <c r="DU16" s="387"/>
      <c r="DV16" s="402"/>
      <c r="DW16" s="443">
        <f>DW122</f>
        <v>0</v>
      </c>
      <c r="DX16" s="442"/>
      <c r="DY16" s="388"/>
      <c r="DZ16" s="387"/>
      <c r="EA16" s="402"/>
      <c r="EB16" s="443">
        <f>EB122</f>
        <v>0</v>
      </c>
      <c r="EC16" s="442"/>
      <c r="ED16" s="388"/>
      <c r="EE16" s="387"/>
      <c r="EF16" s="402"/>
      <c r="EG16" s="443">
        <f>EG122</f>
        <v>0</v>
      </c>
      <c r="EH16" s="442"/>
      <c r="EI16" s="388"/>
      <c r="EJ16" s="387"/>
      <c r="EK16" s="402"/>
      <c r="EL16" s="443">
        <f>EL122</f>
        <v>0</v>
      </c>
      <c r="EM16" s="442"/>
      <c r="EO16" s="13"/>
      <c r="EP16" s="14"/>
      <c r="EQ16" s="14"/>
    </row>
    <row r="17" spans="4:147" x14ac:dyDescent="0.2">
      <c r="D17" s="13"/>
      <c r="E17" s="198"/>
      <c r="G17" s="439"/>
      <c r="H17" s="388"/>
      <c r="I17" s="388"/>
      <c r="J17" s="387"/>
      <c r="K17" s="388"/>
      <c r="L17" s="388"/>
      <c r="M17" s="388"/>
      <c r="N17" s="388"/>
      <c r="O17" s="387"/>
      <c r="P17" s="434"/>
      <c r="Q17" s="388"/>
      <c r="R17" s="434"/>
      <c r="S17" s="388"/>
      <c r="T17" s="387"/>
      <c r="U17" s="434"/>
      <c r="V17" s="388"/>
      <c r="W17" s="434"/>
      <c r="X17" s="388"/>
      <c r="Y17" s="387"/>
      <c r="Z17" s="434"/>
      <c r="AA17" s="388"/>
      <c r="AB17" s="434"/>
      <c r="AC17" s="388"/>
      <c r="AD17" s="387"/>
      <c r="AE17" s="434"/>
      <c r="AF17" s="388"/>
      <c r="AG17" s="434"/>
      <c r="AH17" s="388"/>
      <c r="AI17" s="387"/>
      <c r="AJ17" s="434"/>
      <c r="AK17" s="388"/>
      <c r="AL17" s="434"/>
      <c r="AM17" s="388"/>
      <c r="AN17" s="387"/>
      <c r="AO17" s="434"/>
      <c r="AP17" s="388"/>
      <c r="AQ17" s="434"/>
      <c r="AR17" s="388"/>
      <c r="AS17" s="387"/>
      <c r="AT17" s="388"/>
      <c r="AU17" s="388"/>
      <c r="AV17" s="388"/>
      <c r="AW17" s="388"/>
      <c r="AX17" s="387"/>
      <c r="AY17" s="388"/>
      <c r="AZ17" s="388"/>
      <c r="BA17" s="434"/>
      <c r="BB17" s="388"/>
      <c r="BC17" s="387"/>
      <c r="BD17" s="388"/>
      <c r="BE17" s="388"/>
      <c r="BF17" s="388"/>
      <c r="BG17" s="388"/>
      <c r="BH17" s="387"/>
      <c r="BI17" s="434"/>
      <c r="BJ17" s="388"/>
      <c r="BK17" s="434"/>
      <c r="BL17" s="388"/>
      <c r="BM17" s="387"/>
      <c r="BN17" s="434"/>
      <c r="BO17" s="388"/>
      <c r="BP17" s="434"/>
      <c r="BQ17" s="388"/>
      <c r="BR17" s="387"/>
      <c r="BS17" s="388"/>
      <c r="BT17" s="388"/>
      <c r="BU17" s="388"/>
      <c r="BV17" s="388"/>
      <c r="BW17" s="387"/>
      <c r="BX17" s="388"/>
      <c r="BY17" s="388"/>
      <c r="BZ17" s="388"/>
      <c r="CA17" s="388"/>
      <c r="CB17" s="387"/>
      <c r="CC17" s="388"/>
      <c r="CD17" s="388"/>
      <c r="CE17" s="388"/>
      <c r="CF17" s="388"/>
      <c r="CG17" s="387"/>
      <c r="CH17" s="434"/>
      <c r="CI17" s="388"/>
      <c r="CJ17" s="434"/>
      <c r="CK17" s="388"/>
      <c r="CL17" s="387"/>
      <c r="CM17" s="434"/>
      <c r="CN17" s="388"/>
      <c r="CO17" s="434"/>
      <c r="CP17" s="388"/>
      <c r="CQ17" s="387"/>
      <c r="CR17" s="434"/>
      <c r="CS17" s="388"/>
      <c r="CT17" s="434"/>
      <c r="CU17" s="388"/>
      <c r="CV17" s="387"/>
      <c r="CW17" s="434"/>
      <c r="CX17" s="388"/>
      <c r="CY17" s="434"/>
      <c r="CZ17" s="388"/>
      <c r="DA17" s="387"/>
      <c r="DB17" s="434"/>
      <c r="DC17" s="388"/>
      <c r="DD17" s="434"/>
      <c r="DE17" s="388"/>
      <c r="DF17" s="387"/>
      <c r="DG17" s="434"/>
      <c r="DH17" s="388"/>
      <c r="DI17" s="434"/>
      <c r="DJ17" s="388"/>
      <c r="DK17" s="387"/>
      <c r="DL17" s="388"/>
      <c r="DM17" s="388"/>
      <c r="DN17" s="388"/>
      <c r="DO17" s="388"/>
      <c r="DP17" s="387"/>
      <c r="DQ17" s="388"/>
      <c r="DR17" s="388"/>
      <c r="DS17" s="434"/>
      <c r="DT17" s="388"/>
      <c r="DU17" s="387"/>
      <c r="DV17" s="388"/>
      <c r="DW17" s="388"/>
      <c r="DX17" s="388"/>
      <c r="DY17" s="388"/>
      <c r="DZ17" s="387"/>
      <c r="EA17" s="434"/>
      <c r="EB17" s="388"/>
      <c r="EC17" s="434"/>
      <c r="ED17" s="388"/>
      <c r="EE17" s="387"/>
      <c r="EF17" s="434"/>
      <c r="EG17" s="388"/>
      <c r="EH17" s="434"/>
      <c r="EI17" s="388"/>
      <c r="EJ17" s="387"/>
      <c r="EK17" s="388"/>
      <c r="EL17" s="388"/>
      <c r="EO17" s="13"/>
      <c r="EP17" s="14"/>
      <c r="EQ17" s="14"/>
    </row>
    <row r="18" spans="4:147" s="14" customFormat="1" ht="12.75" customHeight="1" x14ac:dyDescent="0.2">
      <c r="D18" s="93" t="s">
        <v>420</v>
      </c>
      <c r="E18" s="180"/>
      <c r="F18" s="25"/>
      <c r="G18" s="491">
        <f>SUM(G19:G28)</f>
        <v>52465000</v>
      </c>
      <c r="H18" s="491"/>
      <c r="I18" s="446"/>
      <c r="J18" s="447"/>
      <c r="K18" s="491"/>
      <c r="L18" s="491">
        <f>SUM(L19:L28)</f>
        <v>1200137</v>
      </c>
      <c r="M18" s="491"/>
      <c r="N18" s="446"/>
      <c r="O18" s="447"/>
      <c r="P18" s="491"/>
      <c r="Q18" s="491">
        <f>SUM(Q19:Q28)</f>
        <v>335047</v>
      </c>
      <c r="R18" s="491"/>
      <c r="S18" s="446"/>
      <c r="T18" s="447"/>
      <c r="U18" s="491"/>
      <c r="V18" s="491">
        <f>SUM(V19:V28)</f>
        <v>112559</v>
      </c>
      <c r="W18" s="491"/>
      <c r="X18" s="446"/>
      <c r="Y18" s="447"/>
      <c r="Z18" s="491"/>
      <c r="AA18" s="491">
        <f>SUM(AA19:AA28)</f>
        <v>339545</v>
      </c>
      <c r="AB18" s="491"/>
      <c r="AC18" s="446"/>
      <c r="AD18" s="447"/>
      <c r="AE18" s="491"/>
      <c r="AF18" s="491">
        <f>SUM(AF19:AF28)</f>
        <v>212255</v>
      </c>
      <c r="AG18" s="491"/>
      <c r="AH18" s="446"/>
      <c r="AI18" s="447"/>
      <c r="AJ18" s="491"/>
      <c r="AK18" s="491">
        <f>SUM(AK19:AK28)</f>
        <v>223023</v>
      </c>
      <c r="AL18" s="491"/>
      <c r="AM18" s="446"/>
      <c r="AN18" s="447"/>
      <c r="AO18" s="491"/>
      <c r="AP18" s="491">
        <f>SUM(AP19:AP28)</f>
        <v>333330</v>
      </c>
      <c r="AQ18" s="491"/>
      <c r="AR18" s="446"/>
      <c r="AS18" s="447"/>
      <c r="AT18" s="491"/>
      <c r="AU18" s="491">
        <f>SUM(AU19:AU28)</f>
        <v>314155</v>
      </c>
      <c r="AV18" s="491"/>
      <c r="AW18" s="446"/>
      <c r="AX18" s="447"/>
      <c r="AY18" s="491"/>
      <c r="AZ18" s="491">
        <f>SUM(AZ19:AZ28)</f>
        <v>59957</v>
      </c>
      <c r="BA18" s="491"/>
      <c r="BB18" s="446"/>
      <c r="BC18" s="447"/>
      <c r="BD18" s="491"/>
      <c r="BE18" s="491">
        <f>SUM(BE19:BE28)</f>
        <v>397954</v>
      </c>
      <c r="BF18" s="491"/>
      <c r="BG18" s="446"/>
      <c r="BH18" s="447"/>
      <c r="BI18" s="491"/>
      <c r="BJ18" s="491">
        <f>SUM(BJ19:BJ28)</f>
        <v>0</v>
      </c>
      <c r="BK18" s="491"/>
      <c r="BL18" s="446"/>
      <c r="BM18" s="447"/>
      <c r="BN18" s="491"/>
      <c r="BO18" s="491">
        <f>SUM(BO19:BO28)</f>
        <v>0</v>
      </c>
      <c r="BP18" s="491"/>
      <c r="BQ18" s="446"/>
      <c r="BR18" s="447"/>
      <c r="BS18" s="491"/>
      <c r="BT18" s="491">
        <f>SUM(BT19:BT28)</f>
        <v>3527962</v>
      </c>
      <c r="BU18" s="491"/>
      <c r="BV18" s="446"/>
      <c r="BW18" s="447"/>
      <c r="BX18" s="491"/>
      <c r="BY18" s="491">
        <f>SUM(BY19:BY28)</f>
        <v>19427655</v>
      </c>
      <c r="BZ18" s="491"/>
      <c r="CA18" s="446"/>
      <c r="CB18" s="447"/>
      <c r="CC18" s="491"/>
      <c r="CD18" s="491">
        <f>SUM(CD19:CD28)</f>
        <v>334512</v>
      </c>
      <c r="CE18" s="491"/>
      <c r="CF18" s="446"/>
      <c r="CG18" s="447"/>
      <c r="CH18" s="491"/>
      <c r="CI18" s="491">
        <f>SUM(CI19:CI28)</f>
        <v>254394</v>
      </c>
      <c r="CJ18" s="491"/>
      <c r="CK18" s="446"/>
      <c r="CL18" s="447"/>
      <c r="CM18" s="491"/>
      <c r="CN18" s="491">
        <f>SUM(CN19:CN28)</f>
        <v>251090</v>
      </c>
      <c r="CO18" s="491"/>
      <c r="CP18" s="446"/>
      <c r="CQ18" s="447"/>
      <c r="CR18" s="491"/>
      <c r="CS18" s="491">
        <f>SUM(CS19:CS28)</f>
        <v>239599</v>
      </c>
      <c r="CT18" s="491"/>
      <c r="CU18" s="446"/>
      <c r="CV18" s="447"/>
      <c r="CW18" s="491"/>
      <c r="CX18" s="491">
        <f>SUM(CX19:CX28)</f>
        <v>317003</v>
      </c>
      <c r="CY18" s="491"/>
      <c r="CZ18" s="446"/>
      <c r="DA18" s="447"/>
      <c r="DB18" s="491"/>
      <c r="DC18" s="491">
        <f>SUM(DC19:DC28)</f>
        <v>464401</v>
      </c>
      <c r="DD18" s="491"/>
      <c r="DE18" s="446"/>
      <c r="DF18" s="447"/>
      <c r="DG18" s="491"/>
      <c r="DH18" s="491">
        <f>SUM(DH19:DH28)</f>
        <v>190972</v>
      </c>
      <c r="DI18" s="491"/>
      <c r="DJ18" s="446"/>
      <c r="DK18" s="447"/>
      <c r="DL18" s="491"/>
      <c r="DM18" s="491">
        <f>SUM(DM19:DM28)</f>
        <v>372701</v>
      </c>
      <c r="DN18" s="491"/>
      <c r="DO18" s="446"/>
      <c r="DP18" s="447"/>
      <c r="DQ18" s="491"/>
      <c r="DR18" s="491">
        <f>SUM(DR19:DR28)</f>
        <v>335951</v>
      </c>
      <c r="DS18" s="491"/>
      <c r="DT18" s="446"/>
      <c r="DU18" s="447"/>
      <c r="DV18" s="491"/>
      <c r="DW18" s="491">
        <f>SUM(DW19:DW28)</f>
        <v>16129719</v>
      </c>
      <c r="DX18" s="491"/>
      <c r="DY18" s="446"/>
      <c r="DZ18" s="447"/>
      <c r="EA18" s="491"/>
      <c r="EB18" s="491">
        <f>SUM(EB19:EB28)</f>
        <v>239823</v>
      </c>
      <c r="EC18" s="491"/>
      <c r="ED18" s="446"/>
      <c r="EE18" s="447"/>
      <c r="EF18" s="491"/>
      <c r="EG18" s="491">
        <f>SUM(EG19:EG28)</f>
        <v>297490</v>
      </c>
      <c r="EH18" s="491"/>
      <c r="EI18" s="446"/>
      <c r="EJ18" s="447"/>
      <c r="EK18" s="491"/>
      <c r="EL18" s="491">
        <f>SUM(EL19:EL28)</f>
        <v>18890342</v>
      </c>
      <c r="EM18" s="25"/>
      <c r="EO18" s="93"/>
    </row>
    <row r="19" spans="4:147" ht="12.75" customHeight="1" x14ac:dyDescent="0.2">
      <c r="D19" s="13" t="s">
        <v>421</v>
      </c>
      <c r="E19" s="198"/>
      <c r="F19" s="198"/>
      <c r="G19" s="451">
        <v>48965000</v>
      </c>
      <c r="H19" s="455"/>
      <c r="I19" s="451"/>
      <c r="J19" s="452"/>
      <c r="K19" s="452"/>
      <c r="L19" s="451">
        <v>0</v>
      </c>
      <c r="M19" s="455"/>
      <c r="N19" s="451"/>
      <c r="O19" s="452"/>
      <c r="P19" s="452"/>
      <c r="Q19" s="451">
        <v>0</v>
      </c>
      <c r="R19" s="455"/>
      <c r="S19" s="451"/>
      <c r="T19" s="452"/>
      <c r="U19" s="452"/>
      <c r="V19" s="451">
        <v>0</v>
      </c>
      <c r="W19" s="455"/>
      <c r="X19" s="451"/>
      <c r="Y19" s="452"/>
      <c r="Z19" s="452"/>
      <c r="AA19" s="451">
        <v>0</v>
      </c>
      <c r="AB19" s="455"/>
      <c r="AC19" s="451"/>
      <c r="AD19" s="452"/>
      <c r="AE19" s="452"/>
      <c r="AF19" s="451">
        <v>0</v>
      </c>
      <c r="AG19" s="455"/>
      <c r="AH19" s="451"/>
      <c r="AI19" s="452"/>
      <c r="AJ19" s="452"/>
      <c r="AK19" s="451">
        <v>0</v>
      </c>
      <c r="AL19" s="455"/>
      <c r="AM19" s="451"/>
      <c r="AN19" s="452"/>
      <c r="AO19" s="452"/>
      <c r="AP19" s="451">
        <v>0</v>
      </c>
      <c r="AQ19" s="455"/>
      <c r="AR19" s="451"/>
      <c r="AS19" s="452"/>
      <c r="AT19" s="452"/>
      <c r="AU19" s="451">
        <v>0</v>
      </c>
      <c r="AV19" s="455"/>
      <c r="AW19" s="451"/>
      <c r="AX19" s="452"/>
      <c r="AY19" s="452"/>
      <c r="AZ19" s="451">
        <v>0</v>
      </c>
      <c r="BA19" s="455"/>
      <c r="BB19" s="451"/>
      <c r="BC19" s="452"/>
      <c r="BD19" s="452"/>
      <c r="BE19" s="451">
        <v>0</v>
      </c>
      <c r="BF19" s="455"/>
      <c r="BG19" s="451"/>
      <c r="BH19" s="452"/>
      <c r="BI19" s="452"/>
      <c r="BJ19" s="451">
        <v>0</v>
      </c>
      <c r="BK19" s="455"/>
      <c r="BL19" s="451"/>
      <c r="BM19" s="452"/>
      <c r="BN19" s="452"/>
      <c r="BO19" s="451">
        <v>0</v>
      </c>
      <c r="BP19" s="455"/>
      <c r="BQ19" s="451"/>
      <c r="BR19" s="452"/>
      <c r="BS19" s="452"/>
      <c r="BT19" s="451">
        <f t="shared" ref="BT19:BT28" si="0">SUM(L19:BO19)</f>
        <v>0</v>
      </c>
      <c r="BU19" s="455"/>
      <c r="BV19" s="451"/>
      <c r="BW19" s="452"/>
      <c r="BX19" s="452"/>
      <c r="BY19" s="451">
        <v>0</v>
      </c>
      <c r="BZ19" s="455"/>
      <c r="CA19" s="451"/>
      <c r="CB19" s="452"/>
      <c r="CC19" s="452"/>
      <c r="CD19" s="451">
        <v>0</v>
      </c>
      <c r="CE19" s="455"/>
      <c r="CF19" s="451"/>
      <c r="CG19" s="452"/>
      <c r="CH19" s="452"/>
      <c r="CI19" s="451">
        <v>0</v>
      </c>
      <c r="CJ19" s="455"/>
      <c r="CK19" s="451"/>
      <c r="CL19" s="452"/>
      <c r="CM19" s="452"/>
      <c r="CN19" s="451">
        <v>0</v>
      </c>
      <c r="CO19" s="455"/>
      <c r="CP19" s="451"/>
      <c r="CQ19" s="452"/>
      <c r="CR19" s="452"/>
      <c r="CS19" s="451">
        <v>0</v>
      </c>
      <c r="CT19" s="455"/>
      <c r="CU19" s="451"/>
      <c r="CV19" s="452"/>
      <c r="CW19" s="452"/>
      <c r="CX19" s="451">
        <v>0</v>
      </c>
      <c r="CY19" s="455"/>
      <c r="CZ19" s="451"/>
      <c r="DA19" s="452"/>
      <c r="DB19" s="452"/>
      <c r="DC19" s="451">
        <v>0</v>
      </c>
      <c r="DD19" s="455"/>
      <c r="DE19" s="451"/>
      <c r="DF19" s="452"/>
      <c r="DG19" s="452"/>
      <c r="DH19" s="451">
        <v>0</v>
      </c>
      <c r="DI19" s="455"/>
      <c r="DJ19" s="451"/>
      <c r="DK19" s="452"/>
      <c r="DL19" s="452"/>
      <c r="DM19" s="451">
        <v>0</v>
      </c>
      <c r="DN19" s="455"/>
      <c r="DO19" s="451"/>
      <c r="DP19" s="452"/>
      <c r="DQ19" s="452"/>
      <c r="DR19" s="451">
        <v>0</v>
      </c>
      <c r="DS19" s="455"/>
      <c r="DT19" s="451"/>
      <c r="DU19" s="452"/>
      <c r="DV19" s="452"/>
      <c r="DW19" s="451">
        <v>0</v>
      </c>
      <c r="DX19" s="455"/>
      <c r="DY19" s="451"/>
      <c r="DZ19" s="452"/>
      <c r="EA19" s="452"/>
      <c r="EB19" s="451">
        <v>0</v>
      </c>
      <c r="EC19" s="455"/>
      <c r="ED19" s="451"/>
      <c r="EE19" s="452"/>
      <c r="EF19" s="452"/>
      <c r="EG19" s="451">
        <v>0</v>
      </c>
      <c r="EH19" s="455"/>
      <c r="EI19" s="451"/>
      <c r="EJ19" s="452"/>
      <c r="EK19" s="452"/>
      <c r="EL19" s="451">
        <f>SUM(CD19:DW19)</f>
        <v>0</v>
      </c>
      <c r="EM19" s="189"/>
      <c r="EO19" s="13"/>
      <c r="EP19" s="14"/>
      <c r="EQ19" s="14"/>
    </row>
    <row r="20" spans="4:147" ht="12.75" customHeight="1" x14ac:dyDescent="0.2">
      <c r="D20" s="13" t="s">
        <v>367</v>
      </c>
      <c r="E20" s="198"/>
      <c r="F20" s="198"/>
      <c r="G20" s="451">
        <v>0</v>
      </c>
      <c r="H20" s="455"/>
      <c r="I20" s="451"/>
      <c r="J20" s="452"/>
      <c r="K20" s="452"/>
      <c r="L20" s="451">
        <v>0</v>
      </c>
      <c r="M20" s="455"/>
      <c r="N20" s="451"/>
      <c r="O20" s="452"/>
      <c r="P20" s="452"/>
      <c r="Q20" s="451">
        <v>0</v>
      </c>
      <c r="R20" s="455"/>
      <c r="S20" s="451"/>
      <c r="T20" s="452"/>
      <c r="U20" s="452"/>
      <c r="V20" s="451">
        <v>0</v>
      </c>
      <c r="W20" s="455"/>
      <c r="X20" s="451"/>
      <c r="Y20" s="452"/>
      <c r="Z20" s="452"/>
      <c r="AA20" s="451">
        <v>0</v>
      </c>
      <c r="AB20" s="455"/>
      <c r="AC20" s="451"/>
      <c r="AD20" s="452"/>
      <c r="AE20" s="452"/>
      <c r="AF20" s="451">
        <v>0</v>
      </c>
      <c r="AG20" s="455"/>
      <c r="AH20" s="451"/>
      <c r="AI20" s="452"/>
      <c r="AJ20" s="452"/>
      <c r="AK20" s="451">
        <v>0</v>
      </c>
      <c r="AL20" s="455"/>
      <c r="AM20" s="451"/>
      <c r="AN20" s="452"/>
      <c r="AO20" s="452"/>
      <c r="AP20" s="451">
        <v>0</v>
      </c>
      <c r="AQ20" s="455"/>
      <c r="AR20" s="451"/>
      <c r="AS20" s="452"/>
      <c r="AT20" s="452"/>
      <c r="AU20" s="451">
        <v>0</v>
      </c>
      <c r="AV20" s="455"/>
      <c r="AW20" s="451"/>
      <c r="AX20" s="452"/>
      <c r="AY20" s="452"/>
      <c r="AZ20" s="451">
        <v>0</v>
      </c>
      <c r="BA20" s="455"/>
      <c r="BB20" s="451"/>
      <c r="BC20" s="452"/>
      <c r="BD20" s="452"/>
      <c r="BE20" s="451">
        <v>0</v>
      </c>
      <c r="BF20" s="455"/>
      <c r="BG20" s="451"/>
      <c r="BH20" s="452"/>
      <c r="BI20" s="452"/>
      <c r="BJ20" s="451">
        <v>0</v>
      </c>
      <c r="BK20" s="455"/>
      <c r="BL20" s="451"/>
      <c r="BM20" s="452"/>
      <c r="BN20" s="452"/>
      <c r="BO20" s="451">
        <v>0</v>
      </c>
      <c r="BP20" s="455"/>
      <c r="BQ20" s="451"/>
      <c r="BR20" s="452"/>
      <c r="BS20" s="452"/>
      <c r="BT20" s="451">
        <f t="shared" si="0"/>
        <v>0</v>
      </c>
      <c r="BU20" s="455"/>
      <c r="BV20" s="451"/>
      <c r="BW20" s="452"/>
      <c r="BX20" s="452"/>
      <c r="BY20" s="451">
        <v>15884604</v>
      </c>
      <c r="BZ20" s="455"/>
      <c r="CA20" s="451"/>
      <c r="CB20" s="452"/>
      <c r="CC20" s="452"/>
      <c r="CD20" s="451">
        <v>0</v>
      </c>
      <c r="CE20" s="455"/>
      <c r="CF20" s="451"/>
      <c r="CG20" s="452"/>
      <c r="CH20" s="452"/>
      <c r="CI20" s="451">
        <v>0</v>
      </c>
      <c r="CJ20" s="455"/>
      <c r="CK20" s="451"/>
      <c r="CL20" s="452"/>
      <c r="CM20" s="452"/>
      <c r="CN20" s="451">
        <v>0</v>
      </c>
      <c r="CO20" s="455"/>
      <c r="CP20" s="451"/>
      <c r="CQ20" s="452"/>
      <c r="CR20" s="452"/>
      <c r="CS20" s="451">
        <v>0</v>
      </c>
      <c r="CT20" s="455"/>
      <c r="CU20" s="451"/>
      <c r="CV20" s="452"/>
      <c r="CW20" s="452"/>
      <c r="CX20" s="451">
        <v>0</v>
      </c>
      <c r="CY20" s="455"/>
      <c r="CZ20" s="451"/>
      <c r="DA20" s="452"/>
      <c r="DB20" s="452"/>
      <c r="DC20" s="451">
        <v>0</v>
      </c>
      <c r="DD20" s="455"/>
      <c r="DE20" s="451"/>
      <c r="DF20" s="452"/>
      <c r="DG20" s="452"/>
      <c r="DH20" s="451">
        <v>0</v>
      </c>
      <c r="DI20" s="455"/>
      <c r="DJ20" s="451"/>
      <c r="DK20" s="452"/>
      <c r="DL20" s="452"/>
      <c r="DM20" s="451">
        <v>0</v>
      </c>
      <c r="DN20" s="455"/>
      <c r="DO20" s="451"/>
      <c r="DP20" s="452"/>
      <c r="DQ20" s="452"/>
      <c r="DR20" s="451">
        <v>0</v>
      </c>
      <c r="DS20" s="455"/>
      <c r="DT20" s="451"/>
      <c r="DU20" s="452"/>
      <c r="DV20" s="452"/>
      <c r="DW20" s="451">
        <v>15884604</v>
      </c>
      <c r="DX20" s="455"/>
      <c r="DY20" s="451"/>
      <c r="DZ20" s="452"/>
      <c r="EA20" s="452"/>
      <c r="EB20" s="451">
        <v>0</v>
      </c>
      <c r="EC20" s="455"/>
      <c r="ED20" s="451"/>
      <c r="EE20" s="452"/>
      <c r="EF20" s="452"/>
      <c r="EG20" s="451">
        <v>0</v>
      </c>
      <c r="EH20" s="455"/>
      <c r="EI20" s="451"/>
      <c r="EJ20" s="452"/>
      <c r="EK20" s="452"/>
      <c r="EL20" s="451">
        <f t="shared" ref="EL20:EL27" si="1">SUM(CD20:DW20)</f>
        <v>15884604</v>
      </c>
      <c r="EM20" s="189"/>
      <c r="EO20" s="13"/>
      <c r="EP20" s="14"/>
      <c r="EQ20" s="14"/>
    </row>
    <row r="21" spans="4:147" ht="12.75" hidden="1" customHeight="1" x14ac:dyDescent="0.2">
      <c r="D21" s="13" t="s">
        <v>363</v>
      </c>
      <c r="E21" s="198"/>
      <c r="F21" s="198"/>
      <c r="G21" s="451">
        <v>0</v>
      </c>
      <c r="H21" s="455"/>
      <c r="I21" s="451"/>
      <c r="J21" s="452"/>
      <c r="K21" s="452"/>
      <c r="L21" s="451">
        <v>0</v>
      </c>
      <c r="M21" s="455"/>
      <c r="N21" s="451"/>
      <c r="O21" s="452"/>
      <c r="P21" s="452"/>
      <c r="Q21" s="451">
        <v>0</v>
      </c>
      <c r="R21" s="455"/>
      <c r="S21" s="451"/>
      <c r="T21" s="452"/>
      <c r="U21" s="452"/>
      <c r="V21" s="451">
        <v>0</v>
      </c>
      <c r="W21" s="455"/>
      <c r="X21" s="451"/>
      <c r="Y21" s="452"/>
      <c r="Z21" s="452"/>
      <c r="AA21" s="451">
        <v>0</v>
      </c>
      <c r="AB21" s="455"/>
      <c r="AC21" s="451"/>
      <c r="AD21" s="452"/>
      <c r="AE21" s="452"/>
      <c r="AF21" s="451">
        <v>0</v>
      </c>
      <c r="AG21" s="455"/>
      <c r="AH21" s="451"/>
      <c r="AI21" s="452"/>
      <c r="AJ21" s="452"/>
      <c r="AK21" s="451">
        <v>0</v>
      </c>
      <c r="AL21" s="455"/>
      <c r="AM21" s="451"/>
      <c r="AN21" s="452"/>
      <c r="AO21" s="452"/>
      <c r="AP21" s="451">
        <v>0</v>
      </c>
      <c r="AQ21" s="455"/>
      <c r="AR21" s="451"/>
      <c r="AS21" s="452"/>
      <c r="AT21" s="452"/>
      <c r="AU21" s="451">
        <v>0</v>
      </c>
      <c r="AV21" s="455"/>
      <c r="AW21" s="451"/>
      <c r="AX21" s="452"/>
      <c r="AY21" s="452"/>
      <c r="AZ21" s="451">
        <v>0</v>
      </c>
      <c r="BA21" s="455"/>
      <c r="BB21" s="451"/>
      <c r="BC21" s="452"/>
      <c r="BD21" s="452"/>
      <c r="BE21" s="451">
        <v>0</v>
      </c>
      <c r="BF21" s="455"/>
      <c r="BG21" s="451"/>
      <c r="BH21" s="452"/>
      <c r="BI21" s="452"/>
      <c r="BJ21" s="451">
        <v>0</v>
      </c>
      <c r="BK21" s="455"/>
      <c r="BL21" s="451"/>
      <c r="BM21" s="452"/>
      <c r="BN21" s="452"/>
      <c r="BO21" s="451">
        <v>0</v>
      </c>
      <c r="BP21" s="455"/>
      <c r="BQ21" s="451"/>
      <c r="BR21" s="452"/>
      <c r="BS21" s="452"/>
      <c r="BT21" s="451">
        <f t="shared" si="0"/>
        <v>0</v>
      </c>
      <c r="BU21" s="455"/>
      <c r="BV21" s="451"/>
      <c r="BW21" s="452"/>
      <c r="BX21" s="452"/>
      <c r="BY21" s="451">
        <v>0</v>
      </c>
      <c r="BZ21" s="455"/>
      <c r="CA21" s="451"/>
      <c r="CB21" s="452"/>
      <c r="CC21" s="452"/>
      <c r="CD21" s="451">
        <v>0</v>
      </c>
      <c r="CE21" s="455"/>
      <c r="CF21" s="451"/>
      <c r="CG21" s="452"/>
      <c r="CH21" s="452"/>
      <c r="CI21" s="451">
        <v>0</v>
      </c>
      <c r="CJ21" s="455"/>
      <c r="CK21" s="451"/>
      <c r="CL21" s="452"/>
      <c r="CM21" s="452"/>
      <c r="CN21" s="451">
        <v>0</v>
      </c>
      <c r="CO21" s="455"/>
      <c r="CP21" s="451"/>
      <c r="CQ21" s="452"/>
      <c r="CR21" s="452"/>
      <c r="CS21" s="451">
        <v>0</v>
      </c>
      <c r="CT21" s="455"/>
      <c r="CU21" s="451"/>
      <c r="CV21" s="452"/>
      <c r="CW21" s="452"/>
      <c r="CX21" s="451">
        <v>0</v>
      </c>
      <c r="CY21" s="455"/>
      <c r="CZ21" s="451"/>
      <c r="DA21" s="452"/>
      <c r="DB21" s="452"/>
      <c r="DC21" s="451">
        <v>0</v>
      </c>
      <c r="DD21" s="455"/>
      <c r="DE21" s="451"/>
      <c r="DF21" s="452"/>
      <c r="DG21" s="452"/>
      <c r="DH21" s="451">
        <v>0</v>
      </c>
      <c r="DI21" s="455"/>
      <c r="DJ21" s="451"/>
      <c r="DK21" s="452"/>
      <c r="DL21" s="452"/>
      <c r="DM21" s="451">
        <v>0</v>
      </c>
      <c r="DN21" s="455"/>
      <c r="DO21" s="451"/>
      <c r="DP21" s="452"/>
      <c r="DQ21" s="452"/>
      <c r="DR21" s="451">
        <v>0</v>
      </c>
      <c r="DS21" s="455"/>
      <c r="DT21" s="451"/>
      <c r="DU21" s="452"/>
      <c r="DV21" s="452"/>
      <c r="DW21" s="451">
        <v>0</v>
      </c>
      <c r="DX21" s="455"/>
      <c r="DY21" s="451"/>
      <c r="DZ21" s="452"/>
      <c r="EA21" s="452"/>
      <c r="EB21" s="451">
        <v>0</v>
      </c>
      <c r="EC21" s="455"/>
      <c r="ED21" s="451"/>
      <c r="EE21" s="452"/>
      <c r="EF21" s="452"/>
      <c r="EG21" s="451">
        <v>0</v>
      </c>
      <c r="EH21" s="455"/>
      <c r="EI21" s="451"/>
      <c r="EJ21" s="452"/>
      <c r="EK21" s="452"/>
      <c r="EL21" s="451">
        <f t="shared" si="1"/>
        <v>0</v>
      </c>
      <c r="EM21" s="455"/>
      <c r="EO21" s="13"/>
      <c r="EP21" s="14"/>
      <c r="EQ21" s="14"/>
    </row>
    <row r="22" spans="4:147" ht="12.75" hidden="1" customHeight="1" x14ac:dyDescent="0.2">
      <c r="D22" s="13" t="s">
        <v>422</v>
      </c>
      <c r="E22" s="198"/>
      <c r="F22" s="198"/>
      <c r="G22" s="451">
        <v>0</v>
      </c>
      <c r="H22" s="455"/>
      <c r="I22" s="451"/>
      <c r="J22" s="452"/>
      <c r="K22" s="452"/>
      <c r="L22" s="451">
        <v>0</v>
      </c>
      <c r="M22" s="455"/>
      <c r="N22" s="451"/>
      <c r="O22" s="452"/>
      <c r="P22" s="452"/>
      <c r="Q22" s="451">
        <v>0</v>
      </c>
      <c r="R22" s="455"/>
      <c r="S22" s="451"/>
      <c r="T22" s="452"/>
      <c r="U22" s="452"/>
      <c r="V22" s="451">
        <v>0</v>
      </c>
      <c r="W22" s="455"/>
      <c r="X22" s="451"/>
      <c r="Y22" s="452"/>
      <c r="Z22" s="452"/>
      <c r="AA22" s="451">
        <v>0</v>
      </c>
      <c r="AB22" s="455"/>
      <c r="AC22" s="451"/>
      <c r="AD22" s="452"/>
      <c r="AE22" s="452"/>
      <c r="AF22" s="451">
        <v>0</v>
      </c>
      <c r="AG22" s="455"/>
      <c r="AH22" s="451"/>
      <c r="AI22" s="452"/>
      <c r="AJ22" s="452"/>
      <c r="AK22" s="451">
        <v>0</v>
      </c>
      <c r="AL22" s="455"/>
      <c r="AM22" s="451"/>
      <c r="AN22" s="452"/>
      <c r="AO22" s="452"/>
      <c r="AP22" s="451">
        <v>0</v>
      </c>
      <c r="AQ22" s="455"/>
      <c r="AR22" s="451"/>
      <c r="AS22" s="452"/>
      <c r="AT22" s="452"/>
      <c r="AU22" s="451">
        <v>0</v>
      </c>
      <c r="AV22" s="455"/>
      <c r="AW22" s="451"/>
      <c r="AX22" s="452"/>
      <c r="AY22" s="452"/>
      <c r="AZ22" s="451">
        <v>0</v>
      </c>
      <c r="BA22" s="455"/>
      <c r="BB22" s="451"/>
      <c r="BC22" s="452"/>
      <c r="BD22" s="452"/>
      <c r="BE22" s="451">
        <v>0</v>
      </c>
      <c r="BF22" s="455"/>
      <c r="BG22" s="451"/>
      <c r="BH22" s="452"/>
      <c r="BI22" s="452"/>
      <c r="BJ22" s="451">
        <v>0</v>
      </c>
      <c r="BK22" s="455"/>
      <c r="BL22" s="451"/>
      <c r="BM22" s="452"/>
      <c r="BN22" s="452"/>
      <c r="BO22" s="451">
        <v>0</v>
      </c>
      <c r="BP22" s="455"/>
      <c r="BQ22" s="451"/>
      <c r="BR22" s="452"/>
      <c r="BS22" s="452"/>
      <c r="BT22" s="451">
        <f t="shared" si="0"/>
        <v>0</v>
      </c>
      <c r="BU22" s="455"/>
      <c r="BV22" s="451"/>
      <c r="BW22" s="452"/>
      <c r="BX22" s="452"/>
      <c r="BY22" s="451">
        <v>0</v>
      </c>
      <c r="BZ22" s="455"/>
      <c r="CA22" s="451"/>
      <c r="CB22" s="452"/>
      <c r="CC22" s="452"/>
      <c r="CD22" s="451">
        <v>0</v>
      </c>
      <c r="CE22" s="455"/>
      <c r="CF22" s="451"/>
      <c r="CG22" s="452"/>
      <c r="CH22" s="452"/>
      <c r="CI22" s="451">
        <v>0</v>
      </c>
      <c r="CJ22" s="455"/>
      <c r="CK22" s="451"/>
      <c r="CL22" s="452"/>
      <c r="CM22" s="452"/>
      <c r="CN22" s="451">
        <v>0</v>
      </c>
      <c r="CO22" s="455"/>
      <c r="CP22" s="451"/>
      <c r="CQ22" s="452"/>
      <c r="CR22" s="452"/>
      <c r="CS22" s="451">
        <v>0</v>
      </c>
      <c r="CT22" s="455"/>
      <c r="CU22" s="451"/>
      <c r="CV22" s="452"/>
      <c r="CW22" s="452"/>
      <c r="CX22" s="451">
        <v>0</v>
      </c>
      <c r="CY22" s="455"/>
      <c r="CZ22" s="451"/>
      <c r="DA22" s="452"/>
      <c r="DB22" s="452"/>
      <c r="DC22" s="451">
        <v>0</v>
      </c>
      <c r="DD22" s="455"/>
      <c r="DE22" s="451"/>
      <c r="DF22" s="452"/>
      <c r="DG22" s="452"/>
      <c r="DH22" s="451">
        <v>0</v>
      </c>
      <c r="DI22" s="455"/>
      <c r="DJ22" s="451"/>
      <c r="DK22" s="452"/>
      <c r="DL22" s="452"/>
      <c r="DM22" s="451">
        <v>0</v>
      </c>
      <c r="DN22" s="455"/>
      <c r="DO22" s="451"/>
      <c r="DP22" s="452"/>
      <c r="DQ22" s="452"/>
      <c r="DR22" s="451">
        <v>0</v>
      </c>
      <c r="DS22" s="455"/>
      <c r="DT22" s="451"/>
      <c r="DU22" s="452"/>
      <c r="DV22" s="452"/>
      <c r="DW22" s="451">
        <v>0</v>
      </c>
      <c r="DX22" s="455"/>
      <c r="DY22" s="451"/>
      <c r="DZ22" s="452"/>
      <c r="EA22" s="452"/>
      <c r="EB22" s="451">
        <v>0</v>
      </c>
      <c r="EC22" s="455"/>
      <c r="ED22" s="451"/>
      <c r="EE22" s="452"/>
      <c r="EF22" s="452"/>
      <c r="EG22" s="451">
        <v>0</v>
      </c>
      <c r="EH22" s="455"/>
      <c r="EI22" s="451"/>
      <c r="EJ22" s="452"/>
      <c r="EK22" s="452"/>
      <c r="EL22" s="451">
        <f t="shared" si="1"/>
        <v>0</v>
      </c>
      <c r="EM22" s="455"/>
      <c r="EO22" s="13"/>
      <c r="EP22" s="14"/>
      <c r="EQ22" s="14"/>
    </row>
    <row r="23" spans="4:147" ht="12.75" hidden="1" customHeight="1" x14ac:dyDescent="0.2">
      <c r="D23" s="13" t="s">
        <v>423</v>
      </c>
      <c r="E23" s="198"/>
      <c r="F23" s="198"/>
      <c r="G23" s="451">
        <v>0</v>
      </c>
      <c r="H23" s="455"/>
      <c r="I23" s="451"/>
      <c r="J23" s="452"/>
      <c r="K23" s="452"/>
      <c r="L23" s="451">
        <v>0</v>
      </c>
      <c r="M23" s="455"/>
      <c r="N23" s="451"/>
      <c r="O23" s="452"/>
      <c r="P23" s="452"/>
      <c r="Q23" s="451">
        <v>0</v>
      </c>
      <c r="R23" s="455"/>
      <c r="S23" s="451"/>
      <c r="T23" s="452"/>
      <c r="U23" s="452"/>
      <c r="V23" s="451">
        <v>0</v>
      </c>
      <c r="W23" s="455"/>
      <c r="X23" s="451"/>
      <c r="Y23" s="452"/>
      <c r="Z23" s="452"/>
      <c r="AA23" s="451">
        <v>0</v>
      </c>
      <c r="AB23" s="455"/>
      <c r="AC23" s="451"/>
      <c r="AD23" s="452"/>
      <c r="AE23" s="452"/>
      <c r="AF23" s="451">
        <v>0</v>
      </c>
      <c r="AG23" s="455"/>
      <c r="AH23" s="451"/>
      <c r="AI23" s="452"/>
      <c r="AJ23" s="452"/>
      <c r="AK23" s="451">
        <v>0</v>
      </c>
      <c r="AL23" s="455"/>
      <c r="AM23" s="451"/>
      <c r="AN23" s="452"/>
      <c r="AO23" s="452"/>
      <c r="AP23" s="451">
        <v>0</v>
      </c>
      <c r="AQ23" s="455"/>
      <c r="AR23" s="451"/>
      <c r="AS23" s="452"/>
      <c r="AT23" s="452"/>
      <c r="AU23" s="451">
        <v>0</v>
      </c>
      <c r="AV23" s="455"/>
      <c r="AW23" s="451"/>
      <c r="AX23" s="452"/>
      <c r="AY23" s="452"/>
      <c r="AZ23" s="451">
        <v>0</v>
      </c>
      <c r="BA23" s="455"/>
      <c r="BB23" s="451"/>
      <c r="BC23" s="452"/>
      <c r="BD23" s="452"/>
      <c r="BE23" s="451">
        <v>0</v>
      </c>
      <c r="BF23" s="455"/>
      <c r="BG23" s="451"/>
      <c r="BH23" s="452"/>
      <c r="BI23" s="452"/>
      <c r="BJ23" s="451">
        <v>0</v>
      </c>
      <c r="BK23" s="455"/>
      <c r="BL23" s="451"/>
      <c r="BM23" s="452"/>
      <c r="BN23" s="452"/>
      <c r="BO23" s="451">
        <v>0</v>
      </c>
      <c r="BP23" s="455"/>
      <c r="BQ23" s="451"/>
      <c r="BR23" s="452"/>
      <c r="BS23" s="452"/>
      <c r="BT23" s="451">
        <f t="shared" si="0"/>
        <v>0</v>
      </c>
      <c r="BU23" s="455"/>
      <c r="BV23" s="451"/>
      <c r="BW23" s="452"/>
      <c r="BX23" s="452"/>
      <c r="BY23" s="451">
        <v>0</v>
      </c>
      <c r="BZ23" s="455"/>
      <c r="CA23" s="451"/>
      <c r="CB23" s="452"/>
      <c r="CC23" s="452"/>
      <c r="CD23" s="451">
        <v>0</v>
      </c>
      <c r="CE23" s="455"/>
      <c r="CF23" s="451"/>
      <c r="CG23" s="452"/>
      <c r="CH23" s="452"/>
      <c r="CI23" s="451">
        <v>0</v>
      </c>
      <c r="CJ23" s="455"/>
      <c r="CK23" s="451"/>
      <c r="CL23" s="452"/>
      <c r="CM23" s="452"/>
      <c r="CN23" s="451">
        <v>0</v>
      </c>
      <c r="CO23" s="455"/>
      <c r="CP23" s="451"/>
      <c r="CQ23" s="452"/>
      <c r="CR23" s="452"/>
      <c r="CS23" s="451">
        <v>0</v>
      </c>
      <c r="CT23" s="455"/>
      <c r="CU23" s="451"/>
      <c r="CV23" s="452"/>
      <c r="CW23" s="452"/>
      <c r="CX23" s="451">
        <v>0</v>
      </c>
      <c r="CY23" s="455"/>
      <c r="CZ23" s="451"/>
      <c r="DA23" s="452"/>
      <c r="DB23" s="452"/>
      <c r="DC23" s="451">
        <v>0</v>
      </c>
      <c r="DD23" s="455"/>
      <c r="DE23" s="451"/>
      <c r="DF23" s="452"/>
      <c r="DG23" s="452"/>
      <c r="DH23" s="451">
        <v>0</v>
      </c>
      <c r="DI23" s="455"/>
      <c r="DJ23" s="451"/>
      <c r="DK23" s="452"/>
      <c r="DL23" s="452"/>
      <c r="DM23" s="451">
        <v>0</v>
      </c>
      <c r="DN23" s="455"/>
      <c r="DO23" s="451"/>
      <c r="DP23" s="452"/>
      <c r="DQ23" s="452"/>
      <c r="DR23" s="451">
        <v>0</v>
      </c>
      <c r="DS23" s="455"/>
      <c r="DT23" s="451"/>
      <c r="DU23" s="452"/>
      <c r="DV23" s="452"/>
      <c r="DW23" s="451">
        <v>0</v>
      </c>
      <c r="DX23" s="455"/>
      <c r="DY23" s="451"/>
      <c r="DZ23" s="452"/>
      <c r="EA23" s="452"/>
      <c r="EB23" s="451">
        <v>0</v>
      </c>
      <c r="EC23" s="455"/>
      <c r="ED23" s="451"/>
      <c r="EE23" s="452"/>
      <c r="EF23" s="452"/>
      <c r="EG23" s="451">
        <v>0</v>
      </c>
      <c r="EH23" s="455"/>
      <c r="EI23" s="451"/>
      <c r="EJ23" s="452"/>
      <c r="EK23" s="452"/>
      <c r="EL23" s="451">
        <f t="shared" si="1"/>
        <v>0</v>
      </c>
      <c r="EM23" s="455"/>
      <c r="EO23" s="13"/>
      <c r="EP23" s="14"/>
      <c r="EQ23" s="14"/>
    </row>
    <row r="24" spans="4:147" ht="12.75" customHeight="1" x14ac:dyDescent="0.2">
      <c r="D24" s="13" t="s">
        <v>424</v>
      </c>
      <c r="E24" s="198"/>
      <c r="F24" s="198"/>
      <c r="G24" s="451">
        <v>0</v>
      </c>
      <c r="H24" s="455"/>
      <c r="I24" s="451"/>
      <c r="J24" s="452"/>
      <c r="K24" s="452"/>
      <c r="L24" s="451">
        <v>0</v>
      </c>
      <c r="M24" s="455"/>
      <c r="N24" s="451"/>
      <c r="O24" s="452"/>
      <c r="P24" s="452"/>
      <c r="Q24" s="451">
        <v>0</v>
      </c>
      <c r="R24" s="455"/>
      <c r="S24" s="451"/>
      <c r="T24" s="452"/>
      <c r="U24" s="452"/>
      <c r="V24" s="451">
        <v>0</v>
      </c>
      <c r="W24" s="455"/>
      <c r="X24" s="451"/>
      <c r="Y24" s="452"/>
      <c r="Z24" s="452"/>
      <c r="AA24" s="451">
        <v>0</v>
      </c>
      <c r="AB24" s="455"/>
      <c r="AC24" s="451"/>
      <c r="AD24" s="452"/>
      <c r="AE24" s="452"/>
      <c r="AF24" s="451">
        <v>0</v>
      </c>
      <c r="AG24" s="455"/>
      <c r="AH24" s="451"/>
      <c r="AI24" s="452"/>
      <c r="AJ24" s="452"/>
      <c r="AK24" s="451">
        <v>0</v>
      </c>
      <c r="AL24" s="455"/>
      <c r="AM24" s="451"/>
      <c r="AN24" s="452"/>
      <c r="AO24" s="452"/>
      <c r="AP24" s="451">
        <v>0</v>
      </c>
      <c r="AQ24" s="455"/>
      <c r="AR24" s="451"/>
      <c r="AS24" s="452"/>
      <c r="AT24" s="452"/>
      <c r="AU24" s="451">
        <v>0</v>
      </c>
      <c r="AV24" s="455"/>
      <c r="AW24" s="451"/>
      <c r="AX24" s="452"/>
      <c r="AY24" s="452"/>
      <c r="AZ24" s="451">
        <v>0</v>
      </c>
      <c r="BA24" s="455"/>
      <c r="BB24" s="451"/>
      <c r="BC24" s="452"/>
      <c r="BD24" s="452"/>
      <c r="BE24" s="451">
        <v>0</v>
      </c>
      <c r="BF24" s="455"/>
      <c r="BG24" s="451"/>
      <c r="BH24" s="452"/>
      <c r="BI24" s="452"/>
      <c r="BJ24" s="451">
        <v>0</v>
      </c>
      <c r="BK24" s="455"/>
      <c r="BL24" s="451"/>
      <c r="BM24" s="452"/>
      <c r="BN24" s="452"/>
      <c r="BO24" s="451">
        <v>0</v>
      </c>
      <c r="BP24" s="455"/>
      <c r="BQ24" s="451"/>
      <c r="BR24" s="452"/>
      <c r="BS24" s="452"/>
      <c r="BT24" s="451">
        <f t="shared" si="0"/>
        <v>0</v>
      </c>
      <c r="BU24" s="455"/>
      <c r="BV24" s="451"/>
      <c r="BW24" s="452"/>
      <c r="BX24" s="452"/>
      <c r="BY24" s="451">
        <v>150000</v>
      </c>
      <c r="BZ24" s="455"/>
      <c r="CA24" s="451"/>
      <c r="CB24" s="452"/>
      <c r="CC24" s="452"/>
      <c r="CD24" s="451">
        <v>0</v>
      </c>
      <c r="CE24" s="455"/>
      <c r="CF24" s="451"/>
      <c r="CG24" s="452"/>
      <c r="CH24" s="452"/>
      <c r="CI24" s="451">
        <v>0</v>
      </c>
      <c r="CJ24" s="455"/>
      <c r="CK24" s="451"/>
      <c r="CL24" s="452"/>
      <c r="CM24" s="452"/>
      <c r="CN24" s="451">
        <v>0</v>
      </c>
      <c r="CO24" s="455"/>
      <c r="CP24" s="451"/>
      <c r="CQ24" s="452"/>
      <c r="CR24" s="452"/>
      <c r="CS24" s="451">
        <v>0</v>
      </c>
      <c r="CT24" s="455"/>
      <c r="CU24" s="451"/>
      <c r="CV24" s="452"/>
      <c r="CW24" s="452"/>
      <c r="CX24" s="451">
        <v>0</v>
      </c>
      <c r="CY24" s="455"/>
      <c r="CZ24" s="451"/>
      <c r="DA24" s="452"/>
      <c r="DB24" s="452"/>
      <c r="DC24" s="451">
        <v>150000</v>
      </c>
      <c r="DD24" s="455"/>
      <c r="DE24" s="451"/>
      <c r="DF24" s="452"/>
      <c r="DG24" s="452"/>
      <c r="DH24" s="451">
        <v>0</v>
      </c>
      <c r="DI24" s="455"/>
      <c r="DJ24" s="451"/>
      <c r="DK24" s="452"/>
      <c r="DL24" s="452"/>
      <c r="DM24" s="451">
        <v>0</v>
      </c>
      <c r="DN24" s="455"/>
      <c r="DO24" s="451"/>
      <c r="DP24" s="452"/>
      <c r="DQ24" s="452"/>
      <c r="DR24" s="451">
        <v>0</v>
      </c>
      <c r="DS24" s="455"/>
      <c r="DT24" s="451"/>
      <c r="DU24" s="452"/>
      <c r="DV24" s="452"/>
      <c r="DW24" s="451">
        <v>0</v>
      </c>
      <c r="DX24" s="455"/>
      <c r="DY24" s="451"/>
      <c r="DZ24" s="452"/>
      <c r="EA24" s="452"/>
      <c r="EB24" s="451">
        <v>0</v>
      </c>
      <c r="EC24" s="455"/>
      <c r="ED24" s="451"/>
      <c r="EE24" s="452"/>
      <c r="EF24" s="452"/>
      <c r="EG24" s="451">
        <v>0</v>
      </c>
      <c r="EH24" s="455"/>
      <c r="EI24" s="451"/>
      <c r="EJ24" s="452"/>
      <c r="EK24" s="452"/>
      <c r="EL24" s="451">
        <f t="shared" si="1"/>
        <v>150000</v>
      </c>
      <c r="EM24" s="455"/>
      <c r="EO24" s="13"/>
      <c r="EP24" s="14"/>
      <c r="EQ24" s="14"/>
    </row>
    <row r="25" spans="4:147" ht="12.75" customHeight="1" x14ac:dyDescent="0.2">
      <c r="D25" s="13" t="s">
        <v>425</v>
      </c>
      <c r="E25" s="198"/>
      <c r="F25" s="198"/>
      <c r="G25" s="451">
        <v>0</v>
      </c>
      <c r="H25" s="455"/>
      <c r="I25" s="451"/>
      <c r="J25" s="452"/>
      <c r="K25" s="452"/>
      <c r="L25" s="451">
        <v>0</v>
      </c>
      <c r="M25" s="455"/>
      <c r="N25" s="451"/>
      <c r="O25" s="452"/>
      <c r="P25" s="452"/>
      <c r="Q25" s="451">
        <v>0</v>
      </c>
      <c r="R25" s="455"/>
      <c r="S25" s="451"/>
      <c r="T25" s="452"/>
      <c r="U25" s="452"/>
      <c r="V25" s="451">
        <v>0</v>
      </c>
      <c r="W25" s="455"/>
      <c r="X25" s="451"/>
      <c r="Y25" s="452"/>
      <c r="Z25" s="452"/>
      <c r="AA25" s="451">
        <v>0</v>
      </c>
      <c r="AB25" s="455"/>
      <c r="AC25" s="451"/>
      <c r="AD25" s="452"/>
      <c r="AE25" s="452"/>
      <c r="AF25" s="451">
        <v>0</v>
      </c>
      <c r="AG25" s="455"/>
      <c r="AH25" s="451"/>
      <c r="AI25" s="452"/>
      <c r="AJ25" s="452"/>
      <c r="AK25" s="451">
        <v>0</v>
      </c>
      <c r="AL25" s="455"/>
      <c r="AM25" s="451"/>
      <c r="AN25" s="452"/>
      <c r="AO25" s="452"/>
      <c r="AP25" s="451">
        <v>0</v>
      </c>
      <c r="AQ25" s="455"/>
      <c r="AR25" s="451"/>
      <c r="AS25" s="452"/>
      <c r="AT25" s="452"/>
      <c r="AU25" s="451">
        <v>0</v>
      </c>
      <c r="AV25" s="455"/>
      <c r="AW25" s="451"/>
      <c r="AX25" s="452"/>
      <c r="AY25" s="452"/>
      <c r="AZ25" s="451">
        <v>0</v>
      </c>
      <c r="BA25" s="455"/>
      <c r="BB25" s="451"/>
      <c r="BC25" s="452"/>
      <c r="BD25" s="452"/>
      <c r="BE25" s="451">
        <v>0</v>
      </c>
      <c r="BF25" s="455"/>
      <c r="BG25" s="451"/>
      <c r="BH25" s="452"/>
      <c r="BI25" s="452"/>
      <c r="BJ25" s="451">
        <v>0</v>
      </c>
      <c r="BK25" s="455"/>
      <c r="BL25" s="451"/>
      <c r="BM25" s="452"/>
      <c r="BN25" s="452"/>
      <c r="BO25" s="451">
        <v>0</v>
      </c>
      <c r="BP25" s="455"/>
      <c r="BQ25" s="451"/>
      <c r="BR25" s="452"/>
      <c r="BS25" s="452"/>
      <c r="BT25" s="451">
        <f t="shared" si="0"/>
        <v>0</v>
      </c>
      <c r="BU25" s="455"/>
      <c r="BV25" s="451"/>
      <c r="BW25" s="452"/>
      <c r="BX25" s="452"/>
      <c r="BY25" s="451">
        <v>12</v>
      </c>
      <c r="BZ25" s="455"/>
      <c r="CA25" s="451"/>
      <c r="CB25" s="452"/>
      <c r="CC25" s="452"/>
      <c r="CD25" s="451">
        <v>0</v>
      </c>
      <c r="CE25" s="455"/>
      <c r="CF25" s="451"/>
      <c r="CG25" s="452"/>
      <c r="CH25" s="452"/>
      <c r="CI25" s="451">
        <v>0</v>
      </c>
      <c r="CJ25" s="455"/>
      <c r="CK25" s="451"/>
      <c r="CL25" s="452"/>
      <c r="CM25" s="452"/>
      <c r="CN25" s="451">
        <v>0</v>
      </c>
      <c r="CO25" s="455"/>
      <c r="CP25" s="451"/>
      <c r="CQ25" s="452"/>
      <c r="CR25" s="452"/>
      <c r="CS25" s="451">
        <v>9</v>
      </c>
      <c r="CT25" s="455"/>
      <c r="CU25" s="451"/>
      <c r="CV25" s="452"/>
      <c r="CW25" s="452"/>
      <c r="CX25" s="451">
        <v>0</v>
      </c>
      <c r="CY25" s="455"/>
      <c r="CZ25" s="451"/>
      <c r="DA25" s="452"/>
      <c r="DB25" s="452"/>
      <c r="DC25" s="451">
        <v>0</v>
      </c>
      <c r="DD25" s="455"/>
      <c r="DE25" s="451"/>
      <c r="DF25" s="452"/>
      <c r="DG25" s="452"/>
      <c r="DH25" s="451">
        <v>2</v>
      </c>
      <c r="DI25" s="455"/>
      <c r="DJ25" s="451"/>
      <c r="DK25" s="452"/>
      <c r="DL25" s="452"/>
      <c r="DM25" s="451">
        <v>0</v>
      </c>
      <c r="DN25" s="455"/>
      <c r="DO25" s="451"/>
      <c r="DP25" s="452"/>
      <c r="DQ25" s="452"/>
      <c r="DR25" s="451">
        <v>1</v>
      </c>
      <c r="DS25" s="455"/>
      <c r="DT25" s="451"/>
      <c r="DU25" s="452"/>
      <c r="DV25" s="452"/>
      <c r="DW25" s="451">
        <v>0</v>
      </c>
      <c r="DX25" s="455"/>
      <c r="DY25" s="451"/>
      <c r="DZ25" s="452"/>
      <c r="EA25" s="452"/>
      <c r="EB25" s="451">
        <v>0</v>
      </c>
      <c r="EC25" s="455"/>
      <c r="ED25" s="451"/>
      <c r="EE25" s="452"/>
      <c r="EF25" s="452"/>
      <c r="EG25" s="451">
        <v>0</v>
      </c>
      <c r="EH25" s="455"/>
      <c r="EI25" s="451"/>
      <c r="EJ25" s="452"/>
      <c r="EK25" s="452"/>
      <c r="EL25" s="451">
        <f t="shared" si="1"/>
        <v>12</v>
      </c>
      <c r="EM25" s="455"/>
      <c r="EO25" s="13"/>
      <c r="EP25" s="14"/>
      <c r="EQ25" s="14"/>
    </row>
    <row r="26" spans="4:147" ht="12.75" customHeight="1" x14ac:dyDescent="0.2">
      <c r="D26" s="13" t="s">
        <v>346</v>
      </c>
      <c r="E26" s="198"/>
      <c r="F26" s="198"/>
      <c r="G26" s="451">
        <v>3500000</v>
      </c>
      <c r="H26" s="455"/>
      <c r="I26" s="451"/>
      <c r="J26" s="452"/>
      <c r="K26" s="452"/>
      <c r="L26" s="451">
        <v>1200137</v>
      </c>
      <c r="M26" s="455"/>
      <c r="N26" s="451"/>
      <c r="O26" s="452"/>
      <c r="P26" s="452"/>
      <c r="Q26" s="451">
        <v>335047</v>
      </c>
      <c r="R26" s="455"/>
      <c r="S26" s="451"/>
      <c r="T26" s="452"/>
      <c r="U26" s="452"/>
      <c r="V26" s="451">
        <v>112559</v>
      </c>
      <c r="W26" s="455"/>
      <c r="X26" s="451"/>
      <c r="Y26" s="452"/>
      <c r="Z26" s="452"/>
      <c r="AA26" s="451">
        <v>339545</v>
      </c>
      <c r="AB26" s="455"/>
      <c r="AC26" s="451"/>
      <c r="AD26" s="452"/>
      <c r="AE26" s="452"/>
      <c r="AF26" s="451">
        <v>212255</v>
      </c>
      <c r="AG26" s="455"/>
      <c r="AH26" s="451"/>
      <c r="AI26" s="452"/>
      <c r="AJ26" s="452"/>
      <c r="AK26" s="451">
        <v>223023</v>
      </c>
      <c r="AL26" s="455"/>
      <c r="AM26" s="451"/>
      <c r="AN26" s="452"/>
      <c r="AO26" s="452"/>
      <c r="AP26" s="451">
        <v>333330</v>
      </c>
      <c r="AQ26" s="455"/>
      <c r="AR26" s="451"/>
      <c r="AS26" s="452"/>
      <c r="AT26" s="452"/>
      <c r="AU26" s="451">
        <v>314155</v>
      </c>
      <c r="AV26" s="455"/>
      <c r="AW26" s="451"/>
      <c r="AX26" s="452"/>
      <c r="AY26" s="452"/>
      <c r="AZ26" s="451">
        <v>59957</v>
      </c>
      <c r="BA26" s="455"/>
      <c r="BB26" s="451"/>
      <c r="BC26" s="452"/>
      <c r="BD26" s="452"/>
      <c r="BE26" s="451">
        <v>397954</v>
      </c>
      <c r="BF26" s="455"/>
      <c r="BG26" s="451"/>
      <c r="BH26" s="452"/>
      <c r="BI26" s="452"/>
      <c r="BJ26" s="451">
        <v>0</v>
      </c>
      <c r="BK26" s="455"/>
      <c r="BL26" s="451"/>
      <c r="BM26" s="452"/>
      <c r="BN26" s="452"/>
      <c r="BO26" s="451">
        <v>0</v>
      </c>
      <c r="BP26" s="455"/>
      <c r="BQ26" s="451"/>
      <c r="BR26" s="452"/>
      <c r="BS26" s="452"/>
      <c r="BT26" s="451">
        <f>SUM(L26:BO26)</f>
        <v>3527962</v>
      </c>
      <c r="BU26" s="455"/>
      <c r="BV26" s="451"/>
      <c r="BW26" s="452"/>
      <c r="BX26" s="452"/>
      <c r="BY26" s="451">
        <v>3393035</v>
      </c>
      <c r="BZ26" s="455"/>
      <c r="CA26" s="451"/>
      <c r="CB26" s="452"/>
      <c r="CC26" s="452"/>
      <c r="CD26" s="451">
        <v>334508</v>
      </c>
      <c r="CE26" s="455"/>
      <c r="CF26" s="451"/>
      <c r="CG26" s="452"/>
      <c r="CH26" s="452"/>
      <c r="CI26" s="451">
        <v>254394</v>
      </c>
      <c r="CJ26" s="455"/>
      <c r="CK26" s="451"/>
      <c r="CL26" s="452"/>
      <c r="CM26" s="452"/>
      <c r="CN26" s="451">
        <v>251090</v>
      </c>
      <c r="CO26" s="455"/>
      <c r="CP26" s="451"/>
      <c r="CQ26" s="452"/>
      <c r="CR26" s="452"/>
      <c r="CS26" s="451">
        <v>239590</v>
      </c>
      <c r="CT26" s="455"/>
      <c r="CU26" s="451"/>
      <c r="CV26" s="452"/>
      <c r="CW26" s="452"/>
      <c r="CX26" s="451">
        <v>317003</v>
      </c>
      <c r="CY26" s="455"/>
      <c r="CZ26" s="451"/>
      <c r="DA26" s="452"/>
      <c r="DB26" s="452"/>
      <c r="DC26" s="451">
        <v>314401</v>
      </c>
      <c r="DD26" s="455"/>
      <c r="DE26" s="451"/>
      <c r="DF26" s="452"/>
      <c r="DG26" s="452"/>
      <c r="DH26" s="451">
        <v>190970</v>
      </c>
      <c r="DI26" s="455"/>
      <c r="DJ26" s="451"/>
      <c r="DK26" s="452"/>
      <c r="DL26" s="452"/>
      <c r="DM26" s="451">
        <v>372701</v>
      </c>
      <c r="DN26" s="455"/>
      <c r="DO26" s="451"/>
      <c r="DP26" s="452"/>
      <c r="DQ26" s="452"/>
      <c r="DR26" s="451">
        <v>335950</v>
      </c>
      <c r="DS26" s="455"/>
      <c r="DT26" s="451"/>
      <c r="DU26" s="452"/>
      <c r="DV26" s="452"/>
      <c r="DW26" s="451">
        <v>245115</v>
      </c>
      <c r="DX26" s="455"/>
      <c r="DY26" s="451"/>
      <c r="DZ26" s="452"/>
      <c r="EA26" s="452"/>
      <c r="EB26" s="451">
        <v>239823</v>
      </c>
      <c r="EC26" s="455"/>
      <c r="ED26" s="451"/>
      <c r="EE26" s="452"/>
      <c r="EF26" s="452"/>
      <c r="EG26" s="451">
        <v>297490</v>
      </c>
      <c r="EH26" s="455"/>
      <c r="EI26" s="451"/>
      <c r="EJ26" s="452"/>
      <c r="EK26" s="452"/>
      <c r="EL26" s="451">
        <f t="shared" si="1"/>
        <v>2855722</v>
      </c>
      <c r="EM26" s="455"/>
      <c r="EO26" s="13"/>
      <c r="EP26" s="14"/>
      <c r="EQ26" s="14"/>
    </row>
    <row r="27" spans="4:147" x14ac:dyDescent="0.2">
      <c r="D27" s="13" t="s">
        <v>426</v>
      </c>
      <c r="E27" s="198"/>
      <c r="F27" s="385"/>
      <c r="G27" s="463">
        <v>0</v>
      </c>
      <c r="H27" s="464"/>
      <c r="I27" s="451"/>
      <c r="J27" s="452"/>
      <c r="K27" s="465"/>
      <c r="L27" s="463">
        <v>0</v>
      </c>
      <c r="M27" s="464"/>
      <c r="N27" s="451"/>
      <c r="O27" s="452"/>
      <c r="P27" s="465"/>
      <c r="Q27" s="463">
        <v>0</v>
      </c>
      <c r="R27" s="464"/>
      <c r="S27" s="451"/>
      <c r="T27" s="452"/>
      <c r="U27" s="465"/>
      <c r="V27" s="463">
        <v>0</v>
      </c>
      <c r="W27" s="464"/>
      <c r="X27" s="451"/>
      <c r="Y27" s="452"/>
      <c r="Z27" s="465"/>
      <c r="AA27" s="463">
        <v>0</v>
      </c>
      <c r="AB27" s="464"/>
      <c r="AC27" s="451"/>
      <c r="AD27" s="452"/>
      <c r="AE27" s="465"/>
      <c r="AF27" s="463">
        <v>0</v>
      </c>
      <c r="AG27" s="464"/>
      <c r="AH27" s="451"/>
      <c r="AI27" s="452"/>
      <c r="AJ27" s="465"/>
      <c r="AK27" s="463">
        <v>0</v>
      </c>
      <c r="AL27" s="464"/>
      <c r="AM27" s="451"/>
      <c r="AN27" s="452"/>
      <c r="AO27" s="465"/>
      <c r="AP27" s="463">
        <v>0</v>
      </c>
      <c r="AQ27" s="464"/>
      <c r="AR27" s="451"/>
      <c r="AS27" s="452"/>
      <c r="AT27" s="465"/>
      <c r="AU27" s="463">
        <v>0</v>
      </c>
      <c r="AV27" s="464"/>
      <c r="AW27" s="451"/>
      <c r="AX27" s="452"/>
      <c r="AY27" s="465"/>
      <c r="AZ27" s="463">
        <v>0</v>
      </c>
      <c r="BA27" s="464"/>
      <c r="BB27" s="451"/>
      <c r="BC27" s="452"/>
      <c r="BD27" s="465"/>
      <c r="BE27" s="463">
        <v>0</v>
      </c>
      <c r="BF27" s="464"/>
      <c r="BG27" s="451"/>
      <c r="BH27" s="452"/>
      <c r="BI27" s="465"/>
      <c r="BJ27" s="463">
        <v>0</v>
      </c>
      <c r="BK27" s="464"/>
      <c r="BL27" s="451"/>
      <c r="BM27" s="452"/>
      <c r="BN27" s="465"/>
      <c r="BO27" s="463">
        <v>0</v>
      </c>
      <c r="BP27" s="464"/>
      <c r="BQ27" s="451"/>
      <c r="BR27" s="452"/>
      <c r="BS27" s="465"/>
      <c r="BT27" s="463">
        <f t="shared" si="0"/>
        <v>0</v>
      </c>
      <c r="BU27" s="464"/>
      <c r="BV27" s="451"/>
      <c r="BW27" s="452"/>
      <c r="BX27" s="465"/>
      <c r="BY27" s="463">
        <v>4</v>
      </c>
      <c r="BZ27" s="464"/>
      <c r="CA27" s="451"/>
      <c r="CB27" s="452"/>
      <c r="CC27" s="465"/>
      <c r="CD27" s="463">
        <v>4</v>
      </c>
      <c r="CE27" s="464"/>
      <c r="CF27" s="451"/>
      <c r="CG27" s="452"/>
      <c r="CH27" s="465"/>
      <c r="CI27" s="463">
        <v>0</v>
      </c>
      <c r="CJ27" s="464"/>
      <c r="CK27" s="451"/>
      <c r="CL27" s="452"/>
      <c r="CM27" s="465"/>
      <c r="CN27" s="463">
        <v>0</v>
      </c>
      <c r="CO27" s="464"/>
      <c r="CP27" s="451"/>
      <c r="CQ27" s="452"/>
      <c r="CR27" s="465"/>
      <c r="CS27" s="463">
        <v>0</v>
      </c>
      <c r="CT27" s="464"/>
      <c r="CU27" s="451"/>
      <c r="CV27" s="452"/>
      <c r="CW27" s="465"/>
      <c r="CX27" s="463">
        <v>0</v>
      </c>
      <c r="CY27" s="464"/>
      <c r="CZ27" s="451"/>
      <c r="DA27" s="452"/>
      <c r="DB27" s="465"/>
      <c r="DC27" s="463">
        <v>0</v>
      </c>
      <c r="DD27" s="464"/>
      <c r="DE27" s="451"/>
      <c r="DF27" s="452"/>
      <c r="DG27" s="465"/>
      <c r="DH27" s="463">
        <v>0</v>
      </c>
      <c r="DI27" s="464"/>
      <c r="DJ27" s="451"/>
      <c r="DK27" s="452"/>
      <c r="DL27" s="465"/>
      <c r="DM27" s="463">
        <v>0</v>
      </c>
      <c r="DN27" s="464"/>
      <c r="DO27" s="451"/>
      <c r="DP27" s="452"/>
      <c r="DQ27" s="465"/>
      <c r="DR27" s="463">
        <v>0</v>
      </c>
      <c r="DS27" s="464"/>
      <c r="DT27" s="451"/>
      <c r="DU27" s="452"/>
      <c r="DV27" s="465"/>
      <c r="DW27" s="463">
        <v>0</v>
      </c>
      <c r="DX27" s="464"/>
      <c r="DY27" s="451"/>
      <c r="DZ27" s="452"/>
      <c r="EA27" s="465"/>
      <c r="EB27" s="463">
        <v>0</v>
      </c>
      <c r="EC27" s="464"/>
      <c r="ED27" s="451"/>
      <c r="EE27" s="452"/>
      <c r="EF27" s="465"/>
      <c r="EG27" s="463">
        <v>0</v>
      </c>
      <c r="EH27" s="464"/>
      <c r="EI27" s="451"/>
      <c r="EJ27" s="452"/>
      <c r="EK27" s="465"/>
      <c r="EL27" s="463">
        <f t="shared" si="1"/>
        <v>4</v>
      </c>
      <c r="EM27" s="464"/>
      <c r="EO27" s="13"/>
      <c r="EP27" s="14"/>
      <c r="EQ27" s="14"/>
    </row>
    <row r="28" spans="4:147" ht="12.75" hidden="1" customHeight="1" x14ac:dyDescent="0.2">
      <c r="D28" s="13" t="s">
        <v>427</v>
      </c>
      <c r="E28" s="198"/>
      <c r="F28" s="385"/>
      <c r="G28" s="463">
        <v>0</v>
      </c>
      <c r="H28" s="464"/>
      <c r="I28" s="451"/>
      <c r="J28" s="452"/>
      <c r="K28" s="465"/>
      <c r="L28" s="463">
        <v>0</v>
      </c>
      <c r="M28" s="464"/>
      <c r="N28" s="451"/>
      <c r="O28" s="452"/>
      <c r="P28" s="465"/>
      <c r="Q28" s="463">
        <v>0</v>
      </c>
      <c r="R28" s="464"/>
      <c r="S28" s="451"/>
      <c r="T28" s="452"/>
      <c r="U28" s="465"/>
      <c r="V28" s="463">
        <v>0</v>
      </c>
      <c r="W28" s="464"/>
      <c r="X28" s="451"/>
      <c r="Y28" s="452"/>
      <c r="Z28" s="465"/>
      <c r="AA28" s="463">
        <v>0</v>
      </c>
      <c r="AB28" s="464"/>
      <c r="AC28" s="451"/>
      <c r="AD28" s="452"/>
      <c r="AE28" s="465"/>
      <c r="AF28" s="463">
        <v>0</v>
      </c>
      <c r="AG28" s="464"/>
      <c r="AH28" s="451"/>
      <c r="AI28" s="452"/>
      <c r="AJ28" s="465"/>
      <c r="AK28" s="463">
        <v>0</v>
      </c>
      <c r="AL28" s="464"/>
      <c r="AM28" s="451"/>
      <c r="AN28" s="452"/>
      <c r="AO28" s="465"/>
      <c r="AP28" s="463">
        <v>0</v>
      </c>
      <c r="AQ28" s="464"/>
      <c r="AR28" s="451"/>
      <c r="AS28" s="452"/>
      <c r="AT28" s="465"/>
      <c r="AU28" s="463">
        <v>0</v>
      </c>
      <c r="AV28" s="464"/>
      <c r="AW28" s="451"/>
      <c r="AX28" s="452"/>
      <c r="AY28" s="465"/>
      <c r="AZ28" s="463">
        <v>0</v>
      </c>
      <c r="BA28" s="464"/>
      <c r="BB28" s="451"/>
      <c r="BC28" s="452"/>
      <c r="BD28" s="465"/>
      <c r="BE28" s="463">
        <v>0</v>
      </c>
      <c r="BF28" s="464"/>
      <c r="BG28" s="451"/>
      <c r="BH28" s="452"/>
      <c r="BI28" s="465"/>
      <c r="BJ28" s="463">
        <v>0</v>
      </c>
      <c r="BK28" s="464"/>
      <c r="BL28" s="451"/>
      <c r="BM28" s="452"/>
      <c r="BN28" s="465"/>
      <c r="BO28" s="463">
        <v>0</v>
      </c>
      <c r="BP28" s="464"/>
      <c r="BQ28" s="451"/>
      <c r="BR28" s="452"/>
      <c r="BS28" s="465"/>
      <c r="BT28" s="463">
        <f t="shared" si="0"/>
        <v>0</v>
      </c>
      <c r="BU28" s="464"/>
      <c r="BV28" s="451"/>
      <c r="BW28" s="452"/>
      <c r="BX28" s="465"/>
      <c r="BY28" s="463">
        <f>SUM(Q28:BT28)</f>
        <v>0</v>
      </c>
      <c r="BZ28" s="464"/>
      <c r="CA28" s="451"/>
      <c r="CB28" s="452"/>
      <c r="CC28" s="465"/>
      <c r="CD28" s="463">
        <v>0</v>
      </c>
      <c r="CE28" s="464"/>
      <c r="CF28" s="451"/>
      <c r="CG28" s="452"/>
      <c r="CH28" s="465"/>
      <c r="CI28" s="463">
        <v>0</v>
      </c>
      <c r="CJ28" s="464"/>
      <c r="CK28" s="451"/>
      <c r="CL28" s="452"/>
      <c r="CM28" s="465"/>
      <c r="CN28" s="463">
        <v>0</v>
      </c>
      <c r="CO28" s="464"/>
      <c r="CP28" s="451"/>
      <c r="CQ28" s="452"/>
      <c r="CR28" s="465"/>
      <c r="CS28" s="463">
        <v>0</v>
      </c>
      <c r="CT28" s="464"/>
      <c r="CU28" s="451"/>
      <c r="CV28" s="452"/>
      <c r="CW28" s="465"/>
      <c r="CX28" s="463">
        <v>0</v>
      </c>
      <c r="CY28" s="464"/>
      <c r="CZ28" s="451"/>
      <c r="DA28" s="452"/>
      <c r="DB28" s="465"/>
      <c r="DC28" s="463">
        <v>0</v>
      </c>
      <c r="DD28" s="464"/>
      <c r="DE28" s="451"/>
      <c r="DF28" s="452"/>
      <c r="DG28" s="465"/>
      <c r="DH28" s="463">
        <v>0</v>
      </c>
      <c r="DI28" s="464"/>
      <c r="DJ28" s="451"/>
      <c r="DK28" s="452"/>
      <c r="DL28" s="465"/>
      <c r="DM28" s="463">
        <v>0</v>
      </c>
      <c r="DN28" s="464"/>
      <c r="DO28" s="451"/>
      <c r="DP28" s="452"/>
      <c r="DQ28" s="465"/>
      <c r="DR28" s="463">
        <v>0</v>
      </c>
      <c r="DS28" s="464"/>
      <c r="DT28" s="451"/>
      <c r="DU28" s="452"/>
      <c r="DV28" s="465"/>
      <c r="DW28" s="463">
        <v>0</v>
      </c>
      <c r="DX28" s="464"/>
      <c r="DY28" s="451"/>
      <c r="DZ28" s="452"/>
      <c r="EA28" s="465"/>
      <c r="EB28" s="463">
        <v>0</v>
      </c>
      <c r="EC28" s="464"/>
      <c r="ED28" s="451"/>
      <c r="EE28" s="452"/>
      <c r="EF28" s="465"/>
      <c r="EG28" s="463">
        <v>0</v>
      </c>
      <c r="EH28" s="464"/>
      <c r="EI28" s="451"/>
      <c r="EJ28" s="452"/>
      <c r="EK28" s="465"/>
      <c r="EL28" s="463">
        <f>SUM(CD28:EG28)</f>
        <v>0</v>
      </c>
      <c r="EM28" s="212"/>
      <c r="EO28" s="13"/>
      <c r="EP28" s="14"/>
      <c r="EQ28" s="14"/>
    </row>
    <row r="29" spans="4:147" x14ac:dyDescent="0.2">
      <c r="D29" s="13"/>
      <c r="E29" s="198"/>
      <c r="G29" s="451"/>
      <c r="H29" s="451"/>
      <c r="I29" s="451"/>
      <c r="J29" s="452"/>
      <c r="K29" s="451"/>
      <c r="L29" s="451"/>
      <c r="M29" s="451"/>
      <c r="N29" s="451"/>
      <c r="O29" s="452"/>
      <c r="P29" s="451"/>
      <c r="Q29" s="451"/>
      <c r="R29" s="451"/>
      <c r="S29" s="451"/>
      <c r="T29" s="452"/>
      <c r="U29" s="451"/>
      <c r="V29" s="451"/>
      <c r="W29" s="451"/>
      <c r="X29" s="451"/>
      <c r="Y29" s="452"/>
      <c r="Z29" s="451"/>
      <c r="AA29" s="451"/>
      <c r="AB29" s="451"/>
      <c r="AC29" s="451"/>
      <c r="AD29" s="452"/>
      <c r="AE29" s="451"/>
      <c r="AF29" s="451"/>
      <c r="AG29" s="451"/>
      <c r="AH29" s="451"/>
      <c r="AI29" s="452"/>
      <c r="AJ29" s="451"/>
      <c r="AK29" s="451"/>
      <c r="AL29" s="451"/>
      <c r="AM29" s="451"/>
      <c r="AN29" s="452"/>
      <c r="AO29" s="451"/>
      <c r="AP29" s="451"/>
      <c r="AQ29" s="451"/>
      <c r="AR29" s="451"/>
      <c r="AS29" s="452"/>
      <c r="AT29" s="451"/>
      <c r="AU29" s="451"/>
      <c r="AV29" s="451"/>
      <c r="AW29" s="451"/>
      <c r="AX29" s="452"/>
      <c r="AY29" s="451"/>
      <c r="AZ29" s="451"/>
      <c r="BA29" s="451"/>
      <c r="BB29" s="451"/>
      <c r="BC29" s="452"/>
      <c r="BD29" s="451"/>
      <c r="BE29" s="451"/>
      <c r="BF29" s="451"/>
      <c r="BG29" s="451"/>
      <c r="BH29" s="452"/>
      <c r="BI29" s="451"/>
      <c r="BJ29" s="451"/>
      <c r="BK29" s="451"/>
      <c r="BL29" s="451"/>
      <c r="BM29" s="452"/>
      <c r="BN29" s="451"/>
      <c r="BO29" s="451"/>
      <c r="BP29" s="451"/>
      <c r="BQ29" s="451"/>
      <c r="BR29" s="452"/>
      <c r="BS29" s="451"/>
      <c r="BT29" s="451"/>
      <c r="BU29" s="451"/>
      <c r="BV29" s="451"/>
      <c r="BW29" s="452"/>
      <c r="BX29" s="451"/>
      <c r="BY29" s="451"/>
      <c r="BZ29" s="451"/>
      <c r="CA29" s="451"/>
      <c r="CB29" s="452"/>
      <c r="CC29" s="451"/>
      <c r="CD29" s="451"/>
      <c r="CE29" s="451"/>
      <c r="CF29" s="451"/>
      <c r="CG29" s="452"/>
      <c r="CH29" s="451"/>
      <c r="CI29" s="451"/>
      <c r="CJ29" s="451"/>
      <c r="CK29" s="451"/>
      <c r="CL29" s="452"/>
      <c r="CM29" s="451"/>
      <c r="CN29" s="451"/>
      <c r="CO29" s="451"/>
      <c r="CP29" s="451"/>
      <c r="CQ29" s="452"/>
      <c r="CR29" s="451"/>
      <c r="CS29" s="451"/>
      <c r="CT29" s="451"/>
      <c r="CU29" s="451"/>
      <c r="CV29" s="452"/>
      <c r="CW29" s="451"/>
      <c r="CX29" s="451"/>
      <c r="CY29" s="451"/>
      <c r="CZ29" s="451"/>
      <c r="DA29" s="452"/>
      <c r="DB29" s="451"/>
      <c r="DC29" s="451"/>
      <c r="DD29" s="451"/>
      <c r="DE29" s="451"/>
      <c r="DF29" s="452"/>
      <c r="DG29" s="451"/>
      <c r="DH29" s="451"/>
      <c r="DI29" s="451"/>
      <c r="DJ29" s="451"/>
      <c r="DK29" s="452"/>
      <c r="DL29" s="451"/>
      <c r="DM29" s="451"/>
      <c r="DN29" s="451"/>
      <c r="DO29" s="451"/>
      <c r="DP29" s="452"/>
      <c r="DQ29" s="451"/>
      <c r="DR29" s="451"/>
      <c r="DS29" s="451"/>
      <c r="DT29" s="451"/>
      <c r="DU29" s="452"/>
      <c r="DV29" s="451"/>
      <c r="DW29" s="451"/>
      <c r="DX29" s="451"/>
      <c r="DY29" s="451"/>
      <c r="DZ29" s="452"/>
      <c r="EA29" s="451"/>
      <c r="EB29" s="451"/>
      <c r="EC29" s="451"/>
      <c r="ED29" s="451"/>
      <c r="EE29" s="452"/>
      <c r="EF29" s="451"/>
      <c r="EG29" s="451"/>
      <c r="EH29" s="451"/>
      <c r="EI29" s="451"/>
      <c r="EJ29" s="452"/>
      <c r="EK29" s="451"/>
      <c r="EL29" s="451"/>
      <c r="EO29" s="13"/>
      <c r="EP29" s="14"/>
      <c r="EQ29" s="14"/>
    </row>
    <row r="30" spans="4:147" s="14" customFormat="1" x14ac:dyDescent="0.2">
      <c r="D30" s="93" t="s">
        <v>428</v>
      </c>
      <c r="E30" s="180"/>
      <c r="G30" s="446">
        <f>SUM(G31:G33)</f>
        <v>0</v>
      </c>
      <c r="H30" s="446"/>
      <c r="I30" s="446"/>
      <c r="J30" s="447"/>
      <c r="K30" s="446"/>
      <c r="L30" s="446">
        <f>SUM(L31:L33)</f>
        <v>0</v>
      </c>
      <c r="M30" s="446"/>
      <c r="N30" s="446"/>
      <c r="O30" s="447"/>
      <c r="P30" s="446"/>
      <c r="Q30" s="446">
        <f>SUM(Q31:Q33)</f>
        <v>0</v>
      </c>
      <c r="R30" s="446"/>
      <c r="S30" s="446"/>
      <c r="T30" s="447"/>
      <c r="U30" s="446"/>
      <c r="V30" s="446">
        <f>SUM(V31:V33)</f>
        <v>0</v>
      </c>
      <c r="W30" s="446"/>
      <c r="X30" s="446"/>
      <c r="Y30" s="447"/>
      <c r="Z30" s="446"/>
      <c r="AA30" s="446">
        <f>SUM(AA31:AA33)</f>
        <v>0</v>
      </c>
      <c r="AB30" s="446"/>
      <c r="AC30" s="446"/>
      <c r="AD30" s="447"/>
      <c r="AE30" s="446"/>
      <c r="AF30" s="446">
        <f>SUM(AF31:AF33)</f>
        <v>0</v>
      </c>
      <c r="AG30" s="446"/>
      <c r="AH30" s="446"/>
      <c r="AI30" s="447"/>
      <c r="AJ30" s="446"/>
      <c r="AK30" s="446">
        <f>SUM(AK31:AK33)</f>
        <v>0</v>
      </c>
      <c r="AL30" s="446"/>
      <c r="AM30" s="446"/>
      <c r="AN30" s="447"/>
      <c r="AO30" s="446"/>
      <c r="AP30" s="446">
        <f>SUM(AP31:AP33)</f>
        <v>0</v>
      </c>
      <c r="AQ30" s="446"/>
      <c r="AR30" s="446"/>
      <c r="AS30" s="447"/>
      <c r="AT30" s="446"/>
      <c r="AU30" s="446">
        <f>SUM(AU31:AU33)</f>
        <v>0</v>
      </c>
      <c r="AV30" s="446"/>
      <c r="AW30" s="446"/>
      <c r="AX30" s="447"/>
      <c r="AY30" s="446"/>
      <c r="AZ30" s="446">
        <f>SUM(AZ31:AZ33)</f>
        <v>0</v>
      </c>
      <c r="BA30" s="446"/>
      <c r="BB30" s="446"/>
      <c r="BC30" s="447"/>
      <c r="BD30" s="446"/>
      <c r="BE30" s="446">
        <f>SUM(BE31:BE33)</f>
        <v>0</v>
      </c>
      <c r="BF30" s="446"/>
      <c r="BG30" s="446"/>
      <c r="BH30" s="447"/>
      <c r="BI30" s="446"/>
      <c r="BJ30" s="446">
        <f>SUM(BJ31:BJ33)</f>
        <v>0</v>
      </c>
      <c r="BK30" s="446"/>
      <c r="BL30" s="446"/>
      <c r="BM30" s="447"/>
      <c r="BN30" s="446"/>
      <c r="BO30" s="446">
        <f>SUM(BO31:BO33)</f>
        <v>0</v>
      </c>
      <c r="BP30" s="446"/>
      <c r="BQ30" s="446"/>
      <c r="BR30" s="447"/>
      <c r="BS30" s="1"/>
      <c r="BT30" s="446">
        <f>SUM(BT31:BT33)</f>
        <v>0</v>
      </c>
      <c r="BU30" s="451"/>
      <c r="BV30" s="446"/>
      <c r="BW30" s="447"/>
      <c r="BX30" s="446"/>
      <c r="BY30" s="446">
        <f>SUM(BY31:BY33)</f>
        <v>12795000</v>
      </c>
      <c r="BZ30" s="446"/>
      <c r="CA30" s="446"/>
      <c r="CB30" s="447"/>
      <c r="CC30" s="446"/>
      <c r="CD30" s="446">
        <f>SUM(CD31:CD33)</f>
        <v>0</v>
      </c>
      <c r="CE30" s="446"/>
      <c r="CF30" s="446"/>
      <c r="CG30" s="447"/>
      <c r="CH30" s="446"/>
      <c r="CI30" s="446">
        <f>SUM(CI31:CI33)</f>
        <v>12795000</v>
      </c>
      <c r="CJ30" s="446"/>
      <c r="CK30" s="446"/>
      <c r="CL30" s="447"/>
      <c r="CM30" s="446"/>
      <c r="CN30" s="446">
        <f>SUM(CN31:CN33)</f>
        <v>0</v>
      </c>
      <c r="CO30" s="446"/>
      <c r="CP30" s="446"/>
      <c r="CQ30" s="447"/>
      <c r="CR30" s="446"/>
      <c r="CS30" s="446">
        <f>SUM(CS31:CS33)</f>
        <v>0</v>
      </c>
      <c r="CT30" s="446"/>
      <c r="CU30" s="446"/>
      <c r="CV30" s="447"/>
      <c r="CW30" s="446"/>
      <c r="CX30" s="446">
        <f>SUM(CX31:CX33)</f>
        <v>0</v>
      </c>
      <c r="CY30" s="446"/>
      <c r="CZ30" s="446"/>
      <c r="DA30" s="447"/>
      <c r="DB30" s="446"/>
      <c r="DC30" s="446">
        <f>SUM(DC31:DC33)</f>
        <v>0</v>
      </c>
      <c r="DD30" s="446"/>
      <c r="DE30" s="446"/>
      <c r="DF30" s="447"/>
      <c r="DG30" s="446"/>
      <c r="DH30" s="446">
        <f>SUM(DH31:DH33)</f>
        <v>0</v>
      </c>
      <c r="DI30" s="446"/>
      <c r="DJ30" s="446"/>
      <c r="DK30" s="447"/>
      <c r="DL30" s="446"/>
      <c r="DM30" s="446">
        <f>SUM(DM31:DM33)</f>
        <v>0</v>
      </c>
      <c r="DN30" s="446"/>
      <c r="DO30" s="446"/>
      <c r="DP30" s="447"/>
      <c r="DQ30" s="446"/>
      <c r="DR30" s="446">
        <f>SUM(DR31:DR33)</f>
        <v>0</v>
      </c>
      <c r="DS30" s="446"/>
      <c r="DT30" s="446"/>
      <c r="DU30" s="447"/>
      <c r="DV30" s="446"/>
      <c r="DW30" s="446">
        <f>SUM(DW31:DW33)</f>
        <v>0</v>
      </c>
      <c r="DX30" s="446"/>
      <c r="DY30" s="446"/>
      <c r="DZ30" s="447"/>
      <c r="EA30" s="446"/>
      <c r="EB30" s="446">
        <f>SUM(EB31:EB33)</f>
        <v>0</v>
      </c>
      <c r="EC30" s="446"/>
      <c r="ED30" s="446"/>
      <c r="EE30" s="447"/>
      <c r="EF30" s="446"/>
      <c r="EG30" s="446">
        <f>SUM(EG31:EG33)</f>
        <v>0</v>
      </c>
      <c r="EH30" s="446"/>
      <c r="EI30" s="446"/>
      <c r="EJ30" s="447"/>
      <c r="EK30" s="446"/>
      <c r="EL30" s="446">
        <f>SUM(EL31:EL33)</f>
        <v>12795000</v>
      </c>
      <c r="EO30" s="93"/>
    </row>
    <row r="31" spans="4:147" x14ac:dyDescent="0.2">
      <c r="D31" s="13" t="s">
        <v>347</v>
      </c>
      <c r="E31" s="198"/>
      <c r="F31" s="374"/>
      <c r="G31" s="449">
        <f>G36+G41+G51+G61+G46+G56</f>
        <v>0</v>
      </c>
      <c r="H31" s="450"/>
      <c r="I31" s="451"/>
      <c r="J31" s="452"/>
      <c r="K31" s="453"/>
      <c r="L31" s="449">
        <v>0</v>
      </c>
      <c r="M31" s="450"/>
      <c r="N31" s="451"/>
      <c r="O31" s="452"/>
      <c r="P31" s="453"/>
      <c r="Q31" s="449">
        <f>Q36+Q41+Q51+Q61+Q46+Q56</f>
        <v>0</v>
      </c>
      <c r="R31" s="450"/>
      <c r="S31" s="451"/>
      <c r="T31" s="462"/>
      <c r="U31" s="453"/>
      <c r="V31" s="449">
        <v>0</v>
      </c>
      <c r="W31" s="450"/>
      <c r="X31" s="451"/>
      <c r="Y31" s="452"/>
      <c r="Z31" s="453"/>
      <c r="AA31" s="449">
        <v>0</v>
      </c>
      <c r="AB31" s="450"/>
      <c r="AC31" s="451"/>
      <c r="AD31" s="452"/>
      <c r="AE31" s="453"/>
      <c r="AF31" s="449">
        <v>0</v>
      </c>
      <c r="AG31" s="450"/>
      <c r="AH31" s="451"/>
      <c r="AI31" s="452"/>
      <c r="AJ31" s="453"/>
      <c r="AK31" s="449">
        <v>0</v>
      </c>
      <c r="AL31" s="450"/>
      <c r="AM31" s="451"/>
      <c r="AN31" s="452"/>
      <c r="AO31" s="453"/>
      <c r="AP31" s="449">
        <v>0</v>
      </c>
      <c r="AQ31" s="450"/>
      <c r="AR31" s="451"/>
      <c r="AS31" s="452"/>
      <c r="AT31" s="453"/>
      <c r="AU31" s="449">
        <v>0</v>
      </c>
      <c r="AV31" s="450"/>
      <c r="AW31" s="451"/>
      <c r="AX31" s="452"/>
      <c r="AY31" s="453"/>
      <c r="AZ31" s="449">
        <v>0</v>
      </c>
      <c r="BA31" s="450"/>
      <c r="BB31" s="451"/>
      <c r="BC31" s="452"/>
      <c r="BD31" s="453"/>
      <c r="BE31" s="449">
        <v>0</v>
      </c>
      <c r="BF31" s="450"/>
      <c r="BG31" s="451"/>
      <c r="BH31" s="452"/>
      <c r="BI31" s="453"/>
      <c r="BJ31" s="449">
        <v>0</v>
      </c>
      <c r="BK31" s="450"/>
      <c r="BL31" s="451"/>
      <c r="BM31" s="452"/>
      <c r="BN31" s="453"/>
      <c r="BO31" s="449">
        <v>0</v>
      </c>
      <c r="BP31" s="450"/>
      <c r="BQ31" s="451"/>
      <c r="BR31" s="452"/>
      <c r="BS31" s="374"/>
      <c r="BT31" s="449">
        <f>BT36+BT41+BT51+BT61+BT46+BT56</f>
        <v>0</v>
      </c>
      <c r="BU31" s="450"/>
      <c r="BV31" s="451"/>
      <c r="BW31" s="452"/>
      <c r="BX31" s="453"/>
      <c r="BY31" s="449">
        <f>BY36+BY41+BY51+BY61+BY46+BY56</f>
        <v>12795000</v>
      </c>
      <c r="BZ31" s="450"/>
      <c r="CA31" s="451"/>
      <c r="CB31" s="452"/>
      <c r="CC31" s="453"/>
      <c r="CD31" s="449">
        <v>0</v>
      </c>
      <c r="CE31" s="450"/>
      <c r="CF31" s="451"/>
      <c r="CG31" s="452"/>
      <c r="CH31" s="453"/>
      <c r="CI31" s="449">
        <f>CI36+CI41+CI51+CI61+CI46+CI56</f>
        <v>12795000</v>
      </c>
      <c r="CJ31" s="450"/>
      <c r="CK31" s="451"/>
      <c r="CL31" s="462"/>
      <c r="CM31" s="453"/>
      <c r="CN31" s="449">
        <v>0</v>
      </c>
      <c r="CO31" s="450"/>
      <c r="CP31" s="451"/>
      <c r="CQ31" s="452"/>
      <c r="CR31" s="453"/>
      <c r="CS31" s="449">
        <v>0</v>
      </c>
      <c r="CT31" s="450"/>
      <c r="CU31" s="451"/>
      <c r="CV31" s="452"/>
      <c r="CW31" s="453"/>
      <c r="CX31" s="449">
        <v>0</v>
      </c>
      <c r="CY31" s="450"/>
      <c r="CZ31" s="451"/>
      <c r="DA31" s="452"/>
      <c r="DB31" s="453"/>
      <c r="DC31" s="449">
        <v>0</v>
      </c>
      <c r="DD31" s="450"/>
      <c r="DE31" s="451"/>
      <c r="DF31" s="452"/>
      <c r="DG31" s="453"/>
      <c r="DH31" s="449">
        <v>0</v>
      </c>
      <c r="DI31" s="450"/>
      <c r="DJ31" s="451"/>
      <c r="DK31" s="452"/>
      <c r="DL31" s="453"/>
      <c r="DM31" s="449">
        <v>0</v>
      </c>
      <c r="DN31" s="450"/>
      <c r="DO31" s="451"/>
      <c r="DP31" s="452"/>
      <c r="DQ31" s="453"/>
      <c r="DR31" s="449">
        <v>0</v>
      </c>
      <c r="DS31" s="450"/>
      <c r="DT31" s="451"/>
      <c r="DU31" s="452"/>
      <c r="DV31" s="453"/>
      <c r="DW31" s="449">
        <v>0</v>
      </c>
      <c r="DX31" s="450"/>
      <c r="DY31" s="451"/>
      <c r="DZ31" s="452"/>
      <c r="EA31" s="453"/>
      <c r="EB31" s="449">
        <v>0</v>
      </c>
      <c r="EC31" s="450"/>
      <c r="ED31" s="451"/>
      <c r="EE31" s="452"/>
      <c r="EF31" s="453"/>
      <c r="EG31" s="449">
        <v>0</v>
      </c>
      <c r="EH31" s="450"/>
      <c r="EI31" s="451"/>
      <c r="EJ31" s="452"/>
      <c r="EK31" s="453"/>
      <c r="EL31" s="449">
        <f>EL36+EL41+EL51+EL61+EL46+EL56</f>
        <v>12795000</v>
      </c>
      <c r="EM31" s="375"/>
      <c r="EO31" s="13"/>
      <c r="EP31" s="14"/>
      <c r="EQ31" s="14"/>
    </row>
    <row r="32" spans="4:147" x14ac:dyDescent="0.2">
      <c r="D32" s="13" t="s">
        <v>429</v>
      </c>
      <c r="E32" s="198"/>
      <c r="F32" s="198"/>
      <c r="G32" s="451">
        <v>0</v>
      </c>
      <c r="H32" s="455"/>
      <c r="I32" s="451"/>
      <c r="J32" s="452"/>
      <c r="K32" s="452"/>
      <c r="L32" s="451">
        <v>0</v>
      </c>
      <c r="M32" s="455"/>
      <c r="N32" s="451"/>
      <c r="O32" s="452"/>
      <c r="P32" s="452"/>
      <c r="Q32" s="451">
        <v>0</v>
      </c>
      <c r="R32" s="455"/>
      <c r="S32" s="451"/>
      <c r="T32" s="462"/>
      <c r="U32" s="452"/>
      <c r="V32" s="451">
        <v>0</v>
      </c>
      <c r="W32" s="455"/>
      <c r="X32" s="451"/>
      <c r="Y32" s="452"/>
      <c r="Z32" s="452"/>
      <c r="AA32" s="451">
        <v>0</v>
      </c>
      <c r="AB32" s="455"/>
      <c r="AC32" s="451"/>
      <c r="AD32" s="452"/>
      <c r="AE32" s="452"/>
      <c r="AF32" s="451">
        <v>0</v>
      </c>
      <c r="AG32" s="455"/>
      <c r="AH32" s="451"/>
      <c r="AI32" s="452"/>
      <c r="AJ32" s="452"/>
      <c r="AK32" s="451">
        <v>0</v>
      </c>
      <c r="AL32" s="455"/>
      <c r="AM32" s="451"/>
      <c r="AN32" s="452"/>
      <c r="AO32" s="452"/>
      <c r="AP32" s="451">
        <v>0</v>
      </c>
      <c r="AQ32" s="455"/>
      <c r="AR32" s="451"/>
      <c r="AS32" s="452"/>
      <c r="AT32" s="452"/>
      <c r="AU32" s="451">
        <v>0</v>
      </c>
      <c r="AV32" s="455"/>
      <c r="AW32" s="451"/>
      <c r="AX32" s="452"/>
      <c r="AY32" s="452"/>
      <c r="AZ32" s="451">
        <v>0</v>
      </c>
      <c r="BA32" s="455"/>
      <c r="BB32" s="451"/>
      <c r="BC32" s="452"/>
      <c r="BD32" s="452"/>
      <c r="BE32" s="451">
        <v>0</v>
      </c>
      <c r="BF32" s="455"/>
      <c r="BG32" s="451"/>
      <c r="BH32" s="452"/>
      <c r="BI32" s="452"/>
      <c r="BJ32" s="451">
        <v>0</v>
      </c>
      <c r="BK32" s="455"/>
      <c r="BL32" s="451"/>
      <c r="BM32" s="452"/>
      <c r="BN32" s="452"/>
      <c r="BO32" s="451">
        <v>0</v>
      </c>
      <c r="BP32" s="455"/>
      <c r="BQ32" s="451"/>
      <c r="BR32" s="452"/>
      <c r="BS32" s="198"/>
      <c r="BT32" s="451">
        <f>BT37+BT42+BT52+BT62+BT47+BT57</f>
        <v>0</v>
      </c>
      <c r="BU32" s="455"/>
      <c r="BV32" s="451"/>
      <c r="BW32" s="452"/>
      <c r="BX32" s="452"/>
      <c r="BY32" s="451">
        <f>BY37+BY42+BY52+BY62+BY47+BY57</f>
        <v>0</v>
      </c>
      <c r="BZ32" s="455"/>
      <c r="CA32" s="451"/>
      <c r="CB32" s="452"/>
      <c r="CC32" s="452"/>
      <c r="CD32" s="451">
        <v>0</v>
      </c>
      <c r="CE32" s="455"/>
      <c r="CF32" s="451"/>
      <c r="CG32" s="452"/>
      <c r="CH32" s="452"/>
      <c r="CI32" s="451">
        <v>0</v>
      </c>
      <c r="CJ32" s="455"/>
      <c r="CK32" s="451"/>
      <c r="CL32" s="462"/>
      <c r="CM32" s="452"/>
      <c r="CN32" s="451">
        <v>0</v>
      </c>
      <c r="CO32" s="455"/>
      <c r="CP32" s="451"/>
      <c r="CQ32" s="452"/>
      <c r="CR32" s="452"/>
      <c r="CS32" s="451">
        <v>0</v>
      </c>
      <c r="CT32" s="455"/>
      <c r="CU32" s="451"/>
      <c r="CV32" s="452"/>
      <c r="CW32" s="452"/>
      <c r="CX32" s="451">
        <v>0</v>
      </c>
      <c r="CY32" s="455"/>
      <c r="CZ32" s="451"/>
      <c r="DA32" s="452"/>
      <c r="DB32" s="452"/>
      <c r="DC32" s="451">
        <v>0</v>
      </c>
      <c r="DD32" s="455"/>
      <c r="DE32" s="451"/>
      <c r="DF32" s="452"/>
      <c r="DG32" s="452"/>
      <c r="DH32" s="451">
        <v>0</v>
      </c>
      <c r="DI32" s="455"/>
      <c r="DJ32" s="451"/>
      <c r="DK32" s="452"/>
      <c r="DL32" s="452"/>
      <c r="DM32" s="451">
        <v>0</v>
      </c>
      <c r="DN32" s="455"/>
      <c r="DO32" s="451"/>
      <c r="DP32" s="452"/>
      <c r="DQ32" s="452"/>
      <c r="DR32" s="451">
        <v>0</v>
      </c>
      <c r="DS32" s="455"/>
      <c r="DT32" s="451"/>
      <c r="DU32" s="452"/>
      <c r="DV32" s="452"/>
      <c r="DW32" s="451">
        <v>0</v>
      </c>
      <c r="DX32" s="455"/>
      <c r="DY32" s="451"/>
      <c r="DZ32" s="452"/>
      <c r="EA32" s="452"/>
      <c r="EB32" s="451">
        <v>0</v>
      </c>
      <c r="EC32" s="455"/>
      <c r="ED32" s="451"/>
      <c r="EE32" s="452"/>
      <c r="EF32" s="452"/>
      <c r="EG32" s="451">
        <v>0</v>
      </c>
      <c r="EH32" s="455"/>
      <c r="EI32" s="451"/>
      <c r="EJ32" s="452"/>
      <c r="EK32" s="452"/>
      <c r="EL32" s="451">
        <f>EL37+EL42+EL52+EL62+EL47+EL57</f>
        <v>0</v>
      </c>
      <c r="EM32" s="189"/>
      <c r="EO32" s="13"/>
      <c r="EP32" s="14"/>
      <c r="EQ32" s="14"/>
    </row>
    <row r="33" spans="4:147" x14ac:dyDescent="0.2">
      <c r="D33" s="13" t="s">
        <v>430</v>
      </c>
      <c r="E33" s="198"/>
      <c r="F33" s="385"/>
      <c r="G33" s="463">
        <v>0</v>
      </c>
      <c r="H33" s="464"/>
      <c r="I33" s="451"/>
      <c r="J33" s="452"/>
      <c r="K33" s="465"/>
      <c r="L33" s="463">
        <v>0</v>
      </c>
      <c r="M33" s="464"/>
      <c r="N33" s="451"/>
      <c r="O33" s="452"/>
      <c r="P33" s="465"/>
      <c r="Q33" s="463">
        <v>0</v>
      </c>
      <c r="R33" s="464"/>
      <c r="S33" s="451"/>
      <c r="T33" s="462"/>
      <c r="U33" s="465"/>
      <c r="V33" s="463">
        <v>0</v>
      </c>
      <c r="W33" s="464"/>
      <c r="X33" s="451"/>
      <c r="Y33" s="452"/>
      <c r="Z33" s="465"/>
      <c r="AA33" s="463">
        <v>0</v>
      </c>
      <c r="AB33" s="464"/>
      <c r="AC33" s="451"/>
      <c r="AD33" s="452"/>
      <c r="AE33" s="465"/>
      <c r="AF33" s="463">
        <v>0</v>
      </c>
      <c r="AG33" s="464"/>
      <c r="AH33" s="451"/>
      <c r="AI33" s="452"/>
      <c r="AJ33" s="465"/>
      <c r="AK33" s="463">
        <v>0</v>
      </c>
      <c r="AL33" s="464"/>
      <c r="AM33" s="451"/>
      <c r="AN33" s="452"/>
      <c r="AO33" s="465"/>
      <c r="AP33" s="463">
        <v>0</v>
      </c>
      <c r="AQ33" s="464"/>
      <c r="AR33" s="451"/>
      <c r="AS33" s="452"/>
      <c r="AT33" s="465"/>
      <c r="AU33" s="463">
        <v>0</v>
      </c>
      <c r="AV33" s="464"/>
      <c r="AW33" s="451"/>
      <c r="AX33" s="452"/>
      <c r="AY33" s="465"/>
      <c r="AZ33" s="463">
        <v>0</v>
      </c>
      <c r="BA33" s="464"/>
      <c r="BB33" s="451"/>
      <c r="BC33" s="452"/>
      <c r="BD33" s="465"/>
      <c r="BE33" s="463">
        <v>0</v>
      </c>
      <c r="BF33" s="464"/>
      <c r="BG33" s="451"/>
      <c r="BH33" s="452"/>
      <c r="BI33" s="465"/>
      <c r="BJ33" s="463">
        <v>0</v>
      </c>
      <c r="BK33" s="464"/>
      <c r="BL33" s="451"/>
      <c r="BM33" s="452"/>
      <c r="BN33" s="465"/>
      <c r="BO33" s="463">
        <v>0</v>
      </c>
      <c r="BP33" s="464"/>
      <c r="BQ33" s="451"/>
      <c r="BR33" s="452"/>
      <c r="BS33" s="385"/>
      <c r="BT33" s="463">
        <f>BT38+BT43+BT53+BT63+BT48+BT58</f>
        <v>0</v>
      </c>
      <c r="BU33" s="464"/>
      <c r="BV33" s="451"/>
      <c r="BW33" s="452"/>
      <c r="BX33" s="465"/>
      <c r="BY33" s="463">
        <f>BY38+BY43+BY53+BY63+BY48+BY58</f>
        <v>0</v>
      </c>
      <c r="BZ33" s="464"/>
      <c r="CA33" s="451"/>
      <c r="CB33" s="452"/>
      <c r="CC33" s="465"/>
      <c r="CD33" s="463">
        <v>0</v>
      </c>
      <c r="CE33" s="464"/>
      <c r="CF33" s="451"/>
      <c r="CG33" s="452"/>
      <c r="CH33" s="465"/>
      <c r="CI33" s="463">
        <v>0</v>
      </c>
      <c r="CJ33" s="464"/>
      <c r="CK33" s="451"/>
      <c r="CL33" s="462"/>
      <c r="CM33" s="465"/>
      <c r="CN33" s="463">
        <v>0</v>
      </c>
      <c r="CO33" s="464"/>
      <c r="CP33" s="451"/>
      <c r="CQ33" s="452"/>
      <c r="CR33" s="465"/>
      <c r="CS33" s="463">
        <v>0</v>
      </c>
      <c r="CT33" s="464"/>
      <c r="CU33" s="451"/>
      <c r="CV33" s="452"/>
      <c r="CW33" s="465"/>
      <c r="CX33" s="463">
        <v>0</v>
      </c>
      <c r="CY33" s="464"/>
      <c r="CZ33" s="451"/>
      <c r="DA33" s="452"/>
      <c r="DB33" s="465"/>
      <c r="DC33" s="463">
        <v>0</v>
      </c>
      <c r="DD33" s="464"/>
      <c r="DE33" s="451"/>
      <c r="DF33" s="452"/>
      <c r="DG33" s="465"/>
      <c r="DH33" s="463">
        <v>0</v>
      </c>
      <c r="DI33" s="464"/>
      <c r="DJ33" s="451"/>
      <c r="DK33" s="452"/>
      <c r="DL33" s="465"/>
      <c r="DM33" s="463">
        <v>0</v>
      </c>
      <c r="DN33" s="464"/>
      <c r="DO33" s="451"/>
      <c r="DP33" s="452"/>
      <c r="DQ33" s="465"/>
      <c r="DR33" s="463">
        <v>0</v>
      </c>
      <c r="DS33" s="464"/>
      <c r="DT33" s="451"/>
      <c r="DU33" s="452"/>
      <c r="DV33" s="465"/>
      <c r="DW33" s="463">
        <v>0</v>
      </c>
      <c r="DX33" s="464"/>
      <c r="DY33" s="451"/>
      <c r="DZ33" s="452"/>
      <c r="EA33" s="465"/>
      <c r="EB33" s="463">
        <v>0</v>
      </c>
      <c r="EC33" s="464"/>
      <c r="ED33" s="451"/>
      <c r="EE33" s="452"/>
      <c r="EF33" s="465"/>
      <c r="EG33" s="463">
        <v>0</v>
      </c>
      <c r="EH33" s="464"/>
      <c r="EI33" s="451"/>
      <c r="EJ33" s="452"/>
      <c r="EK33" s="465"/>
      <c r="EL33" s="463">
        <f>EL38+EL43+EL53+EL63+EL48+EL58</f>
        <v>0</v>
      </c>
      <c r="EM33" s="212"/>
      <c r="EO33" s="13"/>
      <c r="EP33" s="14"/>
      <c r="EQ33" s="14"/>
    </row>
    <row r="34" spans="4:147" ht="12.75" customHeight="1" x14ac:dyDescent="0.2">
      <c r="D34" s="13"/>
      <c r="E34" s="198"/>
      <c r="G34" s="451"/>
      <c r="H34" s="451"/>
      <c r="I34" s="451"/>
      <c r="J34" s="452"/>
      <c r="K34" s="451"/>
      <c r="L34" s="451"/>
      <c r="M34" s="451"/>
      <c r="N34" s="451"/>
      <c r="O34" s="452"/>
      <c r="P34" s="451"/>
      <c r="Q34" s="451"/>
      <c r="R34" s="451"/>
      <c r="S34" s="451"/>
      <c r="T34" s="452"/>
      <c r="U34" s="451"/>
      <c r="V34" s="451"/>
      <c r="W34" s="451"/>
      <c r="X34" s="451"/>
      <c r="Y34" s="452"/>
      <c r="Z34" s="451"/>
      <c r="AA34" s="451"/>
      <c r="AB34" s="451"/>
      <c r="AC34" s="451"/>
      <c r="AD34" s="452"/>
      <c r="AE34" s="451"/>
      <c r="AF34" s="451"/>
      <c r="AG34" s="451"/>
      <c r="AH34" s="451"/>
      <c r="AI34" s="452"/>
      <c r="AJ34" s="451"/>
      <c r="AK34" s="451"/>
      <c r="AL34" s="451"/>
      <c r="AM34" s="451"/>
      <c r="AN34" s="452"/>
      <c r="AO34" s="451"/>
      <c r="AP34" s="451"/>
      <c r="AQ34" s="451"/>
      <c r="AR34" s="451"/>
      <c r="AS34" s="452"/>
      <c r="AT34" s="451"/>
      <c r="AU34" s="451"/>
      <c r="AV34" s="451"/>
      <c r="AW34" s="451"/>
      <c r="AX34" s="452"/>
      <c r="AY34" s="451"/>
      <c r="AZ34" s="451"/>
      <c r="BA34" s="451"/>
      <c r="BB34" s="451"/>
      <c r="BC34" s="452"/>
      <c r="BD34" s="451"/>
      <c r="BE34" s="451"/>
      <c r="BF34" s="451"/>
      <c r="BG34" s="451"/>
      <c r="BH34" s="452"/>
      <c r="BI34" s="451"/>
      <c r="BJ34" s="451"/>
      <c r="BK34" s="451"/>
      <c r="BL34" s="451"/>
      <c r="BM34" s="452"/>
      <c r="BN34" s="451"/>
      <c r="BO34" s="451"/>
      <c r="BP34" s="451"/>
      <c r="BQ34" s="451"/>
      <c r="BR34" s="452"/>
      <c r="BS34" s="451"/>
      <c r="BT34" s="451"/>
      <c r="BU34" s="451"/>
      <c r="BV34" s="451"/>
      <c r="BW34" s="452"/>
      <c r="BX34" s="451"/>
      <c r="BY34" s="451"/>
      <c r="BZ34" s="451"/>
      <c r="CA34" s="451"/>
      <c r="CB34" s="452"/>
      <c r="CC34" s="451"/>
      <c r="CD34" s="451"/>
      <c r="CE34" s="451"/>
      <c r="CF34" s="451"/>
      <c r="CG34" s="452"/>
      <c r="CH34" s="451"/>
      <c r="CI34" s="451"/>
      <c r="CJ34" s="451"/>
      <c r="CK34" s="451"/>
      <c r="CL34" s="452"/>
      <c r="CM34" s="451"/>
      <c r="CN34" s="451"/>
      <c r="CO34" s="451"/>
      <c r="CP34" s="451"/>
      <c r="CQ34" s="452"/>
      <c r="CR34" s="451"/>
      <c r="CS34" s="451"/>
      <c r="CT34" s="451"/>
      <c r="CU34" s="451"/>
      <c r="CV34" s="452"/>
      <c r="CW34" s="451"/>
      <c r="CX34" s="451"/>
      <c r="CY34" s="451"/>
      <c r="CZ34" s="451"/>
      <c r="DA34" s="452"/>
      <c r="DB34" s="451"/>
      <c r="DC34" s="451"/>
      <c r="DD34" s="451"/>
      <c r="DE34" s="451"/>
      <c r="DF34" s="452"/>
      <c r="DG34" s="451"/>
      <c r="DH34" s="451"/>
      <c r="DI34" s="451"/>
      <c r="DJ34" s="451"/>
      <c r="DK34" s="452"/>
      <c r="DL34" s="451"/>
      <c r="DM34" s="451"/>
      <c r="DN34" s="451"/>
      <c r="DO34" s="451"/>
      <c r="DP34" s="452"/>
      <c r="DQ34" s="451"/>
      <c r="DR34" s="451"/>
      <c r="DS34" s="451"/>
      <c r="DT34" s="451"/>
      <c r="DU34" s="452"/>
      <c r="DV34" s="451"/>
      <c r="DW34" s="451"/>
      <c r="DX34" s="451"/>
      <c r="DY34" s="451"/>
      <c r="DZ34" s="452"/>
      <c r="EA34" s="451"/>
      <c r="EB34" s="451"/>
      <c r="EC34" s="451"/>
      <c r="ED34" s="451"/>
      <c r="EE34" s="452"/>
      <c r="EF34" s="451"/>
      <c r="EG34" s="451"/>
      <c r="EH34" s="451"/>
      <c r="EI34" s="451"/>
      <c r="EJ34" s="452"/>
      <c r="EK34" s="451"/>
      <c r="EL34" s="451"/>
      <c r="EO34" s="13"/>
      <c r="EP34" s="14"/>
      <c r="EQ34" s="14"/>
    </row>
    <row r="35" spans="4:147" ht="12.75" hidden="1" customHeight="1" x14ac:dyDescent="0.2">
      <c r="D35" s="13" t="s">
        <v>431</v>
      </c>
      <c r="E35" s="198"/>
      <c r="G35" s="451">
        <v>0</v>
      </c>
      <c r="H35" s="451"/>
      <c r="I35" s="451"/>
      <c r="J35" s="452"/>
      <c r="L35" s="451">
        <f>SUM(L36:L38)</f>
        <v>0</v>
      </c>
      <c r="M35" s="451"/>
      <c r="N35" s="451"/>
      <c r="O35" s="452"/>
      <c r="Q35" s="451">
        <f>SUM(Q36:Q38)</f>
        <v>0</v>
      </c>
      <c r="R35" s="451"/>
      <c r="S35" s="451"/>
      <c r="T35" s="452"/>
      <c r="V35" s="451">
        <f>SUM(V36:V38)</f>
        <v>0</v>
      </c>
      <c r="W35" s="451"/>
      <c r="X35" s="451"/>
      <c r="Y35" s="452"/>
      <c r="AA35" s="451">
        <f>SUM(AA36:AA38)</f>
        <v>0</v>
      </c>
      <c r="AB35" s="451"/>
      <c r="AC35" s="451"/>
      <c r="AD35" s="452"/>
      <c r="AF35" s="451">
        <f>SUM(AF36:AF38)</f>
        <v>0</v>
      </c>
      <c r="AG35" s="451"/>
      <c r="AH35" s="451"/>
      <c r="AI35" s="452"/>
      <c r="AK35" s="451">
        <f>SUM(AK36:AK38)</f>
        <v>0</v>
      </c>
      <c r="AL35" s="451"/>
      <c r="AM35" s="451"/>
      <c r="AN35" s="452"/>
      <c r="AP35" s="451">
        <f>SUM(AP36:AP38)</f>
        <v>0</v>
      </c>
      <c r="AQ35" s="451"/>
      <c r="AR35" s="451"/>
      <c r="AS35" s="452"/>
      <c r="AU35" s="451">
        <f>SUM(AU36:AU38)</f>
        <v>0</v>
      </c>
      <c r="AV35" s="451"/>
      <c r="AW35" s="451"/>
      <c r="AX35" s="452"/>
      <c r="AZ35" s="451">
        <f>SUM(AZ36:AZ38)</f>
        <v>0</v>
      </c>
      <c r="BA35" s="451"/>
      <c r="BB35" s="451"/>
      <c r="BC35" s="452"/>
      <c r="BE35" s="451">
        <f>SUM(BE36:BE38)</f>
        <v>0</v>
      </c>
      <c r="BF35" s="451"/>
      <c r="BG35" s="451"/>
      <c r="BH35" s="452"/>
      <c r="BJ35" s="451">
        <f>SUM(BJ36:BJ38)</f>
        <v>0</v>
      </c>
      <c r="BK35" s="451"/>
      <c r="BL35" s="451"/>
      <c r="BM35" s="452"/>
      <c r="BO35" s="451">
        <f>SUM(BO36:BO38)</f>
        <v>0</v>
      </c>
      <c r="BP35" s="451"/>
      <c r="BQ35" s="451"/>
      <c r="BR35" s="452"/>
      <c r="BT35" s="463">
        <f>SUM(BT36:BT38)</f>
        <v>0</v>
      </c>
      <c r="BU35" s="451"/>
      <c r="BV35" s="451"/>
      <c r="BW35" s="452"/>
      <c r="BY35" s="451">
        <f>SUM(BY36:BY38)</f>
        <v>0</v>
      </c>
      <c r="BZ35" s="451"/>
      <c r="CA35" s="451"/>
      <c r="CB35" s="452"/>
      <c r="CD35" s="451">
        <f>SUM(CD36:CD38)</f>
        <v>0</v>
      </c>
      <c r="CE35" s="451"/>
      <c r="CF35" s="451"/>
      <c r="CG35" s="452"/>
      <c r="CI35" s="451">
        <f>SUM(CI36:CI38)</f>
        <v>0</v>
      </c>
      <c r="CJ35" s="451"/>
      <c r="CK35" s="451"/>
      <c r="CL35" s="452"/>
      <c r="CN35" s="451">
        <f>SUM(CN36:CN38)</f>
        <v>0</v>
      </c>
      <c r="CO35" s="451"/>
      <c r="CP35" s="451"/>
      <c r="CQ35" s="452"/>
      <c r="CS35" s="451">
        <f>SUM(CS36:CS38)</f>
        <v>0</v>
      </c>
      <c r="CT35" s="451"/>
      <c r="CU35" s="451"/>
      <c r="CV35" s="452"/>
      <c r="CX35" s="451">
        <f>SUM(CX36:CX38)</f>
        <v>0</v>
      </c>
      <c r="CY35" s="451"/>
      <c r="CZ35" s="451"/>
      <c r="DA35" s="452"/>
      <c r="DC35" s="451">
        <f>SUM(DC36:DC38)</f>
        <v>0</v>
      </c>
      <c r="DD35" s="451"/>
      <c r="DE35" s="451"/>
      <c r="DF35" s="452"/>
      <c r="DH35" s="451">
        <f>SUM(DH36:DH38)</f>
        <v>0</v>
      </c>
      <c r="DI35" s="451"/>
      <c r="DJ35" s="451"/>
      <c r="DK35" s="452"/>
      <c r="DM35" s="451">
        <f>SUM(DM36:DM38)</f>
        <v>0</v>
      </c>
      <c r="DN35" s="451"/>
      <c r="DO35" s="451"/>
      <c r="DP35" s="452"/>
      <c r="DR35" s="451">
        <f>SUM(DR36:DR38)</f>
        <v>0</v>
      </c>
      <c r="DS35" s="451"/>
      <c r="DT35" s="451"/>
      <c r="DU35" s="452"/>
      <c r="DW35" s="451">
        <f>SUM(DW36:DW38)</f>
        <v>0</v>
      </c>
      <c r="DX35" s="451"/>
      <c r="DY35" s="451"/>
      <c r="DZ35" s="452"/>
      <c r="EB35" s="451">
        <f>SUM(EB36:EB38)</f>
        <v>0</v>
      </c>
      <c r="EC35" s="451"/>
      <c r="ED35" s="451"/>
      <c r="EE35" s="452"/>
      <c r="EG35" s="451">
        <f>SUM(EG36:EG38)</f>
        <v>0</v>
      </c>
      <c r="EH35" s="451"/>
      <c r="EI35" s="451"/>
      <c r="EJ35" s="452"/>
      <c r="EL35" s="451">
        <f>SUM(EL36:EL38)</f>
        <v>0</v>
      </c>
      <c r="EM35" s="451"/>
      <c r="EO35" s="13"/>
      <c r="EP35" s="14"/>
      <c r="EQ35" s="14"/>
    </row>
    <row r="36" spans="4:147" ht="12.75" hidden="1" customHeight="1" x14ac:dyDescent="0.2">
      <c r="D36" s="13" t="s">
        <v>347</v>
      </c>
      <c r="E36" s="198"/>
      <c r="F36" s="374"/>
      <c r="G36" s="449">
        <v>0</v>
      </c>
      <c r="H36" s="450"/>
      <c r="I36" s="451"/>
      <c r="J36" s="452"/>
      <c r="K36" s="374"/>
      <c r="L36" s="449">
        <v>0</v>
      </c>
      <c r="M36" s="450"/>
      <c r="N36" s="451"/>
      <c r="O36" s="452"/>
      <c r="P36" s="374"/>
      <c r="Q36" s="449">
        <v>0</v>
      </c>
      <c r="R36" s="450"/>
      <c r="S36" s="451"/>
      <c r="T36" s="452"/>
      <c r="U36" s="374"/>
      <c r="V36" s="449">
        <v>0</v>
      </c>
      <c r="W36" s="450"/>
      <c r="X36" s="451"/>
      <c r="Y36" s="452"/>
      <c r="Z36" s="374"/>
      <c r="AA36" s="449">
        <v>0</v>
      </c>
      <c r="AB36" s="450"/>
      <c r="AC36" s="451"/>
      <c r="AD36" s="452"/>
      <c r="AE36" s="374"/>
      <c r="AF36" s="449">
        <v>0</v>
      </c>
      <c r="AG36" s="450"/>
      <c r="AH36" s="451"/>
      <c r="AI36" s="452"/>
      <c r="AJ36" s="374"/>
      <c r="AK36" s="449">
        <v>0</v>
      </c>
      <c r="AL36" s="450"/>
      <c r="AM36" s="451"/>
      <c r="AN36" s="452"/>
      <c r="AO36" s="374"/>
      <c r="AP36" s="449">
        <v>0</v>
      </c>
      <c r="AQ36" s="450"/>
      <c r="AR36" s="451"/>
      <c r="AS36" s="452"/>
      <c r="AT36" s="374"/>
      <c r="AU36" s="449">
        <v>0</v>
      </c>
      <c r="AV36" s="450"/>
      <c r="AW36" s="451"/>
      <c r="AX36" s="452"/>
      <c r="AY36" s="374"/>
      <c r="AZ36" s="449">
        <v>0</v>
      </c>
      <c r="BA36" s="450"/>
      <c r="BB36" s="451"/>
      <c r="BC36" s="452"/>
      <c r="BD36" s="374"/>
      <c r="BE36" s="449">
        <v>0</v>
      </c>
      <c r="BF36" s="450"/>
      <c r="BG36" s="451"/>
      <c r="BH36" s="452"/>
      <c r="BI36" s="374"/>
      <c r="BJ36" s="449">
        <v>0</v>
      </c>
      <c r="BK36" s="450"/>
      <c r="BL36" s="451"/>
      <c r="BM36" s="452"/>
      <c r="BN36" s="374"/>
      <c r="BO36" s="449">
        <v>0</v>
      </c>
      <c r="BP36" s="450"/>
      <c r="BQ36" s="451"/>
      <c r="BR36" s="452"/>
      <c r="BS36" s="374"/>
      <c r="BT36" s="451">
        <f>SUM(L36:BO36)</f>
        <v>0</v>
      </c>
      <c r="BU36" s="450"/>
      <c r="BV36" s="451"/>
      <c r="BW36" s="452"/>
      <c r="BX36" s="374"/>
      <c r="BY36" s="449">
        <f>SUM(Q36:BT36)</f>
        <v>0</v>
      </c>
      <c r="BZ36" s="450"/>
      <c r="CA36" s="451"/>
      <c r="CB36" s="452"/>
      <c r="CC36" s="374"/>
      <c r="CD36" s="449">
        <v>0</v>
      </c>
      <c r="CE36" s="450"/>
      <c r="CF36" s="451"/>
      <c r="CG36" s="452"/>
      <c r="CH36" s="374"/>
      <c r="CI36" s="449">
        <v>0</v>
      </c>
      <c r="CJ36" s="450"/>
      <c r="CK36" s="451"/>
      <c r="CL36" s="452"/>
      <c r="CM36" s="374"/>
      <c r="CN36" s="449">
        <v>0</v>
      </c>
      <c r="CO36" s="450"/>
      <c r="CP36" s="451"/>
      <c r="CQ36" s="452"/>
      <c r="CR36" s="374"/>
      <c r="CS36" s="449">
        <v>0</v>
      </c>
      <c r="CT36" s="450"/>
      <c r="CU36" s="451"/>
      <c r="CV36" s="452"/>
      <c r="CW36" s="374"/>
      <c r="CX36" s="449">
        <v>0</v>
      </c>
      <c r="CY36" s="450"/>
      <c r="CZ36" s="451"/>
      <c r="DA36" s="452"/>
      <c r="DB36" s="374"/>
      <c r="DC36" s="449">
        <v>0</v>
      </c>
      <c r="DD36" s="450"/>
      <c r="DE36" s="451"/>
      <c r="DF36" s="452"/>
      <c r="DG36" s="374"/>
      <c r="DH36" s="449">
        <v>0</v>
      </c>
      <c r="DI36" s="450"/>
      <c r="DJ36" s="451"/>
      <c r="DK36" s="452"/>
      <c r="DL36" s="374"/>
      <c r="DM36" s="449">
        <v>0</v>
      </c>
      <c r="DN36" s="450"/>
      <c r="DO36" s="451"/>
      <c r="DP36" s="452"/>
      <c r="DQ36" s="374"/>
      <c r="DR36" s="449">
        <v>0</v>
      </c>
      <c r="DS36" s="450"/>
      <c r="DT36" s="451"/>
      <c r="DU36" s="452"/>
      <c r="DV36" s="374"/>
      <c r="DW36" s="449">
        <v>0</v>
      </c>
      <c r="DX36" s="450"/>
      <c r="DY36" s="451"/>
      <c r="DZ36" s="452"/>
      <c r="EA36" s="374"/>
      <c r="EB36" s="449">
        <v>0</v>
      </c>
      <c r="EC36" s="450"/>
      <c r="ED36" s="451"/>
      <c r="EE36" s="452"/>
      <c r="EF36" s="374"/>
      <c r="EG36" s="449">
        <v>0</v>
      </c>
      <c r="EH36" s="450"/>
      <c r="EI36" s="451"/>
      <c r="EJ36" s="452"/>
      <c r="EK36" s="374"/>
      <c r="EL36" s="449">
        <f>SUM(CD36:EG36)</f>
        <v>0</v>
      </c>
      <c r="EM36" s="450">
        <f>SUM(CE36:CO36)</f>
        <v>0</v>
      </c>
      <c r="EO36" s="13"/>
      <c r="EP36" s="14"/>
      <c r="EQ36" s="14"/>
    </row>
    <row r="37" spans="4:147" ht="12.75" hidden="1" customHeight="1" x14ac:dyDescent="0.2">
      <c r="D37" s="13" t="s">
        <v>429</v>
      </c>
      <c r="E37" s="198"/>
      <c r="F37" s="198"/>
      <c r="G37" s="451">
        <v>0</v>
      </c>
      <c r="H37" s="455"/>
      <c r="I37" s="451"/>
      <c r="J37" s="452"/>
      <c r="K37" s="198"/>
      <c r="L37" s="451">
        <v>0</v>
      </c>
      <c r="M37" s="455"/>
      <c r="N37" s="451"/>
      <c r="O37" s="452"/>
      <c r="P37" s="198"/>
      <c r="Q37" s="451">
        <v>0</v>
      </c>
      <c r="R37" s="455"/>
      <c r="S37" s="451"/>
      <c r="T37" s="452"/>
      <c r="U37" s="198"/>
      <c r="V37" s="451">
        <v>0</v>
      </c>
      <c r="W37" s="455"/>
      <c r="X37" s="451"/>
      <c r="Y37" s="452"/>
      <c r="Z37" s="198"/>
      <c r="AA37" s="451">
        <v>0</v>
      </c>
      <c r="AB37" s="455"/>
      <c r="AC37" s="451"/>
      <c r="AD37" s="452"/>
      <c r="AE37" s="198"/>
      <c r="AF37" s="451">
        <v>0</v>
      </c>
      <c r="AG37" s="455"/>
      <c r="AH37" s="451"/>
      <c r="AI37" s="452"/>
      <c r="AJ37" s="198"/>
      <c r="AK37" s="451">
        <v>0</v>
      </c>
      <c r="AL37" s="455"/>
      <c r="AM37" s="451"/>
      <c r="AN37" s="452"/>
      <c r="AO37" s="198"/>
      <c r="AP37" s="451">
        <v>0</v>
      </c>
      <c r="AQ37" s="455"/>
      <c r="AR37" s="451"/>
      <c r="AS37" s="452"/>
      <c r="AT37" s="198"/>
      <c r="AU37" s="451">
        <v>0</v>
      </c>
      <c r="AV37" s="455"/>
      <c r="AW37" s="451"/>
      <c r="AX37" s="452"/>
      <c r="AY37" s="198"/>
      <c r="AZ37" s="451">
        <v>0</v>
      </c>
      <c r="BA37" s="455"/>
      <c r="BB37" s="451"/>
      <c r="BC37" s="452"/>
      <c r="BD37" s="198"/>
      <c r="BE37" s="451">
        <v>0</v>
      </c>
      <c r="BF37" s="455"/>
      <c r="BG37" s="451"/>
      <c r="BH37" s="452"/>
      <c r="BI37" s="198"/>
      <c r="BJ37" s="451">
        <v>0</v>
      </c>
      <c r="BK37" s="455"/>
      <c r="BL37" s="451"/>
      <c r="BM37" s="452"/>
      <c r="BN37" s="198"/>
      <c r="BO37" s="451">
        <v>0</v>
      </c>
      <c r="BP37" s="455"/>
      <c r="BQ37" s="451"/>
      <c r="BR37" s="452"/>
      <c r="BS37" s="198"/>
      <c r="BT37" s="451">
        <f>SUM(L37:BO37)</f>
        <v>0</v>
      </c>
      <c r="BU37" s="455"/>
      <c r="BV37" s="451"/>
      <c r="BW37" s="452"/>
      <c r="BX37" s="198"/>
      <c r="BY37" s="451">
        <f>SUM(Q37:BT37)</f>
        <v>0</v>
      </c>
      <c r="BZ37" s="455"/>
      <c r="CA37" s="451"/>
      <c r="CB37" s="452"/>
      <c r="CC37" s="198"/>
      <c r="CD37" s="451">
        <v>0</v>
      </c>
      <c r="CE37" s="455"/>
      <c r="CF37" s="451"/>
      <c r="CG37" s="452"/>
      <c r="CH37" s="198"/>
      <c r="CI37" s="451">
        <v>0</v>
      </c>
      <c r="CJ37" s="455"/>
      <c r="CK37" s="451"/>
      <c r="CL37" s="452"/>
      <c r="CM37" s="198"/>
      <c r="CN37" s="451">
        <v>0</v>
      </c>
      <c r="CO37" s="455"/>
      <c r="CP37" s="451"/>
      <c r="CQ37" s="452"/>
      <c r="CR37" s="198"/>
      <c r="CS37" s="451">
        <v>0</v>
      </c>
      <c r="CT37" s="455"/>
      <c r="CU37" s="451"/>
      <c r="CV37" s="452"/>
      <c r="CW37" s="198"/>
      <c r="CX37" s="451">
        <v>0</v>
      </c>
      <c r="CY37" s="455"/>
      <c r="CZ37" s="451"/>
      <c r="DA37" s="452"/>
      <c r="DB37" s="198"/>
      <c r="DC37" s="451">
        <v>0</v>
      </c>
      <c r="DD37" s="455"/>
      <c r="DE37" s="451"/>
      <c r="DF37" s="452"/>
      <c r="DG37" s="198"/>
      <c r="DH37" s="451">
        <v>0</v>
      </c>
      <c r="DI37" s="455"/>
      <c r="DJ37" s="451"/>
      <c r="DK37" s="452"/>
      <c r="DL37" s="198"/>
      <c r="DM37" s="451">
        <v>0</v>
      </c>
      <c r="DN37" s="455"/>
      <c r="DO37" s="451"/>
      <c r="DP37" s="452"/>
      <c r="DQ37" s="198"/>
      <c r="DR37" s="451">
        <v>0</v>
      </c>
      <c r="DS37" s="455"/>
      <c r="DT37" s="451"/>
      <c r="DU37" s="452"/>
      <c r="DV37" s="198"/>
      <c r="DW37" s="451">
        <v>0</v>
      </c>
      <c r="DX37" s="455"/>
      <c r="DY37" s="451"/>
      <c r="DZ37" s="452"/>
      <c r="EA37" s="198"/>
      <c r="EB37" s="451">
        <v>0</v>
      </c>
      <c r="EC37" s="455"/>
      <c r="ED37" s="451"/>
      <c r="EE37" s="452"/>
      <c r="EF37" s="198"/>
      <c r="EG37" s="451">
        <v>0</v>
      </c>
      <c r="EH37" s="455"/>
      <c r="EI37" s="451"/>
      <c r="EJ37" s="452"/>
      <c r="EK37" s="198"/>
      <c r="EL37" s="451">
        <f>SUM(CD37:EG37)</f>
        <v>0</v>
      </c>
      <c r="EM37" s="455">
        <f>SUM(CE37:CO37)</f>
        <v>0</v>
      </c>
      <c r="EO37" s="13"/>
      <c r="EP37" s="14"/>
      <c r="EQ37" s="14"/>
    </row>
    <row r="38" spans="4:147" ht="12.75" hidden="1" customHeight="1" x14ac:dyDescent="0.2">
      <c r="D38" s="13" t="s">
        <v>430</v>
      </c>
      <c r="E38" s="198"/>
      <c r="F38" s="385"/>
      <c r="G38" s="463">
        <v>0</v>
      </c>
      <c r="H38" s="464"/>
      <c r="I38" s="451"/>
      <c r="J38" s="452"/>
      <c r="K38" s="385"/>
      <c r="L38" s="463">
        <v>0</v>
      </c>
      <c r="M38" s="464"/>
      <c r="N38" s="451"/>
      <c r="O38" s="452"/>
      <c r="P38" s="385"/>
      <c r="Q38" s="463">
        <v>0</v>
      </c>
      <c r="R38" s="464"/>
      <c r="S38" s="451"/>
      <c r="T38" s="452"/>
      <c r="U38" s="385"/>
      <c r="V38" s="463">
        <v>0</v>
      </c>
      <c r="W38" s="464"/>
      <c r="X38" s="451"/>
      <c r="Y38" s="452"/>
      <c r="Z38" s="385"/>
      <c r="AA38" s="463">
        <v>0</v>
      </c>
      <c r="AB38" s="464"/>
      <c r="AC38" s="451"/>
      <c r="AD38" s="452"/>
      <c r="AE38" s="385"/>
      <c r="AF38" s="463">
        <v>0</v>
      </c>
      <c r="AG38" s="464"/>
      <c r="AH38" s="451"/>
      <c r="AI38" s="452"/>
      <c r="AJ38" s="385"/>
      <c r="AK38" s="463">
        <v>0</v>
      </c>
      <c r="AL38" s="464"/>
      <c r="AM38" s="451"/>
      <c r="AN38" s="452"/>
      <c r="AO38" s="385"/>
      <c r="AP38" s="463">
        <v>0</v>
      </c>
      <c r="AQ38" s="464"/>
      <c r="AR38" s="451"/>
      <c r="AS38" s="452"/>
      <c r="AT38" s="385"/>
      <c r="AU38" s="463">
        <v>0</v>
      </c>
      <c r="AV38" s="464"/>
      <c r="AW38" s="451"/>
      <c r="AX38" s="452"/>
      <c r="AY38" s="385"/>
      <c r="AZ38" s="463">
        <v>0</v>
      </c>
      <c r="BA38" s="464"/>
      <c r="BB38" s="451"/>
      <c r="BC38" s="452"/>
      <c r="BD38" s="385"/>
      <c r="BE38" s="463">
        <v>0</v>
      </c>
      <c r="BF38" s="464"/>
      <c r="BG38" s="451"/>
      <c r="BH38" s="452"/>
      <c r="BI38" s="385"/>
      <c r="BJ38" s="463">
        <v>0</v>
      </c>
      <c r="BK38" s="464"/>
      <c r="BL38" s="451"/>
      <c r="BM38" s="452"/>
      <c r="BN38" s="385"/>
      <c r="BO38" s="463">
        <v>0</v>
      </c>
      <c r="BP38" s="464"/>
      <c r="BQ38" s="451"/>
      <c r="BR38" s="452"/>
      <c r="BS38" s="385"/>
      <c r="BT38" s="463">
        <f>SUM(L38:BO38)</f>
        <v>0</v>
      </c>
      <c r="BU38" s="464"/>
      <c r="BV38" s="451"/>
      <c r="BW38" s="452"/>
      <c r="BX38" s="385"/>
      <c r="BY38" s="463">
        <f>SUM(Q38:BT38)</f>
        <v>0</v>
      </c>
      <c r="BZ38" s="464"/>
      <c r="CA38" s="451"/>
      <c r="CB38" s="452"/>
      <c r="CC38" s="385"/>
      <c r="CD38" s="463">
        <v>0</v>
      </c>
      <c r="CE38" s="464"/>
      <c r="CF38" s="451"/>
      <c r="CG38" s="452"/>
      <c r="CH38" s="385"/>
      <c r="CI38" s="463">
        <v>0</v>
      </c>
      <c r="CJ38" s="464"/>
      <c r="CK38" s="451"/>
      <c r="CL38" s="452"/>
      <c r="CM38" s="385"/>
      <c r="CN38" s="463">
        <v>0</v>
      </c>
      <c r="CO38" s="464"/>
      <c r="CP38" s="451"/>
      <c r="CQ38" s="452"/>
      <c r="CR38" s="385"/>
      <c r="CS38" s="463">
        <v>0</v>
      </c>
      <c r="CT38" s="464"/>
      <c r="CU38" s="451"/>
      <c r="CV38" s="452"/>
      <c r="CW38" s="385"/>
      <c r="CX38" s="463">
        <v>0</v>
      </c>
      <c r="CY38" s="464"/>
      <c r="CZ38" s="451"/>
      <c r="DA38" s="452"/>
      <c r="DB38" s="385"/>
      <c r="DC38" s="463">
        <v>0</v>
      </c>
      <c r="DD38" s="464"/>
      <c r="DE38" s="451"/>
      <c r="DF38" s="452"/>
      <c r="DG38" s="385"/>
      <c r="DH38" s="463">
        <v>0</v>
      </c>
      <c r="DI38" s="464"/>
      <c r="DJ38" s="451"/>
      <c r="DK38" s="452"/>
      <c r="DL38" s="385"/>
      <c r="DM38" s="463">
        <v>0</v>
      </c>
      <c r="DN38" s="464"/>
      <c r="DO38" s="451"/>
      <c r="DP38" s="452"/>
      <c r="DQ38" s="385"/>
      <c r="DR38" s="463">
        <v>0</v>
      </c>
      <c r="DS38" s="464"/>
      <c r="DT38" s="451"/>
      <c r="DU38" s="452"/>
      <c r="DV38" s="385"/>
      <c r="DW38" s="463">
        <v>0</v>
      </c>
      <c r="DX38" s="464"/>
      <c r="DY38" s="451"/>
      <c r="DZ38" s="452"/>
      <c r="EA38" s="385"/>
      <c r="EB38" s="463">
        <v>0</v>
      </c>
      <c r="EC38" s="464"/>
      <c r="ED38" s="451"/>
      <c r="EE38" s="452"/>
      <c r="EF38" s="385"/>
      <c r="EG38" s="463">
        <v>0</v>
      </c>
      <c r="EH38" s="464"/>
      <c r="EI38" s="451"/>
      <c r="EJ38" s="452"/>
      <c r="EK38" s="385"/>
      <c r="EL38" s="463">
        <f>SUM(CD38:EG38)</f>
        <v>0</v>
      </c>
      <c r="EM38" s="464">
        <f>SUM(CE38:CO38)</f>
        <v>0</v>
      </c>
      <c r="EO38" s="13"/>
      <c r="EP38" s="14"/>
      <c r="EQ38" s="14"/>
    </row>
    <row r="39" spans="4:147" hidden="1" x14ac:dyDescent="0.2">
      <c r="D39" s="13"/>
      <c r="E39" s="198"/>
      <c r="G39" s="451"/>
      <c r="H39" s="451"/>
      <c r="I39" s="451"/>
      <c r="J39" s="452"/>
      <c r="K39" s="451"/>
      <c r="L39" s="451"/>
      <c r="M39" s="451"/>
      <c r="N39" s="451"/>
      <c r="O39" s="452"/>
      <c r="P39" s="451"/>
      <c r="Q39" s="451"/>
      <c r="R39" s="451"/>
      <c r="S39" s="451"/>
      <c r="T39" s="452"/>
      <c r="U39" s="451"/>
      <c r="V39" s="451"/>
      <c r="W39" s="451"/>
      <c r="X39" s="451"/>
      <c r="Y39" s="452"/>
      <c r="Z39" s="451"/>
      <c r="AA39" s="451"/>
      <c r="AB39" s="451"/>
      <c r="AC39" s="451"/>
      <c r="AD39" s="452"/>
      <c r="AE39" s="451"/>
      <c r="AF39" s="451"/>
      <c r="AG39" s="451"/>
      <c r="AH39" s="451"/>
      <c r="AI39" s="452"/>
      <c r="AJ39" s="451"/>
      <c r="AK39" s="451"/>
      <c r="AL39" s="451"/>
      <c r="AM39" s="451"/>
      <c r="AN39" s="452"/>
      <c r="AO39" s="451"/>
      <c r="AP39" s="451"/>
      <c r="AQ39" s="451"/>
      <c r="AR39" s="451"/>
      <c r="AS39" s="452"/>
      <c r="AT39" s="451"/>
      <c r="AU39" s="451"/>
      <c r="AV39" s="451"/>
      <c r="AW39" s="451"/>
      <c r="AX39" s="452"/>
      <c r="AY39" s="451"/>
      <c r="AZ39" s="451"/>
      <c r="BA39" s="451"/>
      <c r="BB39" s="451"/>
      <c r="BC39" s="452"/>
      <c r="BD39" s="451"/>
      <c r="BE39" s="451"/>
      <c r="BF39" s="451"/>
      <c r="BG39" s="451"/>
      <c r="BH39" s="452"/>
      <c r="BI39" s="451"/>
      <c r="BJ39" s="451"/>
      <c r="BK39" s="451"/>
      <c r="BL39" s="451"/>
      <c r="BM39" s="452"/>
      <c r="BN39" s="451"/>
      <c r="BO39" s="451"/>
      <c r="BP39" s="451"/>
      <c r="BQ39" s="451"/>
      <c r="BR39" s="452"/>
      <c r="BS39" s="451"/>
      <c r="BT39" s="451"/>
      <c r="BU39" s="451"/>
      <c r="BV39" s="451"/>
      <c r="BW39" s="452"/>
      <c r="BX39" s="451"/>
      <c r="BY39" s="451"/>
      <c r="BZ39" s="451"/>
      <c r="CA39" s="451"/>
      <c r="CB39" s="452"/>
      <c r="CC39" s="451"/>
      <c r="CD39" s="451"/>
      <c r="CE39" s="451"/>
      <c r="CF39" s="451"/>
      <c r="CG39" s="452"/>
      <c r="CH39" s="451"/>
      <c r="CI39" s="451"/>
      <c r="CJ39" s="451"/>
      <c r="CK39" s="451"/>
      <c r="CL39" s="452"/>
      <c r="CM39" s="451"/>
      <c r="CN39" s="451"/>
      <c r="CO39" s="451"/>
      <c r="CP39" s="451"/>
      <c r="CQ39" s="452"/>
      <c r="CR39" s="451"/>
      <c r="CS39" s="451"/>
      <c r="CT39" s="451"/>
      <c r="CU39" s="451"/>
      <c r="CV39" s="452"/>
      <c r="CW39" s="451"/>
      <c r="CX39" s="451"/>
      <c r="CY39" s="451"/>
      <c r="CZ39" s="451"/>
      <c r="DA39" s="452"/>
      <c r="DB39" s="451"/>
      <c r="DC39" s="451"/>
      <c r="DD39" s="451"/>
      <c r="DE39" s="451"/>
      <c r="DF39" s="452"/>
      <c r="DG39" s="451"/>
      <c r="DH39" s="451"/>
      <c r="DI39" s="451"/>
      <c r="DJ39" s="451"/>
      <c r="DK39" s="452"/>
      <c r="DL39" s="451"/>
      <c r="DM39" s="451"/>
      <c r="DN39" s="451"/>
      <c r="DO39" s="451"/>
      <c r="DP39" s="452"/>
      <c r="DQ39" s="451"/>
      <c r="DR39" s="451"/>
      <c r="DS39" s="451"/>
      <c r="DT39" s="451"/>
      <c r="DU39" s="452"/>
      <c r="DV39" s="451"/>
      <c r="DW39" s="451"/>
      <c r="DX39" s="451"/>
      <c r="DY39" s="451"/>
      <c r="DZ39" s="452"/>
      <c r="EA39" s="451"/>
      <c r="EB39" s="451"/>
      <c r="EC39" s="451"/>
      <c r="ED39" s="451"/>
      <c r="EE39" s="452"/>
      <c r="EF39" s="451"/>
      <c r="EG39" s="451"/>
      <c r="EH39" s="451"/>
      <c r="EI39" s="451"/>
      <c r="EJ39" s="452"/>
      <c r="EK39" s="451"/>
      <c r="EL39" s="451"/>
      <c r="EO39" s="13"/>
      <c r="EP39" s="14"/>
      <c r="EQ39" s="14"/>
    </row>
    <row r="40" spans="4:147" hidden="1" x14ac:dyDescent="0.2">
      <c r="D40" s="13" t="s">
        <v>432</v>
      </c>
      <c r="E40" s="198"/>
      <c r="G40" s="451">
        <v>0</v>
      </c>
      <c r="H40" s="451"/>
      <c r="I40" s="451"/>
      <c r="J40" s="452"/>
      <c r="L40" s="451">
        <f>SUM(L41:L43)</f>
        <v>0</v>
      </c>
      <c r="M40" s="451"/>
      <c r="N40" s="451"/>
      <c r="O40" s="452"/>
      <c r="Q40" s="451">
        <f>SUM(Q41:Q43)</f>
        <v>0</v>
      </c>
      <c r="R40" s="451"/>
      <c r="S40" s="451"/>
      <c r="T40" s="452"/>
      <c r="V40" s="451">
        <f>SUM(V41:V43)</f>
        <v>0</v>
      </c>
      <c r="W40" s="451"/>
      <c r="X40" s="451"/>
      <c r="Y40" s="452"/>
      <c r="AA40" s="451">
        <f>SUM(AA41:AA43)</f>
        <v>0</v>
      </c>
      <c r="AB40" s="451"/>
      <c r="AC40" s="451"/>
      <c r="AD40" s="452"/>
      <c r="AF40" s="451">
        <f>SUM(AF41:AF43)</f>
        <v>0</v>
      </c>
      <c r="AG40" s="451"/>
      <c r="AH40" s="451"/>
      <c r="AI40" s="452"/>
      <c r="AK40" s="451">
        <f>SUM(AK41:AK43)</f>
        <v>0</v>
      </c>
      <c r="AL40" s="451"/>
      <c r="AM40" s="451"/>
      <c r="AN40" s="452"/>
      <c r="AP40" s="451">
        <f>SUM(AP41:AP43)</f>
        <v>0</v>
      </c>
      <c r="AQ40" s="451"/>
      <c r="AR40" s="451"/>
      <c r="AS40" s="452"/>
      <c r="AU40" s="451">
        <f>SUM(AU41:AU43)</f>
        <v>0</v>
      </c>
      <c r="AV40" s="451"/>
      <c r="AW40" s="451"/>
      <c r="AX40" s="452"/>
      <c r="AZ40" s="451">
        <f>SUM(AZ41:AZ43)</f>
        <v>0</v>
      </c>
      <c r="BA40" s="451"/>
      <c r="BB40" s="451"/>
      <c r="BC40" s="452"/>
      <c r="BE40" s="451">
        <f>SUM(BE41:BE43)</f>
        <v>0</v>
      </c>
      <c r="BF40" s="451"/>
      <c r="BG40" s="451"/>
      <c r="BH40" s="452"/>
      <c r="BJ40" s="451">
        <f>SUM(BJ41:BJ43)</f>
        <v>0</v>
      </c>
      <c r="BK40" s="451"/>
      <c r="BL40" s="451"/>
      <c r="BM40" s="452"/>
      <c r="BO40" s="451">
        <f>SUM(BO41:BO43)</f>
        <v>0</v>
      </c>
      <c r="BP40" s="451"/>
      <c r="BQ40" s="451"/>
      <c r="BR40" s="452"/>
      <c r="BT40" s="451">
        <f>SUM(BT41:BT43)</f>
        <v>0</v>
      </c>
      <c r="BU40" s="451"/>
      <c r="BV40" s="451"/>
      <c r="BW40" s="452"/>
      <c r="BY40" s="451">
        <f>SUM(BY41:BY43)</f>
        <v>0</v>
      </c>
      <c r="BZ40" s="451"/>
      <c r="CA40" s="451"/>
      <c r="CB40" s="452"/>
      <c r="CD40" s="451">
        <f>SUM(CD41:CD43)</f>
        <v>0</v>
      </c>
      <c r="CE40" s="451"/>
      <c r="CF40" s="451"/>
      <c r="CG40" s="452"/>
      <c r="CI40" s="451">
        <f>SUM(CI41:CI43)</f>
        <v>0</v>
      </c>
      <c r="CJ40" s="451"/>
      <c r="CK40" s="451"/>
      <c r="CL40" s="452"/>
      <c r="CN40" s="451">
        <f>SUM(CN41:CN43)</f>
        <v>0</v>
      </c>
      <c r="CO40" s="451"/>
      <c r="CP40" s="451"/>
      <c r="CQ40" s="452"/>
      <c r="CS40" s="451">
        <f>SUM(CS41:CS43)</f>
        <v>0</v>
      </c>
      <c r="CT40" s="451"/>
      <c r="CU40" s="451"/>
      <c r="CV40" s="452"/>
      <c r="CX40" s="451">
        <f>SUM(CX41:CX43)</f>
        <v>0</v>
      </c>
      <c r="CY40" s="451"/>
      <c r="CZ40" s="451"/>
      <c r="DA40" s="452"/>
      <c r="DC40" s="451">
        <f>SUM(DC41:DC43)</f>
        <v>0</v>
      </c>
      <c r="DD40" s="451"/>
      <c r="DE40" s="451"/>
      <c r="DF40" s="452"/>
      <c r="DH40" s="451">
        <f>SUM(DH41:DH43)</f>
        <v>0</v>
      </c>
      <c r="DI40" s="451"/>
      <c r="DJ40" s="451"/>
      <c r="DK40" s="452"/>
      <c r="DM40" s="451">
        <f>SUM(DM41:DM43)</f>
        <v>0</v>
      </c>
      <c r="DN40" s="451"/>
      <c r="DO40" s="451"/>
      <c r="DP40" s="452"/>
      <c r="DR40" s="451">
        <f>SUM(DR41:DR43)</f>
        <v>0</v>
      </c>
      <c r="DS40" s="451"/>
      <c r="DT40" s="451"/>
      <c r="DU40" s="452"/>
      <c r="DW40" s="451">
        <f>SUM(DW41:DW43)</f>
        <v>0</v>
      </c>
      <c r="DX40" s="451"/>
      <c r="DY40" s="451"/>
      <c r="DZ40" s="452"/>
      <c r="EB40" s="451">
        <f>SUM(EB41:EB43)</f>
        <v>0</v>
      </c>
      <c r="EC40" s="451"/>
      <c r="ED40" s="451"/>
      <c r="EE40" s="452"/>
      <c r="EG40" s="451">
        <f>SUM(EG41:EG43)</f>
        <v>0</v>
      </c>
      <c r="EH40" s="451"/>
      <c r="EI40" s="451"/>
      <c r="EJ40" s="452"/>
      <c r="EL40" s="451">
        <f>SUM(EL41:EL43)</f>
        <v>0</v>
      </c>
      <c r="EM40" s="451"/>
      <c r="EO40" s="13"/>
      <c r="EP40" s="14"/>
      <c r="EQ40" s="14"/>
    </row>
    <row r="41" spans="4:147" hidden="1" x14ac:dyDescent="0.2">
      <c r="D41" s="13" t="s">
        <v>347</v>
      </c>
      <c r="E41" s="198"/>
      <c r="F41" s="374"/>
      <c r="G41" s="449">
        <v>0</v>
      </c>
      <c r="H41" s="450"/>
      <c r="I41" s="451"/>
      <c r="J41" s="452"/>
      <c r="K41" s="374"/>
      <c r="L41" s="449">
        <v>0</v>
      </c>
      <c r="M41" s="450"/>
      <c r="N41" s="451"/>
      <c r="O41" s="452"/>
      <c r="P41" s="374"/>
      <c r="Q41" s="449">
        <v>0</v>
      </c>
      <c r="R41" s="450"/>
      <c r="S41" s="451"/>
      <c r="T41" s="452"/>
      <c r="U41" s="374"/>
      <c r="V41" s="449">
        <v>0</v>
      </c>
      <c r="W41" s="450"/>
      <c r="X41" s="451"/>
      <c r="Y41" s="452"/>
      <c r="Z41" s="374"/>
      <c r="AA41" s="449">
        <v>0</v>
      </c>
      <c r="AB41" s="450"/>
      <c r="AC41" s="451"/>
      <c r="AD41" s="452"/>
      <c r="AE41" s="374"/>
      <c r="AF41" s="449">
        <v>0</v>
      </c>
      <c r="AG41" s="450"/>
      <c r="AH41" s="451"/>
      <c r="AI41" s="452"/>
      <c r="AJ41" s="374"/>
      <c r="AK41" s="449">
        <v>0</v>
      </c>
      <c r="AL41" s="450"/>
      <c r="AM41" s="451"/>
      <c r="AN41" s="452"/>
      <c r="AO41" s="374"/>
      <c r="AP41" s="449">
        <v>0</v>
      </c>
      <c r="AQ41" s="450"/>
      <c r="AR41" s="451"/>
      <c r="AS41" s="452"/>
      <c r="AT41" s="374"/>
      <c r="AU41" s="449">
        <v>0</v>
      </c>
      <c r="AV41" s="450"/>
      <c r="AW41" s="451"/>
      <c r="AX41" s="452"/>
      <c r="AY41" s="374"/>
      <c r="AZ41" s="449">
        <v>0</v>
      </c>
      <c r="BA41" s="450"/>
      <c r="BB41" s="451"/>
      <c r="BC41" s="452"/>
      <c r="BD41" s="374"/>
      <c r="BE41" s="449">
        <v>0</v>
      </c>
      <c r="BF41" s="450"/>
      <c r="BG41" s="451"/>
      <c r="BH41" s="452"/>
      <c r="BI41" s="374"/>
      <c r="BJ41" s="449">
        <v>0</v>
      </c>
      <c r="BK41" s="450"/>
      <c r="BL41" s="451"/>
      <c r="BM41" s="452"/>
      <c r="BN41" s="374"/>
      <c r="BO41" s="449">
        <v>0</v>
      </c>
      <c r="BP41" s="450"/>
      <c r="BQ41" s="451"/>
      <c r="BR41" s="452"/>
      <c r="BS41" s="374"/>
      <c r="BT41" s="449">
        <f>SUM(L41:BO41)</f>
        <v>0</v>
      </c>
      <c r="BU41" s="450"/>
      <c r="BV41" s="451"/>
      <c r="BW41" s="452"/>
      <c r="BX41" s="374"/>
      <c r="BY41" s="449">
        <f>SUM(Q41:BT41)</f>
        <v>0</v>
      </c>
      <c r="BZ41" s="450"/>
      <c r="CA41" s="451"/>
      <c r="CB41" s="452"/>
      <c r="CC41" s="374"/>
      <c r="CD41" s="449">
        <v>0</v>
      </c>
      <c r="CE41" s="450"/>
      <c r="CF41" s="451"/>
      <c r="CG41" s="452"/>
      <c r="CH41" s="374"/>
      <c r="CI41" s="449">
        <v>0</v>
      </c>
      <c r="CJ41" s="450"/>
      <c r="CK41" s="451"/>
      <c r="CL41" s="452"/>
      <c r="CM41" s="374"/>
      <c r="CN41" s="449">
        <v>0</v>
      </c>
      <c r="CO41" s="450"/>
      <c r="CP41" s="451"/>
      <c r="CQ41" s="452"/>
      <c r="CR41" s="374"/>
      <c r="CS41" s="449">
        <v>0</v>
      </c>
      <c r="CT41" s="450"/>
      <c r="CU41" s="451"/>
      <c r="CV41" s="452"/>
      <c r="CW41" s="374"/>
      <c r="CX41" s="449">
        <v>0</v>
      </c>
      <c r="CY41" s="450"/>
      <c r="CZ41" s="451"/>
      <c r="DA41" s="452"/>
      <c r="DB41" s="374"/>
      <c r="DC41" s="449">
        <v>0</v>
      </c>
      <c r="DD41" s="450"/>
      <c r="DE41" s="451"/>
      <c r="DF41" s="452"/>
      <c r="DG41" s="374"/>
      <c r="DH41" s="449">
        <v>0</v>
      </c>
      <c r="DI41" s="450"/>
      <c r="DJ41" s="451"/>
      <c r="DK41" s="452"/>
      <c r="DL41" s="374"/>
      <c r="DM41" s="449">
        <v>0</v>
      </c>
      <c r="DN41" s="450"/>
      <c r="DO41" s="451"/>
      <c r="DP41" s="452"/>
      <c r="DQ41" s="374"/>
      <c r="DR41" s="449">
        <v>0</v>
      </c>
      <c r="DS41" s="450"/>
      <c r="DT41" s="451"/>
      <c r="DU41" s="452"/>
      <c r="DV41" s="374"/>
      <c r="DW41" s="449">
        <v>0</v>
      </c>
      <c r="DX41" s="450"/>
      <c r="DY41" s="451"/>
      <c r="DZ41" s="452"/>
      <c r="EA41" s="374"/>
      <c r="EB41" s="449">
        <v>0</v>
      </c>
      <c r="EC41" s="450"/>
      <c r="ED41" s="451"/>
      <c r="EE41" s="452"/>
      <c r="EF41" s="374"/>
      <c r="EG41" s="449">
        <v>0</v>
      </c>
      <c r="EH41" s="450"/>
      <c r="EI41" s="451"/>
      <c r="EJ41" s="452"/>
      <c r="EK41" s="374"/>
      <c r="EL41" s="449">
        <f>SUM(CD41:EG41)</f>
        <v>0</v>
      </c>
      <c r="EM41" s="450"/>
      <c r="EO41" s="13"/>
      <c r="EP41" s="14"/>
      <c r="EQ41" s="14"/>
    </row>
    <row r="42" spans="4:147" hidden="1" x14ac:dyDescent="0.2">
      <c r="D42" s="13" t="s">
        <v>429</v>
      </c>
      <c r="E42" s="198"/>
      <c r="F42" s="198"/>
      <c r="G42" s="451">
        <v>0</v>
      </c>
      <c r="H42" s="455"/>
      <c r="I42" s="451"/>
      <c r="J42" s="452"/>
      <c r="K42" s="198"/>
      <c r="L42" s="451">
        <v>0</v>
      </c>
      <c r="M42" s="455"/>
      <c r="N42" s="451"/>
      <c r="O42" s="452"/>
      <c r="P42" s="198"/>
      <c r="Q42" s="451">
        <v>0</v>
      </c>
      <c r="R42" s="455"/>
      <c r="S42" s="451"/>
      <c r="T42" s="452"/>
      <c r="U42" s="198"/>
      <c r="V42" s="451">
        <v>0</v>
      </c>
      <c r="W42" s="455"/>
      <c r="X42" s="451"/>
      <c r="Y42" s="452"/>
      <c r="Z42" s="198"/>
      <c r="AA42" s="451">
        <v>0</v>
      </c>
      <c r="AB42" s="455"/>
      <c r="AC42" s="451"/>
      <c r="AD42" s="452"/>
      <c r="AE42" s="198"/>
      <c r="AF42" s="451">
        <v>0</v>
      </c>
      <c r="AG42" s="455"/>
      <c r="AH42" s="451"/>
      <c r="AI42" s="452"/>
      <c r="AJ42" s="198"/>
      <c r="AK42" s="451">
        <v>0</v>
      </c>
      <c r="AL42" s="455"/>
      <c r="AM42" s="451"/>
      <c r="AN42" s="452"/>
      <c r="AO42" s="198"/>
      <c r="AP42" s="451">
        <v>0</v>
      </c>
      <c r="AQ42" s="455"/>
      <c r="AR42" s="451"/>
      <c r="AS42" s="452"/>
      <c r="AT42" s="198"/>
      <c r="AU42" s="451">
        <v>0</v>
      </c>
      <c r="AV42" s="455"/>
      <c r="AW42" s="451"/>
      <c r="AX42" s="452"/>
      <c r="AY42" s="198"/>
      <c r="AZ42" s="451">
        <v>0</v>
      </c>
      <c r="BA42" s="455"/>
      <c r="BB42" s="451"/>
      <c r="BC42" s="452"/>
      <c r="BD42" s="198"/>
      <c r="BE42" s="451">
        <v>0</v>
      </c>
      <c r="BF42" s="455"/>
      <c r="BG42" s="451"/>
      <c r="BH42" s="452"/>
      <c r="BI42" s="198"/>
      <c r="BJ42" s="451">
        <v>0</v>
      </c>
      <c r="BK42" s="455"/>
      <c r="BL42" s="451"/>
      <c r="BM42" s="452"/>
      <c r="BN42" s="198"/>
      <c r="BO42" s="451">
        <v>0</v>
      </c>
      <c r="BP42" s="455"/>
      <c r="BQ42" s="451"/>
      <c r="BR42" s="452"/>
      <c r="BS42" s="198"/>
      <c r="BT42" s="451">
        <f>SUM(L42:BO42)</f>
        <v>0</v>
      </c>
      <c r="BU42" s="455"/>
      <c r="BV42" s="451"/>
      <c r="BW42" s="452"/>
      <c r="BX42" s="198"/>
      <c r="BY42" s="451">
        <f>SUM(Q42:BT42)</f>
        <v>0</v>
      </c>
      <c r="BZ42" s="455"/>
      <c r="CA42" s="451"/>
      <c r="CB42" s="452"/>
      <c r="CC42" s="198"/>
      <c r="CD42" s="451">
        <v>0</v>
      </c>
      <c r="CE42" s="455"/>
      <c r="CF42" s="451"/>
      <c r="CG42" s="452"/>
      <c r="CH42" s="198"/>
      <c r="CI42" s="451">
        <v>0</v>
      </c>
      <c r="CJ42" s="455"/>
      <c r="CK42" s="451"/>
      <c r="CL42" s="452"/>
      <c r="CM42" s="198"/>
      <c r="CN42" s="451">
        <v>0</v>
      </c>
      <c r="CO42" s="455"/>
      <c r="CP42" s="451"/>
      <c r="CQ42" s="452"/>
      <c r="CR42" s="198"/>
      <c r="CS42" s="451">
        <v>0</v>
      </c>
      <c r="CT42" s="455"/>
      <c r="CU42" s="451"/>
      <c r="CV42" s="452"/>
      <c r="CW42" s="198"/>
      <c r="CX42" s="451">
        <v>0</v>
      </c>
      <c r="CY42" s="455"/>
      <c r="CZ42" s="451"/>
      <c r="DA42" s="452"/>
      <c r="DB42" s="198"/>
      <c r="DC42" s="451">
        <v>0</v>
      </c>
      <c r="DD42" s="455"/>
      <c r="DE42" s="451"/>
      <c r="DF42" s="452"/>
      <c r="DG42" s="198"/>
      <c r="DH42" s="451">
        <v>0</v>
      </c>
      <c r="DI42" s="455"/>
      <c r="DJ42" s="451"/>
      <c r="DK42" s="452"/>
      <c r="DL42" s="198"/>
      <c r="DM42" s="451">
        <v>0</v>
      </c>
      <c r="DN42" s="455"/>
      <c r="DO42" s="451"/>
      <c r="DP42" s="452"/>
      <c r="DQ42" s="198"/>
      <c r="DR42" s="451">
        <v>0</v>
      </c>
      <c r="DS42" s="455"/>
      <c r="DT42" s="451"/>
      <c r="DU42" s="452"/>
      <c r="DV42" s="198"/>
      <c r="DW42" s="451">
        <v>0</v>
      </c>
      <c r="DX42" s="455"/>
      <c r="DY42" s="451"/>
      <c r="DZ42" s="452"/>
      <c r="EA42" s="198"/>
      <c r="EB42" s="451">
        <v>0</v>
      </c>
      <c r="EC42" s="455"/>
      <c r="ED42" s="451"/>
      <c r="EE42" s="452"/>
      <c r="EF42" s="198"/>
      <c r="EG42" s="451">
        <v>0</v>
      </c>
      <c r="EH42" s="455"/>
      <c r="EI42" s="451"/>
      <c r="EJ42" s="452"/>
      <c r="EK42" s="198"/>
      <c r="EL42" s="451">
        <f>SUM(CD42:EG42)</f>
        <v>0</v>
      </c>
      <c r="EM42" s="455"/>
      <c r="EO42" s="13"/>
      <c r="EP42" s="14"/>
      <c r="EQ42" s="14"/>
    </row>
    <row r="43" spans="4:147" hidden="1" x14ac:dyDescent="0.2">
      <c r="D43" s="13" t="s">
        <v>430</v>
      </c>
      <c r="E43" s="198"/>
      <c r="F43" s="385"/>
      <c r="G43" s="463">
        <v>0</v>
      </c>
      <c r="H43" s="464"/>
      <c r="I43" s="451"/>
      <c r="J43" s="452"/>
      <c r="K43" s="385"/>
      <c r="L43" s="463">
        <v>0</v>
      </c>
      <c r="M43" s="464"/>
      <c r="N43" s="451"/>
      <c r="O43" s="452"/>
      <c r="P43" s="385"/>
      <c r="Q43" s="463">
        <v>0</v>
      </c>
      <c r="R43" s="464"/>
      <c r="S43" s="451"/>
      <c r="T43" s="452"/>
      <c r="U43" s="385"/>
      <c r="V43" s="463">
        <v>0</v>
      </c>
      <c r="W43" s="464"/>
      <c r="X43" s="451"/>
      <c r="Y43" s="452"/>
      <c r="Z43" s="385"/>
      <c r="AA43" s="463">
        <v>0</v>
      </c>
      <c r="AB43" s="464"/>
      <c r="AC43" s="451"/>
      <c r="AD43" s="452"/>
      <c r="AE43" s="385"/>
      <c r="AF43" s="463">
        <v>0</v>
      </c>
      <c r="AG43" s="464"/>
      <c r="AH43" s="451"/>
      <c r="AI43" s="452"/>
      <c r="AJ43" s="385"/>
      <c r="AK43" s="463">
        <v>0</v>
      </c>
      <c r="AL43" s="464"/>
      <c r="AM43" s="451"/>
      <c r="AN43" s="452"/>
      <c r="AO43" s="385"/>
      <c r="AP43" s="463">
        <v>0</v>
      </c>
      <c r="AQ43" s="464"/>
      <c r="AR43" s="451"/>
      <c r="AS43" s="452"/>
      <c r="AT43" s="385"/>
      <c r="AU43" s="463">
        <v>0</v>
      </c>
      <c r="AV43" s="464"/>
      <c r="AW43" s="451"/>
      <c r="AX43" s="452"/>
      <c r="AY43" s="385"/>
      <c r="AZ43" s="463">
        <v>0</v>
      </c>
      <c r="BA43" s="464"/>
      <c r="BB43" s="451"/>
      <c r="BC43" s="452"/>
      <c r="BD43" s="385"/>
      <c r="BE43" s="463">
        <v>0</v>
      </c>
      <c r="BF43" s="464"/>
      <c r="BG43" s="451"/>
      <c r="BH43" s="452"/>
      <c r="BI43" s="385"/>
      <c r="BJ43" s="463">
        <v>0</v>
      </c>
      <c r="BK43" s="464"/>
      <c r="BL43" s="451"/>
      <c r="BM43" s="452"/>
      <c r="BN43" s="385"/>
      <c r="BO43" s="463">
        <v>0</v>
      </c>
      <c r="BP43" s="464"/>
      <c r="BQ43" s="451"/>
      <c r="BR43" s="452"/>
      <c r="BS43" s="385"/>
      <c r="BT43" s="463">
        <f>SUM(L43:BO43)</f>
        <v>0</v>
      </c>
      <c r="BU43" s="464"/>
      <c r="BV43" s="451"/>
      <c r="BW43" s="452"/>
      <c r="BX43" s="385"/>
      <c r="BY43" s="463">
        <f>SUM(Q43:BT43)</f>
        <v>0</v>
      </c>
      <c r="BZ43" s="464"/>
      <c r="CA43" s="451"/>
      <c r="CB43" s="452"/>
      <c r="CC43" s="385"/>
      <c r="CD43" s="463">
        <v>0</v>
      </c>
      <c r="CE43" s="464"/>
      <c r="CF43" s="451"/>
      <c r="CG43" s="452"/>
      <c r="CH43" s="385"/>
      <c r="CI43" s="463">
        <v>0</v>
      </c>
      <c r="CJ43" s="464"/>
      <c r="CK43" s="451"/>
      <c r="CL43" s="452"/>
      <c r="CM43" s="385"/>
      <c r="CN43" s="463">
        <v>0</v>
      </c>
      <c r="CO43" s="464"/>
      <c r="CP43" s="451"/>
      <c r="CQ43" s="452"/>
      <c r="CR43" s="385"/>
      <c r="CS43" s="463">
        <v>0</v>
      </c>
      <c r="CT43" s="464"/>
      <c r="CU43" s="451"/>
      <c r="CV43" s="452"/>
      <c r="CW43" s="385"/>
      <c r="CX43" s="463">
        <v>0</v>
      </c>
      <c r="CY43" s="464"/>
      <c r="CZ43" s="451"/>
      <c r="DA43" s="452"/>
      <c r="DB43" s="385"/>
      <c r="DC43" s="463">
        <v>0</v>
      </c>
      <c r="DD43" s="464"/>
      <c r="DE43" s="451"/>
      <c r="DF43" s="452"/>
      <c r="DG43" s="385"/>
      <c r="DH43" s="463">
        <v>0</v>
      </c>
      <c r="DI43" s="464"/>
      <c r="DJ43" s="451"/>
      <c r="DK43" s="452"/>
      <c r="DL43" s="385"/>
      <c r="DM43" s="463">
        <v>0</v>
      </c>
      <c r="DN43" s="464"/>
      <c r="DO43" s="451"/>
      <c r="DP43" s="452"/>
      <c r="DQ43" s="385"/>
      <c r="DR43" s="463">
        <v>0</v>
      </c>
      <c r="DS43" s="464"/>
      <c r="DT43" s="451"/>
      <c r="DU43" s="452"/>
      <c r="DV43" s="385"/>
      <c r="DW43" s="463">
        <v>0</v>
      </c>
      <c r="DX43" s="464"/>
      <c r="DY43" s="451"/>
      <c r="DZ43" s="452"/>
      <c r="EA43" s="385"/>
      <c r="EB43" s="463">
        <v>0</v>
      </c>
      <c r="EC43" s="464"/>
      <c r="ED43" s="451"/>
      <c r="EE43" s="452"/>
      <c r="EF43" s="385"/>
      <c r="EG43" s="463">
        <v>0</v>
      </c>
      <c r="EH43" s="464"/>
      <c r="EI43" s="451"/>
      <c r="EJ43" s="452"/>
      <c r="EK43" s="385"/>
      <c r="EL43" s="463">
        <f>SUM(CD43:EG43)</f>
        <v>0</v>
      </c>
      <c r="EM43" s="464"/>
      <c r="EO43" s="13"/>
      <c r="EP43" s="14"/>
      <c r="EQ43" s="14"/>
    </row>
    <row r="44" spans="4:147" ht="12.75" hidden="1" customHeight="1" x14ac:dyDescent="0.2">
      <c r="D44" s="13"/>
      <c r="E44" s="198"/>
      <c r="G44" s="451"/>
      <c r="H44" s="451"/>
      <c r="I44" s="451"/>
      <c r="J44" s="452"/>
      <c r="K44" s="451"/>
      <c r="L44" s="451"/>
      <c r="M44" s="451"/>
      <c r="N44" s="451"/>
      <c r="O44" s="452"/>
      <c r="P44" s="451"/>
      <c r="Q44" s="451"/>
      <c r="R44" s="451"/>
      <c r="S44" s="451"/>
      <c r="T44" s="452"/>
      <c r="U44" s="451"/>
      <c r="V44" s="451"/>
      <c r="W44" s="451"/>
      <c r="X44" s="451"/>
      <c r="Y44" s="452"/>
      <c r="Z44" s="451"/>
      <c r="AA44" s="451"/>
      <c r="AB44" s="451"/>
      <c r="AC44" s="451"/>
      <c r="AD44" s="452"/>
      <c r="AE44" s="451"/>
      <c r="AF44" s="451"/>
      <c r="AG44" s="451"/>
      <c r="AH44" s="451"/>
      <c r="AI44" s="452"/>
      <c r="AJ44" s="451"/>
      <c r="AK44" s="451"/>
      <c r="AL44" s="451"/>
      <c r="AM44" s="451"/>
      <c r="AN44" s="452"/>
      <c r="AO44" s="451"/>
      <c r="AP44" s="451"/>
      <c r="AQ44" s="451"/>
      <c r="AR44" s="451"/>
      <c r="AS44" s="452"/>
      <c r="AT44" s="451"/>
      <c r="AU44" s="451"/>
      <c r="AV44" s="451"/>
      <c r="AW44" s="451"/>
      <c r="AX44" s="452"/>
      <c r="AY44" s="451"/>
      <c r="AZ44" s="451"/>
      <c r="BA44" s="451"/>
      <c r="BB44" s="451"/>
      <c r="BC44" s="452"/>
      <c r="BD44" s="451"/>
      <c r="BE44" s="451"/>
      <c r="BF44" s="451"/>
      <c r="BG44" s="451"/>
      <c r="BH44" s="452"/>
      <c r="BI44" s="451"/>
      <c r="BJ44" s="451"/>
      <c r="BK44" s="451"/>
      <c r="BL44" s="451"/>
      <c r="BM44" s="452"/>
      <c r="BN44" s="451"/>
      <c r="BO44" s="451"/>
      <c r="BP44" s="451"/>
      <c r="BQ44" s="451"/>
      <c r="BR44" s="452"/>
      <c r="BS44" s="451"/>
      <c r="BT44" s="451"/>
      <c r="BU44" s="451"/>
      <c r="BV44" s="451"/>
      <c r="BW44" s="452"/>
      <c r="BX44" s="451"/>
      <c r="BY44" s="451"/>
      <c r="BZ44" s="451"/>
      <c r="CA44" s="451"/>
      <c r="CB44" s="452"/>
      <c r="CC44" s="451"/>
      <c r="CD44" s="451"/>
      <c r="CE44" s="451"/>
      <c r="CF44" s="451"/>
      <c r="CG44" s="452"/>
      <c r="CH44" s="451"/>
      <c r="CI44" s="451"/>
      <c r="CJ44" s="451"/>
      <c r="CK44" s="451"/>
      <c r="CL44" s="452"/>
      <c r="CM44" s="451"/>
      <c r="CN44" s="451"/>
      <c r="CO44" s="451"/>
      <c r="CP44" s="451"/>
      <c r="CQ44" s="452"/>
      <c r="CR44" s="451"/>
      <c r="CS44" s="451"/>
      <c r="CT44" s="451"/>
      <c r="CU44" s="451"/>
      <c r="CV44" s="452"/>
      <c r="CW44" s="451"/>
      <c r="CX44" s="451"/>
      <c r="CY44" s="451"/>
      <c r="CZ44" s="451"/>
      <c r="DA44" s="452"/>
      <c r="DB44" s="451"/>
      <c r="DC44" s="451"/>
      <c r="DD44" s="451"/>
      <c r="DE44" s="451"/>
      <c r="DF44" s="452"/>
      <c r="DG44" s="451"/>
      <c r="DH44" s="451"/>
      <c r="DI44" s="451"/>
      <c r="DJ44" s="451"/>
      <c r="DK44" s="452"/>
      <c r="DL44" s="451"/>
      <c r="DM44" s="451"/>
      <c r="DN44" s="451"/>
      <c r="DO44" s="451"/>
      <c r="DP44" s="452"/>
      <c r="DQ44" s="451"/>
      <c r="DR44" s="451"/>
      <c r="DS44" s="451"/>
      <c r="DT44" s="451"/>
      <c r="DU44" s="452"/>
      <c r="DV44" s="451"/>
      <c r="DW44" s="451"/>
      <c r="DX44" s="451"/>
      <c r="DY44" s="451"/>
      <c r="DZ44" s="452"/>
      <c r="EA44" s="451"/>
      <c r="EB44" s="451"/>
      <c r="EC44" s="451"/>
      <c r="ED44" s="451"/>
      <c r="EE44" s="452"/>
      <c r="EF44" s="451"/>
      <c r="EG44" s="451"/>
      <c r="EH44" s="451"/>
      <c r="EI44" s="451"/>
      <c r="EJ44" s="452"/>
      <c r="EK44" s="451"/>
      <c r="EL44" s="451"/>
      <c r="EO44" s="13"/>
      <c r="EP44" s="14"/>
      <c r="EQ44" s="14"/>
    </row>
    <row r="45" spans="4:147" ht="12.75" hidden="1" customHeight="1" x14ac:dyDescent="0.2">
      <c r="D45" s="13" t="s">
        <v>368</v>
      </c>
      <c r="E45" s="198"/>
      <c r="G45" s="451">
        <f>SUM(G46:G48)</f>
        <v>0</v>
      </c>
      <c r="H45" s="451"/>
      <c r="I45" s="451"/>
      <c r="J45" s="452"/>
      <c r="K45" s="451"/>
      <c r="L45" s="451">
        <f>SUM(L46:L48)</f>
        <v>0</v>
      </c>
      <c r="M45" s="451"/>
      <c r="N45" s="451"/>
      <c r="O45" s="452"/>
      <c r="Q45" s="451">
        <f>SUM(Q46:Q48)</f>
        <v>0</v>
      </c>
      <c r="R45" s="451"/>
      <c r="S45" s="451"/>
      <c r="T45" s="452"/>
      <c r="V45" s="451">
        <f>SUM(V46:V48)</f>
        <v>0</v>
      </c>
      <c r="W45" s="451"/>
      <c r="X45" s="451"/>
      <c r="Y45" s="452"/>
      <c r="AA45" s="451">
        <f>SUM(AA46:AA48)</f>
        <v>0</v>
      </c>
      <c r="AB45" s="451"/>
      <c r="AC45" s="451"/>
      <c r="AD45" s="452"/>
      <c r="AF45" s="451">
        <f>SUM(AF46:AF48)</f>
        <v>0</v>
      </c>
      <c r="AG45" s="451"/>
      <c r="AH45" s="451"/>
      <c r="AI45" s="452"/>
      <c r="AK45" s="451">
        <f>SUM(AK46:AK48)</f>
        <v>0</v>
      </c>
      <c r="AL45" s="451"/>
      <c r="AM45" s="451"/>
      <c r="AN45" s="452"/>
      <c r="AP45" s="451">
        <f>SUM(AP46:AP48)</f>
        <v>0</v>
      </c>
      <c r="AQ45" s="451"/>
      <c r="AR45" s="451"/>
      <c r="AS45" s="452"/>
      <c r="AU45" s="451">
        <f>SUM(AU46:AU48)</f>
        <v>0</v>
      </c>
      <c r="AV45" s="451"/>
      <c r="AW45" s="451"/>
      <c r="AX45" s="452"/>
      <c r="AZ45" s="451">
        <f>SUM(AZ46:AZ48)</f>
        <v>0</v>
      </c>
      <c r="BA45" s="451"/>
      <c r="BB45" s="451"/>
      <c r="BC45" s="452"/>
      <c r="BE45" s="451">
        <f>SUM(BE46:BE48)</f>
        <v>0</v>
      </c>
      <c r="BF45" s="451"/>
      <c r="BG45" s="451"/>
      <c r="BH45" s="452"/>
      <c r="BJ45" s="451">
        <f>SUM(BJ46:BJ48)</f>
        <v>0</v>
      </c>
      <c r="BK45" s="451"/>
      <c r="BL45" s="451"/>
      <c r="BM45" s="452"/>
      <c r="BO45" s="451">
        <f>SUM(BO46:BO48)</f>
        <v>0</v>
      </c>
      <c r="BP45" s="451"/>
      <c r="BQ45" s="451"/>
      <c r="BR45" s="452"/>
      <c r="BS45" s="451"/>
      <c r="BT45" s="451">
        <f>SUM(BT46:BT48)</f>
        <v>0</v>
      </c>
      <c r="BU45" s="451"/>
      <c r="BV45" s="451"/>
      <c r="BW45" s="452"/>
      <c r="BX45" s="451"/>
      <c r="BY45" s="451">
        <f>SUM(BY46:BY48)</f>
        <v>0</v>
      </c>
      <c r="BZ45" s="451"/>
      <c r="CA45" s="451"/>
      <c r="CB45" s="452"/>
      <c r="CC45" s="451"/>
      <c r="CD45" s="451">
        <f>SUM(CD46:CD48)</f>
        <v>0</v>
      </c>
      <c r="CE45" s="451"/>
      <c r="CF45" s="451"/>
      <c r="CG45" s="452"/>
      <c r="CI45" s="451">
        <f>SUM(CI46:CI48)</f>
        <v>0</v>
      </c>
      <c r="CJ45" s="451"/>
      <c r="CK45" s="451"/>
      <c r="CL45" s="452"/>
      <c r="CN45" s="451">
        <f>SUM(CN46:CN48)</f>
        <v>0</v>
      </c>
      <c r="CO45" s="451"/>
      <c r="CP45" s="451"/>
      <c r="CQ45" s="452"/>
      <c r="CS45" s="451">
        <f>SUM(CS46:CS48)</f>
        <v>0</v>
      </c>
      <c r="CT45" s="451"/>
      <c r="CU45" s="451"/>
      <c r="CV45" s="452"/>
      <c r="CX45" s="451">
        <f>SUM(CX46:CX48)</f>
        <v>0</v>
      </c>
      <c r="CY45" s="451"/>
      <c r="CZ45" s="451"/>
      <c r="DA45" s="452"/>
      <c r="DC45" s="451">
        <f>SUM(DC46:DC48)</f>
        <v>0</v>
      </c>
      <c r="DD45" s="451"/>
      <c r="DE45" s="451"/>
      <c r="DF45" s="452"/>
      <c r="DH45" s="451">
        <f>SUM(DH46:DH48)</f>
        <v>0</v>
      </c>
      <c r="DI45" s="451"/>
      <c r="DJ45" s="451"/>
      <c r="DK45" s="452"/>
      <c r="DM45" s="451">
        <f>SUM(DM46:DM48)</f>
        <v>0</v>
      </c>
      <c r="DN45" s="451"/>
      <c r="DO45" s="451"/>
      <c r="DP45" s="452"/>
      <c r="DR45" s="451">
        <f>SUM(DR46:DR48)</f>
        <v>0</v>
      </c>
      <c r="DS45" s="451"/>
      <c r="DT45" s="451"/>
      <c r="DU45" s="452"/>
      <c r="DW45" s="451">
        <f>SUM(DW46:DW48)</f>
        <v>0</v>
      </c>
      <c r="DX45" s="451"/>
      <c r="DY45" s="451"/>
      <c r="DZ45" s="452"/>
      <c r="EB45" s="451">
        <f>SUM(EB46:EB48)</f>
        <v>0</v>
      </c>
      <c r="EC45" s="451"/>
      <c r="ED45" s="451"/>
      <c r="EE45" s="452"/>
      <c r="EG45" s="451">
        <f>SUM(EG46:EG48)</f>
        <v>0</v>
      </c>
      <c r="EH45" s="451"/>
      <c r="EI45" s="451"/>
      <c r="EJ45" s="452"/>
      <c r="EK45" s="451"/>
      <c r="EL45" s="451">
        <f>SUM(EL46:EL48)</f>
        <v>0</v>
      </c>
      <c r="EO45" s="13"/>
      <c r="EP45" s="14"/>
      <c r="EQ45" s="14"/>
    </row>
    <row r="46" spans="4:147" ht="12.75" hidden="1" customHeight="1" x14ac:dyDescent="0.2">
      <c r="D46" s="13" t="s">
        <v>347</v>
      </c>
      <c r="E46" s="198"/>
      <c r="F46" s="374"/>
      <c r="G46" s="449">
        <v>0</v>
      </c>
      <c r="H46" s="450"/>
      <c r="I46" s="451"/>
      <c r="J46" s="452"/>
      <c r="K46" s="453"/>
      <c r="L46" s="449">
        <v>0</v>
      </c>
      <c r="M46" s="450"/>
      <c r="N46" s="451"/>
      <c r="O46" s="452"/>
      <c r="P46" s="374"/>
      <c r="Q46" s="449">
        <v>0</v>
      </c>
      <c r="R46" s="450"/>
      <c r="S46" s="451"/>
      <c r="T46" s="452"/>
      <c r="U46" s="374"/>
      <c r="V46" s="449">
        <v>0</v>
      </c>
      <c r="W46" s="450"/>
      <c r="X46" s="451"/>
      <c r="Y46" s="452"/>
      <c r="Z46" s="374"/>
      <c r="AA46" s="449">
        <v>0</v>
      </c>
      <c r="AB46" s="450"/>
      <c r="AC46" s="451"/>
      <c r="AD46" s="452"/>
      <c r="AE46" s="374"/>
      <c r="AF46" s="449">
        <v>0</v>
      </c>
      <c r="AG46" s="450"/>
      <c r="AH46" s="451"/>
      <c r="AI46" s="452"/>
      <c r="AJ46" s="374"/>
      <c r="AK46" s="449">
        <v>0</v>
      </c>
      <c r="AL46" s="450"/>
      <c r="AM46" s="451"/>
      <c r="AN46" s="452"/>
      <c r="AO46" s="374"/>
      <c r="AP46" s="449">
        <v>0</v>
      </c>
      <c r="AQ46" s="450"/>
      <c r="AR46" s="451"/>
      <c r="AS46" s="452"/>
      <c r="AT46" s="374"/>
      <c r="AU46" s="449">
        <v>0</v>
      </c>
      <c r="AV46" s="450"/>
      <c r="AW46" s="451"/>
      <c r="AX46" s="452"/>
      <c r="AY46" s="374"/>
      <c r="AZ46" s="449">
        <v>0</v>
      </c>
      <c r="BA46" s="450"/>
      <c r="BB46" s="451"/>
      <c r="BC46" s="452"/>
      <c r="BD46" s="374"/>
      <c r="BE46" s="449">
        <v>0</v>
      </c>
      <c r="BF46" s="450"/>
      <c r="BG46" s="451"/>
      <c r="BH46" s="452"/>
      <c r="BI46" s="374"/>
      <c r="BJ46" s="449">
        <v>0</v>
      </c>
      <c r="BK46" s="450"/>
      <c r="BL46" s="451"/>
      <c r="BM46" s="452"/>
      <c r="BN46" s="374"/>
      <c r="BO46" s="449">
        <v>0</v>
      </c>
      <c r="BP46" s="450"/>
      <c r="BQ46" s="451"/>
      <c r="BR46" s="452"/>
      <c r="BS46" s="453"/>
      <c r="BT46" s="449">
        <f>SUM(L46:BO46)</f>
        <v>0</v>
      </c>
      <c r="BU46" s="450"/>
      <c r="BV46" s="451"/>
      <c r="BW46" s="452"/>
      <c r="BX46" s="453"/>
      <c r="BY46" s="449">
        <v>0</v>
      </c>
      <c r="BZ46" s="450"/>
      <c r="CA46" s="451"/>
      <c r="CB46" s="452"/>
      <c r="CC46" s="453"/>
      <c r="CD46" s="449">
        <v>0</v>
      </c>
      <c r="CE46" s="450"/>
      <c r="CF46" s="451"/>
      <c r="CG46" s="452"/>
      <c r="CH46" s="374"/>
      <c r="CI46" s="449">
        <v>0</v>
      </c>
      <c r="CJ46" s="450"/>
      <c r="CK46" s="451"/>
      <c r="CL46" s="452"/>
      <c r="CM46" s="374"/>
      <c r="CN46" s="449">
        <v>0</v>
      </c>
      <c r="CO46" s="450"/>
      <c r="CP46" s="451"/>
      <c r="CQ46" s="452"/>
      <c r="CR46" s="374"/>
      <c r="CS46" s="449">
        <v>0</v>
      </c>
      <c r="CT46" s="450"/>
      <c r="CU46" s="451"/>
      <c r="CV46" s="452"/>
      <c r="CW46" s="374"/>
      <c r="CX46" s="449">
        <v>0</v>
      </c>
      <c r="CY46" s="450"/>
      <c r="CZ46" s="451"/>
      <c r="DA46" s="452"/>
      <c r="DB46" s="374"/>
      <c r="DC46" s="449">
        <v>0</v>
      </c>
      <c r="DD46" s="450"/>
      <c r="DE46" s="451"/>
      <c r="DF46" s="452"/>
      <c r="DG46" s="374"/>
      <c r="DH46" s="449">
        <v>0</v>
      </c>
      <c r="DI46" s="450"/>
      <c r="DJ46" s="451"/>
      <c r="DK46" s="452"/>
      <c r="DL46" s="374"/>
      <c r="DM46" s="449">
        <v>0</v>
      </c>
      <c r="DN46" s="450"/>
      <c r="DO46" s="451"/>
      <c r="DP46" s="452"/>
      <c r="DQ46" s="374"/>
      <c r="DR46" s="449">
        <v>0</v>
      </c>
      <c r="DS46" s="450"/>
      <c r="DT46" s="451"/>
      <c r="DU46" s="452"/>
      <c r="DV46" s="374"/>
      <c r="DW46" s="449">
        <v>0</v>
      </c>
      <c r="DX46" s="450"/>
      <c r="DY46" s="451"/>
      <c r="DZ46" s="452"/>
      <c r="EA46" s="374"/>
      <c r="EB46" s="449">
        <v>0</v>
      </c>
      <c r="EC46" s="450"/>
      <c r="ED46" s="451"/>
      <c r="EE46" s="452"/>
      <c r="EF46" s="374"/>
      <c r="EG46" s="449">
        <v>0</v>
      </c>
      <c r="EH46" s="450"/>
      <c r="EI46" s="451"/>
      <c r="EJ46" s="452"/>
      <c r="EK46" s="453"/>
      <c r="EL46" s="449">
        <f>SUM(CD46:DM46)</f>
        <v>0</v>
      </c>
      <c r="EM46" s="375"/>
      <c r="EO46" s="13"/>
      <c r="EP46" s="14"/>
      <c r="EQ46" s="14"/>
    </row>
    <row r="47" spans="4:147" ht="12.75" hidden="1" customHeight="1" x14ac:dyDescent="0.2">
      <c r="D47" s="13" t="s">
        <v>429</v>
      </c>
      <c r="E47" s="198"/>
      <c r="F47" s="198"/>
      <c r="G47" s="451">
        <v>0</v>
      </c>
      <c r="H47" s="455"/>
      <c r="I47" s="451"/>
      <c r="J47" s="452"/>
      <c r="K47" s="452"/>
      <c r="L47" s="451">
        <v>0</v>
      </c>
      <c r="M47" s="455"/>
      <c r="N47" s="451"/>
      <c r="O47" s="452"/>
      <c r="P47" s="198"/>
      <c r="Q47" s="451">
        <v>0</v>
      </c>
      <c r="R47" s="455"/>
      <c r="S47" s="451"/>
      <c r="T47" s="452"/>
      <c r="U47" s="198"/>
      <c r="V47" s="451">
        <v>0</v>
      </c>
      <c r="W47" s="455"/>
      <c r="X47" s="451"/>
      <c r="Y47" s="452"/>
      <c r="Z47" s="198"/>
      <c r="AA47" s="451">
        <v>0</v>
      </c>
      <c r="AB47" s="455"/>
      <c r="AC47" s="451"/>
      <c r="AD47" s="452"/>
      <c r="AE47" s="198"/>
      <c r="AF47" s="451">
        <v>0</v>
      </c>
      <c r="AG47" s="455"/>
      <c r="AH47" s="451"/>
      <c r="AI47" s="452"/>
      <c r="AJ47" s="198"/>
      <c r="AK47" s="451">
        <v>0</v>
      </c>
      <c r="AL47" s="455"/>
      <c r="AM47" s="451"/>
      <c r="AN47" s="452"/>
      <c r="AO47" s="198"/>
      <c r="AP47" s="451">
        <v>0</v>
      </c>
      <c r="AQ47" s="455"/>
      <c r="AR47" s="451"/>
      <c r="AS47" s="452"/>
      <c r="AT47" s="198"/>
      <c r="AU47" s="451">
        <v>0</v>
      </c>
      <c r="AV47" s="455"/>
      <c r="AW47" s="451"/>
      <c r="AX47" s="452"/>
      <c r="AY47" s="198"/>
      <c r="AZ47" s="451">
        <v>0</v>
      </c>
      <c r="BA47" s="455"/>
      <c r="BB47" s="451"/>
      <c r="BC47" s="452"/>
      <c r="BD47" s="198"/>
      <c r="BE47" s="451">
        <v>0</v>
      </c>
      <c r="BF47" s="455"/>
      <c r="BG47" s="451"/>
      <c r="BH47" s="452"/>
      <c r="BI47" s="198"/>
      <c r="BJ47" s="451">
        <v>0</v>
      </c>
      <c r="BK47" s="455"/>
      <c r="BL47" s="451"/>
      <c r="BM47" s="452"/>
      <c r="BN47" s="198"/>
      <c r="BO47" s="451">
        <v>0</v>
      </c>
      <c r="BP47" s="455"/>
      <c r="BQ47" s="451"/>
      <c r="BR47" s="452"/>
      <c r="BS47" s="452"/>
      <c r="BT47" s="451">
        <f>SUM(L47:BO47)</f>
        <v>0</v>
      </c>
      <c r="BU47" s="455"/>
      <c r="BV47" s="451"/>
      <c r="BW47" s="452"/>
      <c r="BX47" s="452"/>
      <c r="BY47" s="451">
        <v>0</v>
      </c>
      <c r="BZ47" s="455"/>
      <c r="CA47" s="451"/>
      <c r="CB47" s="452"/>
      <c r="CC47" s="452"/>
      <c r="CD47" s="451">
        <v>0</v>
      </c>
      <c r="CE47" s="455"/>
      <c r="CF47" s="451"/>
      <c r="CG47" s="452"/>
      <c r="CH47" s="198"/>
      <c r="CI47" s="451">
        <v>0</v>
      </c>
      <c r="CJ47" s="455"/>
      <c r="CK47" s="451"/>
      <c r="CL47" s="452"/>
      <c r="CM47" s="198"/>
      <c r="CN47" s="451">
        <v>0</v>
      </c>
      <c r="CO47" s="455"/>
      <c r="CP47" s="451"/>
      <c r="CQ47" s="452"/>
      <c r="CR47" s="198"/>
      <c r="CS47" s="451">
        <v>0</v>
      </c>
      <c r="CT47" s="455"/>
      <c r="CU47" s="451"/>
      <c r="CV47" s="452"/>
      <c r="CW47" s="198"/>
      <c r="CX47" s="451">
        <v>0</v>
      </c>
      <c r="CY47" s="455"/>
      <c r="CZ47" s="451"/>
      <c r="DA47" s="452"/>
      <c r="DB47" s="198"/>
      <c r="DC47" s="451">
        <v>0</v>
      </c>
      <c r="DD47" s="455"/>
      <c r="DE47" s="451"/>
      <c r="DF47" s="452"/>
      <c r="DG47" s="198"/>
      <c r="DH47" s="451">
        <v>0</v>
      </c>
      <c r="DI47" s="455"/>
      <c r="DJ47" s="451"/>
      <c r="DK47" s="452"/>
      <c r="DL47" s="198"/>
      <c r="DM47" s="451">
        <v>0</v>
      </c>
      <c r="DN47" s="455"/>
      <c r="DO47" s="451"/>
      <c r="DP47" s="452"/>
      <c r="DQ47" s="198"/>
      <c r="DR47" s="451">
        <v>0</v>
      </c>
      <c r="DS47" s="455"/>
      <c r="DT47" s="451"/>
      <c r="DU47" s="452"/>
      <c r="DV47" s="198"/>
      <c r="DW47" s="451">
        <v>0</v>
      </c>
      <c r="DX47" s="455"/>
      <c r="DY47" s="451"/>
      <c r="DZ47" s="452"/>
      <c r="EA47" s="198"/>
      <c r="EB47" s="451">
        <v>0</v>
      </c>
      <c r="EC47" s="455"/>
      <c r="ED47" s="451"/>
      <c r="EE47" s="452"/>
      <c r="EF47" s="198"/>
      <c r="EG47" s="451">
        <v>0</v>
      </c>
      <c r="EH47" s="455"/>
      <c r="EI47" s="451"/>
      <c r="EJ47" s="452"/>
      <c r="EK47" s="452"/>
      <c r="EL47" s="451">
        <f>SUM(CD47:DM47)</f>
        <v>0</v>
      </c>
      <c r="EM47" s="189"/>
      <c r="EO47" s="13"/>
      <c r="EP47" s="14"/>
      <c r="EQ47" s="14"/>
    </row>
    <row r="48" spans="4:147" ht="12.75" hidden="1" customHeight="1" x14ac:dyDescent="0.2">
      <c r="D48" s="13" t="s">
        <v>430</v>
      </c>
      <c r="E48" s="198"/>
      <c r="F48" s="385"/>
      <c r="G48" s="463">
        <v>0</v>
      </c>
      <c r="H48" s="464"/>
      <c r="I48" s="451"/>
      <c r="J48" s="452"/>
      <c r="K48" s="465"/>
      <c r="L48" s="463">
        <v>0</v>
      </c>
      <c r="M48" s="464"/>
      <c r="N48" s="451"/>
      <c r="O48" s="452"/>
      <c r="P48" s="385"/>
      <c r="Q48" s="463">
        <v>0</v>
      </c>
      <c r="R48" s="464"/>
      <c r="S48" s="451"/>
      <c r="T48" s="452"/>
      <c r="U48" s="385"/>
      <c r="V48" s="463">
        <v>0</v>
      </c>
      <c r="W48" s="464"/>
      <c r="X48" s="451"/>
      <c r="Y48" s="452"/>
      <c r="Z48" s="385"/>
      <c r="AA48" s="463">
        <v>0</v>
      </c>
      <c r="AB48" s="464"/>
      <c r="AC48" s="451"/>
      <c r="AD48" s="452"/>
      <c r="AE48" s="385"/>
      <c r="AF48" s="463">
        <v>0</v>
      </c>
      <c r="AG48" s="464"/>
      <c r="AH48" s="451"/>
      <c r="AI48" s="452"/>
      <c r="AJ48" s="385"/>
      <c r="AK48" s="463">
        <v>0</v>
      </c>
      <c r="AL48" s="464"/>
      <c r="AM48" s="451"/>
      <c r="AN48" s="452"/>
      <c r="AO48" s="385"/>
      <c r="AP48" s="463">
        <v>0</v>
      </c>
      <c r="AQ48" s="464"/>
      <c r="AR48" s="451"/>
      <c r="AS48" s="452"/>
      <c r="AT48" s="385"/>
      <c r="AU48" s="463">
        <v>0</v>
      </c>
      <c r="AV48" s="464"/>
      <c r="AW48" s="451"/>
      <c r="AX48" s="452"/>
      <c r="AY48" s="385"/>
      <c r="AZ48" s="463">
        <v>0</v>
      </c>
      <c r="BA48" s="464"/>
      <c r="BB48" s="451"/>
      <c r="BC48" s="452"/>
      <c r="BD48" s="385"/>
      <c r="BE48" s="463">
        <v>0</v>
      </c>
      <c r="BF48" s="464"/>
      <c r="BG48" s="451"/>
      <c r="BH48" s="452"/>
      <c r="BI48" s="385"/>
      <c r="BJ48" s="463">
        <v>0</v>
      </c>
      <c r="BK48" s="464"/>
      <c r="BL48" s="451"/>
      <c r="BM48" s="452"/>
      <c r="BN48" s="385"/>
      <c r="BO48" s="463">
        <v>0</v>
      </c>
      <c r="BP48" s="464"/>
      <c r="BQ48" s="451"/>
      <c r="BR48" s="452"/>
      <c r="BS48" s="465"/>
      <c r="BT48" s="463">
        <f>SUM(L48:BO48)</f>
        <v>0</v>
      </c>
      <c r="BU48" s="464"/>
      <c r="BV48" s="451"/>
      <c r="BW48" s="452"/>
      <c r="BX48" s="465"/>
      <c r="BY48" s="463">
        <v>0</v>
      </c>
      <c r="BZ48" s="464"/>
      <c r="CA48" s="451"/>
      <c r="CB48" s="452"/>
      <c r="CC48" s="465"/>
      <c r="CD48" s="463">
        <v>0</v>
      </c>
      <c r="CE48" s="464"/>
      <c r="CF48" s="451"/>
      <c r="CG48" s="452"/>
      <c r="CH48" s="385"/>
      <c r="CI48" s="463">
        <v>0</v>
      </c>
      <c r="CJ48" s="464"/>
      <c r="CK48" s="451"/>
      <c r="CL48" s="452"/>
      <c r="CM48" s="385"/>
      <c r="CN48" s="463">
        <v>0</v>
      </c>
      <c r="CO48" s="464"/>
      <c r="CP48" s="451"/>
      <c r="CQ48" s="452"/>
      <c r="CR48" s="385"/>
      <c r="CS48" s="463">
        <v>0</v>
      </c>
      <c r="CT48" s="464"/>
      <c r="CU48" s="451"/>
      <c r="CV48" s="452"/>
      <c r="CW48" s="385"/>
      <c r="CX48" s="463">
        <v>0</v>
      </c>
      <c r="CY48" s="464"/>
      <c r="CZ48" s="451"/>
      <c r="DA48" s="452"/>
      <c r="DB48" s="385"/>
      <c r="DC48" s="463">
        <v>0</v>
      </c>
      <c r="DD48" s="464"/>
      <c r="DE48" s="451"/>
      <c r="DF48" s="452"/>
      <c r="DG48" s="385"/>
      <c r="DH48" s="463">
        <v>0</v>
      </c>
      <c r="DI48" s="464"/>
      <c r="DJ48" s="451"/>
      <c r="DK48" s="452"/>
      <c r="DL48" s="385"/>
      <c r="DM48" s="463">
        <v>0</v>
      </c>
      <c r="DN48" s="464"/>
      <c r="DO48" s="451"/>
      <c r="DP48" s="452"/>
      <c r="DQ48" s="385"/>
      <c r="DR48" s="463">
        <v>0</v>
      </c>
      <c r="DS48" s="464"/>
      <c r="DT48" s="451"/>
      <c r="DU48" s="452"/>
      <c r="DV48" s="385"/>
      <c r="DW48" s="463">
        <v>0</v>
      </c>
      <c r="DX48" s="464"/>
      <c r="DY48" s="451"/>
      <c r="DZ48" s="452"/>
      <c r="EA48" s="385"/>
      <c r="EB48" s="463">
        <v>0</v>
      </c>
      <c r="EC48" s="464"/>
      <c r="ED48" s="451"/>
      <c r="EE48" s="452"/>
      <c r="EF48" s="385"/>
      <c r="EG48" s="463">
        <v>0</v>
      </c>
      <c r="EH48" s="464"/>
      <c r="EI48" s="451"/>
      <c r="EJ48" s="452"/>
      <c r="EK48" s="465"/>
      <c r="EL48" s="463">
        <f>SUM(CD48:DM48)</f>
        <v>0</v>
      </c>
      <c r="EM48" s="212"/>
      <c r="EO48" s="13"/>
      <c r="EP48" s="14"/>
      <c r="EQ48" s="14"/>
    </row>
    <row r="49" spans="4:147" ht="12.75" hidden="1" customHeight="1" x14ac:dyDescent="0.2">
      <c r="D49" s="13"/>
      <c r="E49" s="198"/>
      <c r="G49" s="451"/>
      <c r="H49" s="451"/>
      <c r="I49" s="451"/>
      <c r="J49" s="452"/>
      <c r="K49" s="451"/>
      <c r="L49" s="451"/>
      <c r="M49" s="451"/>
      <c r="N49" s="451"/>
      <c r="O49" s="452"/>
      <c r="P49" s="451"/>
      <c r="Q49" s="451"/>
      <c r="R49" s="451"/>
      <c r="S49" s="451"/>
      <c r="T49" s="452"/>
      <c r="U49" s="451"/>
      <c r="V49" s="451"/>
      <c r="W49" s="451"/>
      <c r="X49" s="451"/>
      <c r="Y49" s="452"/>
      <c r="Z49" s="451"/>
      <c r="AA49" s="451"/>
      <c r="AB49" s="451"/>
      <c r="AC49" s="451"/>
      <c r="AD49" s="452"/>
      <c r="AE49" s="451"/>
      <c r="AF49" s="451"/>
      <c r="AG49" s="451"/>
      <c r="AH49" s="451"/>
      <c r="AI49" s="452"/>
      <c r="AJ49" s="451"/>
      <c r="AK49" s="451"/>
      <c r="AL49" s="451"/>
      <c r="AM49" s="451"/>
      <c r="AN49" s="452"/>
      <c r="AO49" s="451"/>
      <c r="AP49" s="451"/>
      <c r="AQ49" s="451"/>
      <c r="AR49" s="451"/>
      <c r="AS49" s="452"/>
      <c r="AT49" s="451"/>
      <c r="AU49" s="451"/>
      <c r="AV49" s="451"/>
      <c r="AW49" s="451"/>
      <c r="AX49" s="452"/>
      <c r="AY49" s="451"/>
      <c r="AZ49" s="451"/>
      <c r="BA49" s="451"/>
      <c r="BB49" s="451"/>
      <c r="BC49" s="452"/>
      <c r="BD49" s="451"/>
      <c r="BE49" s="451"/>
      <c r="BF49" s="451"/>
      <c r="BG49" s="451"/>
      <c r="BH49" s="452"/>
      <c r="BI49" s="451"/>
      <c r="BJ49" s="451"/>
      <c r="BK49" s="451"/>
      <c r="BL49" s="451"/>
      <c r="BM49" s="452"/>
      <c r="BN49" s="451"/>
      <c r="BO49" s="451"/>
      <c r="BP49" s="451"/>
      <c r="BQ49" s="451"/>
      <c r="BR49" s="452"/>
      <c r="BS49" s="451"/>
      <c r="BT49" s="451"/>
      <c r="BU49" s="451"/>
      <c r="BV49" s="451"/>
      <c r="BW49" s="452"/>
      <c r="BX49" s="451"/>
      <c r="BY49" s="451"/>
      <c r="BZ49" s="451"/>
      <c r="CA49" s="451"/>
      <c r="CB49" s="452"/>
      <c r="CC49" s="451"/>
      <c r="CD49" s="451"/>
      <c r="CE49" s="451"/>
      <c r="CF49" s="451"/>
      <c r="CG49" s="452"/>
      <c r="CH49" s="451"/>
      <c r="CI49" s="451"/>
      <c r="CJ49" s="451"/>
      <c r="CK49" s="451"/>
      <c r="CL49" s="452"/>
      <c r="CM49" s="451"/>
      <c r="CN49" s="451"/>
      <c r="CO49" s="451"/>
      <c r="CP49" s="451"/>
      <c r="CQ49" s="452"/>
      <c r="CR49" s="451"/>
      <c r="CS49" s="451"/>
      <c r="CT49" s="451"/>
      <c r="CU49" s="451"/>
      <c r="CV49" s="452"/>
      <c r="CW49" s="451"/>
      <c r="CX49" s="451"/>
      <c r="CY49" s="451"/>
      <c r="CZ49" s="451"/>
      <c r="DA49" s="452"/>
      <c r="DB49" s="451"/>
      <c r="DC49" s="451"/>
      <c r="DD49" s="451"/>
      <c r="DE49" s="451"/>
      <c r="DF49" s="452"/>
      <c r="DG49" s="451"/>
      <c r="DH49" s="451"/>
      <c r="DI49" s="451"/>
      <c r="DJ49" s="451"/>
      <c r="DK49" s="452"/>
      <c r="DL49" s="451"/>
      <c r="DM49" s="451"/>
      <c r="DN49" s="451"/>
      <c r="DO49" s="451"/>
      <c r="DP49" s="452"/>
      <c r="DQ49" s="451"/>
      <c r="DR49" s="451"/>
      <c r="DS49" s="451"/>
      <c r="DT49" s="451"/>
      <c r="DU49" s="452"/>
      <c r="DV49" s="451"/>
      <c r="DW49" s="451"/>
      <c r="DX49" s="451"/>
      <c r="DY49" s="451"/>
      <c r="DZ49" s="452"/>
      <c r="EA49" s="451"/>
      <c r="EB49" s="451"/>
      <c r="EC49" s="451"/>
      <c r="ED49" s="451"/>
      <c r="EE49" s="452"/>
      <c r="EF49" s="451"/>
      <c r="EG49" s="451"/>
      <c r="EH49" s="451"/>
      <c r="EI49" s="451"/>
      <c r="EJ49" s="452"/>
      <c r="EK49" s="451"/>
      <c r="EL49" s="451"/>
      <c r="EO49" s="13"/>
      <c r="EP49" s="14"/>
      <c r="EQ49" s="14"/>
    </row>
    <row r="50" spans="4:147" ht="12.75" hidden="1" customHeight="1" x14ac:dyDescent="0.2">
      <c r="D50" s="13" t="s">
        <v>433</v>
      </c>
      <c r="E50" s="198"/>
      <c r="G50" s="451">
        <v>0</v>
      </c>
      <c r="H50" s="451"/>
      <c r="I50" s="451"/>
      <c r="J50" s="452"/>
      <c r="K50" s="451"/>
      <c r="L50" s="451">
        <f>SUM(L51:L53)</f>
        <v>0</v>
      </c>
      <c r="M50" s="451"/>
      <c r="N50" s="451"/>
      <c r="O50" s="452"/>
      <c r="Q50" s="451">
        <f>SUM(Q51:Q53)</f>
        <v>0</v>
      </c>
      <c r="R50" s="451"/>
      <c r="S50" s="451"/>
      <c r="T50" s="452"/>
      <c r="V50" s="451">
        <f>SUM(V51:V53)</f>
        <v>0</v>
      </c>
      <c r="W50" s="451"/>
      <c r="X50" s="451"/>
      <c r="Y50" s="452"/>
      <c r="AA50" s="451">
        <f>SUM(AA51:AA53)</f>
        <v>0</v>
      </c>
      <c r="AB50" s="451"/>
      <c r="AC50" s="451"/>
      <c r="AD50" s="452"/>
      <c r="AF50" s="451">
        <f>SUM(AF51:AF53)</f>
        <v>0</v>
      </c>
      <c r="AG50" s="451"/>
      <c r="AH50" s="451"/>
      <c r="AI50" s="452"/>
      <c r="AK50" s="451">
        <f>SUM(AK51:AK53)</f>
        <v>0</v>
      </c>
      <c r="AL50" s="451"/>
      <c r="AM50" s="451"/>
      <c r="AN50" s="452"/>
      <c r="AP50" s="451">
        <f>SUM(AP51:AP53)</f>
        <v>0</v>
      </c>
      <c r="AQ50" s="451"/>
      <c r="AR50" s="451"/>
      <c r="AS50" s="452"/>
      <c r="AU50" s="451">
        <f>SUM(AU51:AU53)</f>
        <v>0</v>
      </c>
      <c r="AV50" s="451"/>
      <c r="AW50" s="451"/>
      <c r="AX50" s="452"/>
      <c r="AZ50" s="451">
        <f>SUM(AZ51:AZ53)</f>
        <v>0</v>
      </c>
      <c r="BA50" s="451"/>
      <c r="BB50" s="451"/>
      <c r="BC50" s="452"/>
      <c r="BE50" s="451">
        <f>SUM(BE51:BE53)</f>
        <v>0</v>
      </c>
      <c r="BF50" s="451"/>
      <c r="BG50" s="451"/>
      <c r="BH50" s="452"/>
      <c r="BJ50" s="451">
        <f>SUM(BJ51:BJ53)</f>
        <v>0</v>
      </c>
      <c r="BK50" s="451"/>
      <c r="BL50" s="451"/>
      <c r="BM50" s="452"/>
      <c r="BO50" s="451">
        <f>SUM(BO51:BO53)</f>
        <v>0</v>
      </c>
      <c r="BP50" s="451"/>
      <c r="BQ50" s="451"/>
      <c r="BR50" s="452"/>
      <c r="BS50" s="451"/>
      <c r="BT50" s="451">
        <f>SUM(BT51:BT53)</f>
        <v>0</v>
      </c>
      <c r="BU50" s="451"/>
      <c r="BV50" s="451"/>
      <c r="BW50" s="452"/>
      <c r="BX50" s="451"/>
      <c r="BY50" s="451">
        <f>SUM(BY51:BY53)</f>
        <v>0</v>
      </c>
      <c r="BZ50" s="451"/>
      <c r="CA50" s="451"/>
      <c r="CB50" s="452"/>
      <c r="CC50" s="451"/>
      <c r="CD50" s="451">
        <f>SUM(CD51:CD53)</f>
        <v>0</v>
      </c>
      <c r="CE50" s="451"/>
      <c r="CF50" s="451"/>
      <c r="CG50" s="452"/>
      <c r="CI50" s="451">
        <f>SUM(CI51:CI53)</f>
        <v>0</v>
      </c>
      <c r="CJ50" s="451"/>
      <c r="CK50" s="451"/>
      <c r="CL50" s="452"/>
      <c r="CN50" s="451">
        <f>SUM(CN51:CN53)</f>
        <v>0</v>
      </c>
      <c r="CO50" s="451"/>
      <c r="CP50" s="451"/>
      <c r="CQ50" s="452"/>
      <c r="CS50" s="451">
        <f>SUM(CS51:CS53)</f>
        <v>0</v>
      </c>
      <c r="CT50" s="451"/>
      <c r="CU50" s="451"/>
      <c r="CV50" s="452"/>
      <c r="CX50" s="451">
        <f>SUM(CX51:CX53)</f>
        <v>0</v>
      </c>
      <c r="CY50" s="451"/>
      <c r="CZ50" s="451"/>
      <c r="DA50" s="452"/>
      <c r="DC50" s="451">
        <f>SUM(DC51:DC53)</f>
        <v>0</v>
      </c>
      <c r="DD50" s="451"/>
      <c r="DE50" s="451"/>
      <c r="DF50" s="452"/>
      <c r="DH50" s="451">
        <f>SUM(DH51:DH53)</f>
        <v>0</v>
      </c>
      <c r="DI50" s="451"/>
      <c r="DJ50" s="451"/>
      <c r="DK50" s="452"/>
      <c r="DM50" s="451">
        <f>SUM(DM51:DM53)</f>
        <v>0</v>
      </c>
      <c r="DN50" s="451"/>
      <c r="DO50" s="451"/>
      <c r="DP50" s="452"/>
      <c r="DR50" s="451">
        <f>SUM(DR51:DR53)</f>
        <v>0</v>
      </c>
      <c r="DS50" s="451"/>
      <c r="DT50" s="451"/>
      <c r="DU50" s="452"/>
      <c r="DW50" s="451">
        <f>SUM(DW51:DW53)</f>
        <v>0</v>
      </c>
      <c r="DX50" s="451"/>
      <c r="DY50" s="451"/>
      <c r="DZ50" s="452"/>
      <c r="EB50" s="451">
        <f>SUM(EB51:EB53)</f>
        <v>0</v>
      </c>
      <c r="EC50" s="451"/>
      <c r="ED50" s="451"/>
      <c r="EE50" s="452"/>
      <c r="EG50" s="451">
        <f>SUM(EG51:EG53)</f>
        <v>0</v>
      </c>
      <c r="EH50" s="451"/>
      <c r="EI50" s="451"/>
      <c r="EJ50" s="452"/>
      <c r="EK50" s="451"/>
      <c r="EL50" s="451">
        <f>SUM(EL51:EL53)</f>
        <v>0</v>
      </c>
      <c r="EO50" s="13"/>
      <c r="EP50" s="14"/>
      <c r="EQ50" s="14"/>
    </row>
    <row r="51" spans="4:147" ht="12.75" hidden="1" customHeight="1" x14ac:dyDescent="0.2">
      <c r="D51" s="13" t="s">
        <v>347</v>
      </c>
      <c r="E51" s="198"/>
      <c r="F51" s="374"/>
      <c r="G51" s="449">
        <v>0</v>
      </c>
      <c r="H51" s="450"/>
      <c r="I51" s="451"/>
      <c r="J51" s="452"/>
      <c r="K51" s="453"/>
      <c r="L51" s="449">
        <v>0</v>
      </c>
      <c r="M51" s="450"/>
      <c r="N51" s="451"/>
      <c r="O51" s="452"/>
      <c r="P51" s="374"/>
      <c r="Q51" s="449">
        <v>0</v>
      </c>
      <c r="R51" s="450"/>
      <c r="S51" s="451"/>
      <c r="T51" s="452"/>
      <c r="U51" s="374"/>
      <c r="V51" s="449">
        <v>0</v>
      </c>
      <c r="W51" s="450"/>
      <c r="X51" s="451"/>
      <c r="Y51" s="452"/>
      <c r="Z51" s="374"/>
      <c r="AA51" s="449">
        <v>0</v>
      </c>
      <c r="AB51" s="450"/>
      <c r="AC51" s="451"/>
      <c r="AD51" s="452"/>
      <c r="AE51" s="374"/>
      <c r="AF51" s="449">
        <v>0</v>
      </c>
      <c r="AG51" s="450"/>
      <c r="AH51" s="451"/>
      <c r="AI51" s="452"/>
      <c r="AJ51" s="374"/>
      <c r="AK51" s="449">
        <v>0</v>
      </c>
      <c r="AL51" s="450"/>
      <c r="AM51" s="451"/>
      <c r="AN51" s="452"/>
      <c r="AO51" s="374"/>
      <c r="AP51" s="449">
        <v>0</v>
      </c>
      <c r="AQ51" s="450"/>
      <c r="AR51" s="451"/>
      <c r="AS51" s="452"/>
      <c r="AT51" s="374"/>
      <c r="AU51" s="449">
        <v>0</v>
      </c>
      <c r="AV51" s="450"/>
      <c r="AW51" s="451"/>
      <c r="AX51" s="452"/>
      <c r="AY51" s="374"/>
      <c r="AZ51" s="449">
        <v>0</v>
      </c>
      <c r="BA51" s="450"/>
      <c r="BB51" s="451"/>
      <c r="BC51" s="452"/>
      <c r="BD51" s="374"/>
      <c r="BE51" s="449">
        <v>0</v>
      </c>
      <c r="BF51" s="450"/>
      <c r="BG51" s="451"/>
      <c r="BH51" s="452"/>
      <c r="BI51" s="374"/>
      <c r="BJ51" s="449">
        <v>0</v>
      </c>
      <c r="BK51" s="450"/>
      <c r="BL51" s="451"/>
      <c r="BM51" s="452"/>
      <c r="BN51" s="374"/>
      <c r="BO51" s="449">
        <v>0</v>
      </c>
      <c r="BP51" s="450"/>
      <c r="BQ51" s="451"/>
      <c r="BR51" s="452"/>
      <c r="BS51" s="453"/>
      <c r="BT51" s="449">
        <f>SUM(L51:BO51)</f>
        <v>0</v>
      </c>
      <c r="BU51" s="450"/>
      <c r="BV51" s="451"/>
      <c r="BW51" s="452"/>
      <c r="BX51" s="453"/>
      <c r="BY51" s="449">
        <v>0</v>
      </c>
      <c r="BZ51" s="450"/>
      <c r="CA51" s="451"/>
      <c r="CB51" s="452"/>
      <c r="CC51" s="453"/>
      <c r="CD51" s="449">
        <v>0</v>
      </c>
      <c r="CE51" s="450"/>
      <c r="CF51" s="451"/>
      <c r="CG51" s="452"/>
      <c r="CH51" s="374"/>
      <c r="CI51" s="449">
        <v>0</v>
      </c>
      <c r="CJ51" s="450"/>
      <c r="CK51" s="451"/>
      <c r="CL51" s="452"/>
      <c r="CM51" s="374"/>
      <c r="CN51" s="449">
        <v>0</v>
      </c>
      <c r="CO51" s="450"/>
      <c r="CP51" s="451"/>
      <c r="CQ51" s="452"/>
      <c r="CR51" s="374"/>
      <c r="CS51" s="449">
        <v>0</v>
      </c>
      <c r="CT51" s="450"/>
      <c r="CU51" s="451"/>
      <c r="CV51" s="452"/>
      <c r="CW51" s="374"/>
      <c r="CX51" s="449">
        <v>0</v>
      </c>
      <c r="CY51" s="450"/>
      <c r="CZ51" s="451"/>
      <c r="DA51" s="452"/>
      <c r="DB51" s="374"/>
      <c r="DC51" s="449">
        <v>0</v>
      </c>
      <c r="DD51" s="450"/>
      <c r="DE51" s="451"/>
      <c r="DF51" s="452"/>
      <c r="DG51" s="374"/>
      <c r="DH51" s="449">
        <v>0</v>
      </c>
      <c r="DI51" s="450"/>
      <c r="DJ51" s="451"/>
      <c r="DK51" s="452"/>
      <c r="DL51" s="374"/>
      <c r="DM51" s="449">
        <v>0</v>
      </c>
      <c r="DN51" s="450"/>
      <c r="DO51" s="451"/>
      <c r="DP51" s="452"/>
      <c r="DQ51" s="374"/>
      <c r="DR51" s="449">
        <v>0</v>
      </c>
      <c r="DS51" s="450"/>
      <c r="DT51" s="451"/>
      <c r="DU51" s="452"/>
      <c r="DV51" s="374"/>
      <c r="DW51" s="449">
        <v>0</v>
      </c>
      <c r="DX51" s="450"/>
      <c r="DY51" s="451"/>
      <c r="DZ51" s="452"/>
      <c r="EA51" s="374"/>
      <c r="EB51" s="449">
        <v>0</v>
      </c>
      <c r="EC51" s="450"/>
      <c r="ED51" s="451"/>
      <c r="EE51" s="452"/>
      <c r="EF51" s="374"/>
      <c r="EG51" s="449">
        <v>0</v>
      </c>
      <c r="EH51" s="450"/>
      <c r="EI51" s="451"/>
      <c r="EJ51" s="452"/>
      <c r="EK51" s="453"/>
      <c r="EL51" s="449">
        <f>SUM(CD51:CN51)</f>
        <v>0</v>
      </c>
      <c r="EM51" s="375"/>
      <c r="EO51" s="13"/>
      <c r="EP51" s="14"/>
      <c r="EQ51" s="14"/>
    </row>
    <row r="52" spans="4:147" ht="12.75" hidden="1" customHeight="1" x14ac:dyDescent="0.2">
      <c r="D52" s="13" t="s">
        <v>429</v>
      </c>
      <c r="E52" s="198"/>
      <c r="F52" s="198"/>
      <c r="G52" s="451">
        <v>0</v>
      </c>
      <c r="H52" s="455"/>
      <c r="I52" s="451"/>
      <c r="J52" s="452"/>
      <c r="K52" s="452"/>
      <c r="L52" s="451">
        <v>0</v>
      </c>
      <c r="M52" s="455"/>
      <c r="N52" s="451"/>
      <c r="O52" s="452"/>
      <c r="P52" s="198"/>
      <c r="Q52" s="451">
        <v>0</v>
      </c>
      <c r="R52" s="455"/>
      <c r="S52" s="451"/>
      <c r="T52" s="452"/>
      <c r="U52" s="198"/>
      <c r="V52" s="451">
        <v>0</v>
      </c>
      <c r="W52" s="455"/>
      <c r="X52" s="451"/>
      <c r="Y52" s="452"/>
      <c r="Z52" s="198"/>
      <c r="AA52" s="451">
        <v>0</v>
      </c>
      <c r="AB52" s="455"/>
      <c r="AC52" s="451"/>
      <c r="AD52" s="452"/>
      <c r="AE52" s="198"/>
      <c r="AF52" s="451">
        <v>0</v>
      </c>
      <c r="AG52" s="455"/>
      <c r="AH52" s="451"/>
      <c r="AI52" s="452"/>
      <c r="AJ52" s="198"/>
      <c r="AK52" s="451">
        <v>0</v>
      </c>
      <c r="AL52" s="455"/>
      <c r="AM52" s="451"/>
      <c r="AN52" s="452"/>
      <c r="AO52" s="198"/>
      <c r="AP52" s="451">
        <v>0</v>
      </c>
      <c r="AQ52" s="455"/>
      <c r="AR52" s="451"/>
      <c r="AS52" s="452"/>
      <c r="AT52" s="198"/>
      <c r="AU52" s="451">
        <v>0</v>
      </c>
      <c r="AV52" s="455"/>
      <c r="AW52" s="451"/>
      <c r="AX52" s="452"/>
      <c r="AY52" s="198"/>
      <c r="AZ52" s="451">
        <v>0</v>
      </c>
      <c r="BA52" s="455"/>
      <c r="BB52" s="451"/>
      <c r="BC52" s="452"/>
      <c r="BD52" s="198"/>
      <c r="BE52" s="451">
        <v>0</v>
      </c>
      <c r="BF52" s="455"/>
      <c r="BG52" s="451"/>
      <c r="BH52" s="452"/>
      <c r="BI52" s="198"/>
      <c r="BJ52" s="451">
        <v>0</v>
      </c>
      <c r="BK52" s="455"/>
      <c r="BL52" s="451"/>
      <c r="BM52" s="452"/>
      <c r="BN52" s="198"/>
      <c r="BO52" s="451">
        <v>0</v>
      </c>
      <c r="BP52" s="455"/>
      <c r="BQ52" s="451"/>
      <c r="BR52" s="452"/>
      <c r="BS52" s="452"/>
      <c r="BT52" s="451">
        <f>SUM(L52:BO52)</f>
        <v>0</v>
      </c>
      <c r="BU52" s="455"/>
      <c r="BV52" s="451"/>
      <c r="BW52" s="452"/>
      <c r="BX52" s="452"/>
      <c r="BY52" s="451">
        <v>0</v>
      </c>
      <c r="BZ52" s="455"/>
      <c r="CA52" s="451"/>
      <c r="CB52" s="452"/>
      <c r="CC52" s="452"/>
      <c r="CD52" s="451">
        <v>0</v>
      </c>
      <c r="CE52" s="455"/>
      <c r="CF52" s="451"/>
      <c r="CG52" s="452"/>
      <c r="CH52" s="198"/>
      <c r="CI52" s="451">
        <v>0</v>
      </c>
      <c r="CJ52" s="455"/>
      <c r="CK52" s="451"/>
      <c r="CL52" s="452"/>
      <c r="CM52" s="198"/>
      <c r="CN52" s="451">
        <v>0</v>
      </c>
      <c r="CO52" s="455"/>
      <c r="CP52" s="451"/>
      <c r="CQ52" s="452"/>
      <c r="CR52" s="198"/>
      <c r="CS52" s="451">
        <v>0</v>
      </c>
      <c r="CT52" s="455"/>
      <c r="CU52" s="451"/>
      <c r="CV52" s="452"/>
      <c r="CW52" s="198"/>
      <c r="CX52" s="451">
        <v>0</v>
      </c>
      <c r="CY52" s="455"/>
      <c r="CZ52" s="451"/>
      <c r="DA52" s="452"/>
      <c r="DB52" s="198"/>
      <c r="DC52" s="451">
        <v>0</v>
      </c>
      <c r="DD52" s="455"/>
      <c r="DE52" s="451"/>
      <c r="DF52" s="452"/>
      <c r="DG52" s="198"/>
      <c r="DH52" s="451">
        <v>0</v>
      </c>
      <c r="DI52" s="455"/>
      <c r="DJ52" s="451"/>
      <c r="DK52" s="452"/>
      <c r="DL52" s="198"/>
      <c r="DM52" s="451">
        <v>0</v>
      </c>
      <c r="DN52" s="455"/>
      <c r="DO52" s="451"/>
      <c r="DP52" s="452"/>
      <c r="DQ52" s="198"/>
      <c r="DR52" s="451">
        <v>0</v>
      </c>
      <c r="DS52" s="455"/>
      <c r="DT52" s="451"/>
      <c r="DU52" s="452"/>
      <c r="DV52" s="198"/>
      <c r="DW52" s="451">
        <v>0</v>
      </c>
      <c r="DX52" s="455"/>
      <c r="DY52" s="451"/>
      <c r="DZ52" s="452"/>
      <c r="EA52" s="198"/>
      <c r="EB52" s="451">
        <v>0</v>
      </c>
      <c r="EC52" s="455"/>
      <c r="ED52" s="451"/>
      <c r="EE52" s="452"/>
      <c r="EF52" s="198"/>
      <c r="EG52" s="451">
        <v>0</v>
      </c>
      <c r="EH52" s="455"/>
      <c r="EI52" s="451"/>
      <c r="EJ52" s="452"/>
      <c r="EK52" s="452"/>
      <c r="EL52" s="451">
        <f>SUM(CD52:CN52)</f>
        <v>0</v>
      </c>
      <c r="EM52" s="189"/>
      <c r="EO52" s="13"/>
      <c r="EP52" s="14"/>
      <c r="EQ52" s="14"/>
    </row>
    <row r="53" spans="4:147" ht="12.75" hidden="1" customHeight="1" x14ac:dyDescent="0.2">
      <c r="D53" s="13" t="s">
        <v>430</v>
      </c>
      <c r="E53" s="198"/>
      <c r="F53" s="385"/>
      <c r="G53" s="463">
        <v>0</v>
      </c>
      <c r="H53" s="464"/>
      <c r="I53" s="451"/>
      <c r="J53" s="452"/>
      <c r="K53" s="465"/>
      <c r="L53" s="463">
        <v>0</v>
      </c>
      <c r="M53" s="464"/>
      <c r="N53" s="451"/>
      <c r="O53" s="452"/>
      <c r="P53" s="385"/>
      <c r="Q53" s="463">
        <v>0</v>
      </c>
      <c r="R53" s="464"/>
      <c r="S53" s="451"/>
      <c r="T53" s="452"/>
      <c r="U53" s="385"/>
      <c r="V53" s="463">
        <v>0</v>
      </c>
      <c r="W53" s="464"/>
      <c r="X53" s="451"/>
      <c r="Y53" s="452"/>
      <c r="Z53" s="385"/>
      <c r="AA53" s="463">
        <v>0</v>
      </c>
      <c r="AB53" s="464"/>
      <c r="AC53" s="451"/>
      <c r="AD53" s="452"/>
      <c r="AE53" s="385"/>
      <c r="AF53" s="463">
        <v>0</v>
      </c>
      <c r="AG53" s="464"/>
      <c r="AH53" s="451"/>
      <c r="AI53" s="452"/>
      <c r="AJ53" s="385"/>
      <c r="AK53" s="463">
        <v>0</v>
      </c>
      <c r="AL53" s="464"/>
      <c r="AM53" s="451"/>
      <c r="AN53" s="452"/>
      <c r="AO53" s="385"/>
      <c r="AP53" s="463">
        <v>0</v>
      </c>
      <c r="AQ53" s="464"/>
      <c r="AR53" s="451"/>
      <c r="AS53" s="452"/>
      <c r="AT53" s="385"/>
      <c r="AU53" s="463">
        <v>0</v>
      </c>
      <c r="AV53" s="464"/>
      <c r="AW53" s="451"/>
      <c r="AX53" s="452"/>
      <c r="AY53" s="385"/>
      <c r="AZ53" s="463">
        <v>0</v>
      </c>
      <c r="BA53" s="464"/>
      <c r="BB53" s="451"/>
      <c r="BC53" s="452"/>
      <c r="BD53" s="385"/>
      <c r="BE53" s="463">
        <v>0</v>
      </c>
      <c r="BF53" s="464"/>
      <c r="BG53" s="451"/>
      <c r="BH53" s="452"/>
      <c r="BI53" s="385"/>
      <c r="BJ53" s="463">
        <v>0</v>
      </c>
      <c r="BK53" s="464"/>
      <c r="BL53" s="451"/>
      <c r="BM53" s="452"/>
      <c r="BN53" s="385"/>
      <c r="BO53" s="463">
        <v>0</v>
      </c>
      <c r="BP53" s="464"/>
      <c r="BQ53" s="451"/>
      <c r="BR53" s="452"/>
      <c r="BS53" s="465"/>
      <c r="BT53" s="463">
        <f>SUM(L53:BO53)</f>
        <v>0</v>
      </c>
      <c r="BU53" s="464"/>
      <c r="BV53" s="451"/>
      <c r="BW53" s="452"/>
      <c r="BX53" s="465"/>
      <c r="BY53" s="463">
        <v>0</v>
      </c>
      <c r="BZ53" s="464"/>
      <c r="CA53" s="451"/>
      <c r="CB53" s="452"/>
      <c r="CC53" s="465"/>
      <c r="CD53" s="463">
        <v>0</v>
      </c>
      <c r="CE53" s="464"/>
      <c r="CF53" s="451"/>
      <c r="CG53" s="452"/>
      <c r="CH53" s="385"/>
      <c r="CI53" s="463">
        <v>0</v>
      </c>
      <c r="CJ53" s="464"/>
      <c r="CK53" s="451"/>
      <c r="CL53" s="452"/>
      <c r="CM53" s="385"/>
      <c r="CN53" s="463">
        <v>0</v>
      </c>
      <c r="CO53" s="464"/>
      <c r="CP53" s="451"/>
      <c r="CQ53" s="452"/>
      <c r="CR53" s="385"/>
      <c r="CS53" s="463">
        <v>0</v>
      </c>
      <c r="CT53" s="464"/>
      <c r="CU53" s="451"/>
      <c r="CV53" s="452"/>
      <c r="CW53" s="385"/>
      <c r="CX53" s="463">
        <v>0</v>
      </c>
      <c r="CY53" s="464"/>
      <c r="CZ53" s="451"/>
      <c r="DA53" s="452"/>
      <c r="DB53" s="385"/>
      <c r="DC53" s="463">
        <v>0</v>
      </c>
      <c r="DD53" s="464"/>
      <c r="DE53" s="451"/>
      <c r="DF53" s="452"/>
      <c r="DG53" s="385"/>
      <c r="DH53" s="463">
        <v>0</v>
      </c>
      <c r="DI53" s="464"/>
      <c r="DJ53" s="451"/>
      <c r="DK53" s="452"/>
      <c r="DL53" s="385"/>
      <c r="DM53" s="463">
        <v>0</v>
      </c>
      <c r="DN53" s="464"/>
      <c r="DO53" s="451"/>
      <c r="DP53" s="452"/>
      <c r="DQ53" s="385"/>
      <c r="DR53" s="463">
        <v>0</v>
      </c>
      <c r="DS53" s="464"/>
      <c r="DT53" s="451"/>
      <c r="DU53" s="452"/>
      <c r="DV53" s="385"/>
      <c r="DW53" s="463">
        <v>0</v>
      </c>
      <c r="DX53" s="464"/>
      <c r="DY53" s="451"/>
      <c r="DZ53" s="452"/>
      <c r="EA53" s="385"/>
      <c r="EB53" s="463">
        <v>0</v>
      </c>
      <c r="EC53" s="464"/>
      <c r="ED53" s="451"/>
      <c r="EE53" s="452"/>
      <c r="EF53" s="385"/>
      <c r="EG53" s="463">
        <v>0</v>
      </c>
      <c r="EH53" s="464"/>
      <c r="EI53" s="451"/>
      <c r="EJ53" s="452"/>
      <c r="EK53" s="465"/>
      <c r="EL53" s="463">
        <f>SUM(CD53:CN53)</f>
        <v>0</v>
      </c>
      <c r="EM53" s="212"/>
      <c r="EO53" s="13"/>
      <c r="EP53" s="14"/>
      <c r="EQ53" s="14"/>
    </row>
    <row r="54" spans="4:147" hidden="1" x14ac:dyDescent="0.2">
      <c r="D54" s="13"/>
      <c r="E54" s="198"/>
      <c r="G54" s="451"/>
      <c r="H54" s="451"/>
      <c r="I54" s="451"/>
      <c r="J54" s="452"/>
      <c r="K54" s="451"/>
      <c r="L54" s="451"/>
      <c r="M54" s="451"/>
      <c r="N54" s="451"/>
      <c r="O54" s="452"/>
      <c r="P54" s="451"/>
      <c r="Q54" s="451"/>
      <c r="R54" s="451"/>
      <c r="S54" s="451"/>
      <c r="T54" s="452"/>
      <c r="U54" s="451"/>
      <c r="V54" s="451"/>
      <c r="W54" s="451"/>
      <c r="X54" s="451"/>
      <c r="Y54" s="452"/>
      <c r="Z54" s="451"/>
      <c r="AA54" s="451"/>
      <c r="AB54" s="451"/>
      <c r="AC54" s="451"/>
      <c r="AD54" s="452"/>
      <c r="AE54" s="451"/>
      <c r="AF54" s="451"/>
      <c r="AG54" s="451"/>
      <c r="AH54" s="451"/>
      <c r="AI54" s="452"/>
      <c r="AJ54" s="451"/>
      <c r="AK54" s="451"/>
      <c r="AL54" s="451"/>
      <c r="AM54" s="451"/>
      <c r="AN54" s="452"/>
      <c r="AO54" s="451"/>
      <c r="AP54" s="451"/>
      <c r="AQ54" s="451"/>
      <c r="AR54" s="451"/>
      <c r="AS54" s="452"/>
      <c r="AT54" s="451"/>
      <c r="AU54" s="451"/>
      <c r="AV54" s="451"/>
      <c r="AW54" s="451"/>
      <c r="AX54" s="452"/>
      <c r="AY54" s="451"/>
      <c r="AZ54" s="451"/>
      <c r="BA54" s="451"/>
      <c r="BB54" s="451"/>
      <c r="BC54" s="452"/>
      <c r="BD54" s="451"/>
      <c r="BE54" s="451"/>
      <c r="BF54" s="451"/>
      <c r="BG54" s="451"/>
      <c r="BH54" s="452"/>
      <c r="BI54" s="451"/>
      <c r="BJ54" s="451"/>
      <c r="BK54" s="451"/>
      <c r="BL54" s="451"/>
      <c r="BM54" s="452"/>
      <c r="BN54" s="451"/>
      <c r="BO54" s="451"/>
      <c r="BP54" s="451"/>
      <c r="BQ54" s="451"/>
      <c r="BR54" s="452"/>
      <c r="BS54" s="451"/>
      <c r="BT54" s="451"/>
      <c r="BU54" s="451"/>
      <c r="BV54" s="451"/>
      <c r="BW54" s="452"/>
      <c r="BX54" s="451"/>
      <c r="BY54" s="451"/>
      <c r="BZ54" s="451"/>
      <c r="CA54" s="451"/>
      <c r="CB54" s="452"/>
      <c r="CC54" s="451"/>
      <c r="CD54" s="451"/>
      <c r="CE54" s="451"/>
      <c r="CF54" s="451"/>
      <c r="CG54" s="452"/>
      <c r="CH54" s="451"/>
      <c r="CI54" s="451"/>
      <c r="CJ54" s="451"/>
      <c r="CK54" s="451"/>
      <c r="CL54" s="452"/>
      <c r="CM54" s="451"/>
      <c r="CN54" s="451"/>
      <c r="CO54" s="451"/>
      <c r="CP54" s="451"/>
      <c r="CQ54" s="452"/>
      <c r="CR54" s="451"/>
      <c r="CS54" s="451"/>
      <c r="CT54" s="451"/>
      <c r="CU54" s="451"/>
      <c r="CV54" s="452"/>
      <c r="CW54" s="451"/>
      <c r="CX54" s="451"/>
      <c r="CY54" s="451"/>
      <c r="CZ54" s="451"/>
      <c r="DA54" s="452"/>
      <c r="DB54" s="451"/>
      <c r="DC54" s="451"/>
      <c r="DD54" s="451"/>
      <c r="DE54" s="451"/>
      <c r="DF54" s="452"/>
      <c r="DG54" s="451"/>
      <c r="DH54" s="451"/>
      <c r="DI54" s="451"/>
      <c r="DJ54" s="451"/>
      <c r="DK54" s="452"/>
      <c r="DL54" s="451"/>
      <c r="DM54" s="451"/>
      <c r="DN54" s="451"/>
      <c r="DO54" s="451"/>
      <c r="DP54" s="452"/>
      <c r="DQ54" s="451"/>
      <c r="DR54" s="451"/>
      <c r="DS54" s="451"/>
      <c r="DT54" s="451"/>
      <c r="DU54" s="452"/>
      <c r="DV54" s="451"/>
      <c r="DW54" s="451"/>
      <c r="DX54" s="451"/>
      <c r="DY54" s="451"/>
      <c r="DZ54" s="452"/>
      <c r="EA54" s="451"/>
      <c r="EB54" s="451"/>
      <c r="EC54" s="451"/>
      <c r="ED54" s="451"/>
      <c r="EE54" s="452"/>
      <c r="EF54" s="451"/>
      <c r="EG54" s="451"/>
      <c r="EH54" s="451"/>
      <c r="EI54" s="451"/>
      <c r="EJ54" s="452"/>
      <c r="EK54" s="451"/>
      <c r="EL54" s="451"/>
      <c r="EO54" s="13"/>
      <c r="EP54" s="14"/>
      <c r="EQ54" s="14"/>
    </row>
    <row r="55" spans="4:147" x14ac:dyDescent="0.2">
      <c r="D55" s="13" t="s">
        <v>367</v>
      </c>
      <c r="E55" s="198"/>
      <c r="G55" s="451">
        <f>SUM(G56:G58)</f>
        <v>0</v>
      </c>
      <c r="H55" s="451"/>
      <c r="I55" s="451"/>
      <c r="J55" s="452"/>
      <c r="K55" s="451"/>
      <c r="L55" s="451">
        <f>SUM(L56:L58)</f>
        <v>0</v>
      </c>
      <c r="M55" s="451"/>
      <c r="N55" s="451"/>
      <c r="O55" s="452"/>
      <c r="Q55" s="451">
        <f>SUM(Q56:Q58)</f>
        <v>0</v>
      </c>
      <c r="R55" s="451"/>
      <c r="S55" s="451"/>
      <c r="T55" s="452"/>
      <c r="V55" s="451">
        <f>SUM(V56:V58)</f>
        <v>0</v>
      </c>
      <c r="W55" s="451"/>
      <c r="X55" s="451"/>
      <c r="Y55" s="452"/>
      <c r="AA55" s="451">
        <f>SUM(AA56:AA58)</f>
        <v>0</v>
      </c>
      <c r="AB55" s="451"/>
      <c r="AC55" s="451"/>
      <c r="AD55" s="452"/>
      <c r="AF55" s="451">
        <f>SUM(AF56:AF58)</f>
        <v>0</v>
      </c>
      <c r="AG55" s="451"/>
      <c r="AH55" s="451"/>
      <c r="AI55" s="452"/>
      <c r="AK55" s="451">
        <f>SUM(AK56:AK58)</f>
        <v>0</v>
      </c>
      <c r="AL55" s="451"/>
      <c r="AM55" s="451"/>
      <c r="AN55" s="452"/>
      <c r="AP55" s="451">
        <f>SUM(AP56:AP58)</f>
        <v>0</v>
      </c>
      <c r="AQ55" s="451"/>
      <c r="AR55" s="451"/>
      <c r="AS55" s="452"/>
      <c r="AU55" s="451">
        <f>SUM(AU56:AU58)</f>
        <v>0</v>
      </c>
      <c r="AV55" s="451"/>
      <c r="AW55" s="451"/>
      <c r="AX55" s="452"/>
      <c r="AZ55" s="451">
        <f>SUM(AZ56:AZ58)</f>
        <v>0</v>
      </c>
      <c r="BA55" s="451"/>
      <c r="BB55" s="451"/>
      <c r="BC55" s="452"/>
      <c r="BE55" s="451">
        <f>SUM(BE56:BE58)</f>
        <v>0</v>
      </c>
      <c r="BF55" s="451"/>
      <c r="BG55" s="451"/>
      <c r="BH55" s="452"/>
      <c r="BJ55" s="451">
        <f>SUM(BJ56:BJ58)</f>
        <v>0</v>
      </c>
      <c r="BK55" s="451"/>
      <c r="BL55" s="451"/>
      <c r="BM55" s="452"/>
      <c r="BO55" s="451">
        <f>SUM(BO56:BO58)</f>
        <v>0</v>
      </c>
      <c r="BP55" s="451"/>
      <c r="BQ55" s="451"/>
      <c r="BR55" s="452"/>
      <c r="BS55" s="463"/>
      <c r="BT55" s="463">
        <f>SUM(BT56:BT58)</f>
        <v>0</v>
      </c>
      <c r="BU55" s="451"/>
      <c r="BV55" s="451"/>
      <c r="BW55" s="452"/>
      <c r="BX55" s="451"/>
      <c r="BY55" s="451">
        <f>SUM(BY56:BY58)</f>
        <v>12795000</v>
      </c>
      <c r="BZ55" s="451"/>
      <c r="CA55" s="451"/>
      <c r="CB55" s="452"/>
      <c r="CC55" s="451"/>
      <c r="CD55" s="451">
        <f>SUM(CD56:CD58)</f>
        <v>0</v>
      </c>
      <c r="CE55" s="451"/>
      <c r="CF55" s="451"/>
      <c r="CG55" s="452"/>
      <c r="CI55" s="451">
        <f>SUM(CI56:CI58)</f>
        <v>12795000</v>
      </c>
      <c r="CJ55" s="451"/>
      <c r="CK55" s="451"/>
      <c r="CL55" s="452"/>
      <c r="CN55" s="451">
        <f>SUM(CN56:CN58)</f>
        <v>0</v>
      </c>
      <c r="CO55" s="451"/>
      <c r="CP55" s="451"/>
      <c r="CQ55" s="452"/>
      <c r="CS55" s="451">
        <f>SUM(CS56:CS58)</f>
        <v>0</v>
      </c>
      <c r="CT55" s="451"/>
      <c r="CU55" s="451"/>
      <c r="CV55" s="452"/>
      <c r="CX55" s="451">
        <f>SUM(CX56:CX58)</f>
        <v>0</v>
      </c>
      <c r="CY55" s="451"/>
      <c r="CZ55" s="451"/>
      <c r="DA55" s="452"/>
      <c r="DC55" s="451">
        <f>SUM(DC56:DC58)</f>
        <v>0</v>
      </c>
      <c r="DD55" s="451"/>
      <c r="DE55" s="451"/>
      <c r="DF55" s="452"/>
      <c r="DH55" s="451">
        <f>SUM(DH56:DH58)</f>
        <v>0</v>
      </c>
      <c r="DI55" s="451"/>
      <c r="DJ55" s="451"/>
      <c r="DK55" s="452"/>
      <c r="DM55" s="451">
        <f>SUM(DM56:DM58)</f>
        <v>0</v>
      </c>
      <c r="DN55" s="451"/>
      <c r="DO55" s="451"/>
      <c r="DP55" s="452"/>
      <c r="DR55" s="451">
        <f>SUM(DR56:DR58)</f>
        <v>0</v>
      </c>
      <c r="DS55" s="451"/>
      <c r="DT55" s="451"/>
      <c r="DU55" s="452"/>
      <c r="DW55" s="451">
        <f>SUM(DW56:DW58)</f>
        <v>0</v>
      </c>
      <c r="DX55" s="451"/>
      <c r="DY55" s="451"/>
      <c r="DZ55" s="452"/>
      <c r="EB55" s="451">
        <f>SUM(EB56:EB58)</f>
        <v>0</v>
      </c>
      <c r="EC55" s="451"/>
      <c r="ED55" s="451"/>
      <c r="EE55" s="452"/>
      <c r="EG55" s="451">
        <f>SUM(EG56:EG58)</f>
        <v>0</v>
      </c>
      <c r="EH55" s="451"/>
      <c r="EI55" s="455"/>
      <c r="EJ55" s="452"/>
      <c r="EK55" s="451"/>
      <c r="EL55" s="451">
        <f>SUM(EL56:EL58)</f>
        <v>12795000</v>
      </c>
      <c r="EM55" s="451"/>
      <c r="EN55" s="451"/>
      <c r="EO55" s="13"/>
      <c r="EP55" s="14"/>
      <c r="EQ55" s="14"/>
    </row>
    <row r="56" spans="4:147" x14ac:dyDescent="0.2">
      <c r="D56" s="13" t="s">
        <v>347</v>
      </c>
      <c r="E56" s="198"/>
      <c r="F56" s="374"/>
      <c r="G56" s="449">
        <v>0</v>
      </c>
      <c r="H56" s="450"/>
      <c r="I56" s="451"/>
      <c r="J56" s="452"/>
      <c r="K56" s="453"/>
      <c r="L56" s="449">
        <v>0</v>
      </c>
      <c r="M56" s="450"/>
      <c r="N56" s="451"/>
      <c r="O56" s="452"/>
      <c r="P56" s="374"/>
      <c r="Q56" s="449">
        <v>0</v>
      </c>
      <c r="R56" s="450"/>
      <c r="S56" s="451"/>
      <c r="T56" s="452"/>
      <c r="U56" s="374"/>
      <c r="V56" s="449">
        <v>0</v>
      </c>
      <c r="W56" s="450"/>
      <c r="X56" s="451"/>
      <c r="Y56" s="452"/>
      <c r="Z56" s="374"/>
      <c r="AA56" s="449">
        <v>0</v>
      </c>
      <c r="AB56" s="450"/>
      <c r="AC56" s="451"/>
      <c r="AD56" s="452"/>
      <c r="AE56" s="374"/>
      <c r="AF56" s="449">
        <v>0</v>
      </c>
      <c r="AG56" s="450"/>
      <c r="AH56" s="451"/>
      <c r="AI56" s="452"/>
      <c r="AJ56" s="374"/>
      <c r="AK56" s="449">
        <v>0</v>
      </c>
      <c r="AL56" s="450"/>
      <c r="AM56" s="451"/>
      <c r="AN56" s="452"/>
      <c r="AO56" s="374"/>
      <c r="AP56" s="449">
        <v>0</v>
      </c>
      <c r="AQ56" s="450"/>
      <c r="AR56" s="451"/>
      <c r="AS56" s="452"/>
      <c r="AT56" s="374"/>
      <c r="AU56" s="449">
        <v>0</v>
      </c>
      <c r="AV56" s="450"/>
      <c r="AW56" s="451"/>
      <c r="AX56" s="452"/>
      <c r="AY56" s="374"/>
      <c r="AZ56" s="449">
        <v>0</v>
      </c>
      <c r="BA56" s="450"/>
      <c r="BB56" s="451"/>
      <c r="BC56" s="452"/>
      <c r="BD56" s="374"/>
      <c r="BE56" s="449">
        <v>0</v>
      </c>
      <c r="BF56" s="450"/>
      <c r="BG56" s="451"/>
      <c r="BH56" s="452"/>
      <c r="BI56" s="374"/>
      <c r="BJ56" s="449">
        <v>0</v>
      </c>
      <c r="BK56" s="450"/>
      <c r="BL56" s="451"/>
      <c r="BM56" s="452"/>
      <c r="BN56" s="374"/>
      <c r="BO56" s="449">
        <v>0</v>
      </c>
      <c r="BP56" s="450"/>
      <c r="BQ56" s="451"/>
      <c r="BR56" s="452"/>
      <c r="BS56" s="452"/>
      <c r="BT56" s="451">
        <f>SUM(L56:BO56)</f>
        <v>0</v>
      </c>
      <c r="BU56" s="450"/>
      <c r="BV56" s="451"/>
      <c r="BW56" s="452"/>
      <c r="BX56" s="453"/>
      <c r="BY56" s="449">
        <v>12795000</v>
      </c>
      <c r="BZ56" s="450"/>
      <c r="CA56" s="451"/>
      <c r="CB56" s="452"/>
      <c r="CC56" s="453"/>
      <c r="CD56" s="449">
        <v>0</v>
      </c>
      <c r="CE56" s="450"/>
      <c r="CF56" s="451"/>
      <c r="CG56" s="452"/>
      <c r="CH56" s="374"/>
      <c r="CI56" s="449">
        <v>12795000</v>
      </c>
      <c r="CJ56" s="450"/>
      <c r="CK56" s="451"/>
      <c r="CL56" s="452"/>
      <c r="CM56" s="374"/>
      <c r="CN56" s="449">
        <v>0</v>
      </c>
      <c r="CO56" s="450"/>
      <c r="CP56" s="451"/>
      <c r="CQ56" s="452"/>
      <c r="CR56" s="374"/>
      <c r="CS56" s="449">
        <v>0</v>
      </c>
      <c r="CT56" s="450"/>
      <c r="CU56" s="451"/>
      <c r="CV56" s="452"/>
      <c r="CW56" s="374"/>
      <c r="CX56" s="449">
        <v>0</v>
      </c>
      <c r="CY56" s="450"/>
      <c r="CZ56" s="451"/>
      <c r="DA56" s="452"/>
      <c r="DB56" s="374"/>
      <c r="DC56" s="449">
        <v>0</v>
      </c>
      <c r="DD56" s="450"/>
      <c r="DE56" s="451"/>
      <c r="DF56" s="452"/>
      <c r="DG56" s="374"/>
      <c r="DH56" s="449">
        <v>0</v>
      </c>
      <c r="DI56" s="450"/>
      <c r="DJ56" s="451"/>
      <c r="DK56" s="452"/>
      <c r="DL56" s="374"/>
      <c r="DM56" s="449">
        <v>0</v>
      </c>
      <c r="DN56" s="450"/>
      <c r="DO56" s="451"/>
      <c r="DP56" s="452"/>
      <c r="DQ56" s="374"/>
      <c r="DR56" s="449">
        <v>0</v>
      </c>
      <c r="DS56" s="450"/>
      <c r="DT56" s="451"/>
      <c r="DU56" s="452"/>
      <c r="DV56" s="374"/>
      <c r="DW56" s="449">
        <v>0</v>
      </c>
      <c r="DX56" s="450"/>
      <c r="DY56" s="451"/>
      <c r="DZ56" s="452"/>
      <c r="EA56" s="374"/>
      <c r="EB56" s="449">
        <v>0</v>
      </c>
      <c r="EC56" s="450"/>
      <c r="ED56" s="451"/>
      <c r="EE56" s="452"/>
      <c r="EF56" s="374"/>
      <c r="EG56" s="449">
        <v>0</v>
      </c>
      <c r="EH56" s="450"/>
      <c r="EI56" s="455"/>
      <c r="EJ56" s="462"/>
      <c r="EK56" s="453"/>
      <c r="EL56" s="449">
        <f>SUM(CD56:DW56)</f>
        <v>12795000</v>
      </c>
      <c r="EM56" s="450"/>
      <c r="EN56" s="451"/>
      <c r="EO56" s="13"/>
      <c r="EP56" s="14"/>
      <c r="EQ56" s="14"/>
    </row>
    <row r="57" spans="4:147" x14ac:dyDescent="0.2">
      <c r="D57" s="13" t="s">
        <v>429</v>
      </c>
      <c r="E57" s="198"/>
      <c r="F57" s="198"/>
      <c r="G57" s="451">
        <v>0</v>
      </c>
      <c r="H57" s="455"/>
      <c r="I57" s="451"/>
      <c r="J57" s="452"/>
      <c r="K57" s="452"/>
      <c r="L57" s="451">
        <v>0</v>
      </c>
      <c r="M57" s="455"/>
      <c r="N57" s="451"/>
      <c r="O57" s="452"/>
      <c r="P57" s="198"/>
      <c r="Q57" s="451">
        <v>0</v>
      </c>
      <c r="R57" s="455"/>
      <c r="S57" s="451"/>
      <c r="T57" s="452"/>
      <c r="U57" s="198"/>
      <c r="V57" s="451">
        <v>0</v>
      </c>
      <c r="W57" s="455"/>
      <c r="X57" s="451"/>
      <c r="Y57" s="452"/>
      <c r="Z57" s="198"/>
      <c r="AA57" s="451">
        <v>0</v>
      </c>
      <c r="AB57" s="455"/>
      <c r="AC57" s="451"/>
      <c r="AD57" s="452"/>
      <c r="AE57" s="198"/>
      <c r="AF57" s="451">
        <v>0</v>
      </c>
      <c r="AG57" s="455"/>
      <c r="AH57" s="451"/>
      <c r="AI57" s="452"/>
      <c r="AJ57" s="198"/>
      <c r="AK57" s="451">
        <v>0</v>
      </c>
      <c r="AL57" s="455"/>
      <c r="AM57" s="451"/>
      <c r="AN57" s="452"/>
      <c r="AO57" s="198"/>
      <c r="AP57" s="451">
        <v>0</v>
      </c>
      <c r="AQ57" s="455"/>
      <c r="AR57" s="451"/>
      <c r="AS57" s="452"/>
      <c r="AT57" s="198"/>
      <c r="AU57" s="451">
        <v>0</v>
      </c>
      <c r="AV57" s="455"/>
      <c r="AW57" s="451"/>
      <c r="AX57" s="452"/>
      <c r="AY57" s="198"/>
      <c r="AZ57" s="451">
        <v>0</v>
      </c>
      <c r="BA57" s="455"/>
      <c r="BB57" s="451"/>
      <c r="BC57" s="452"/>
      <c r="BD57" s="198"/>
      <c r="BE57" s="451">
        <v>0</v>
      </c>
      <c r="BF57" s="455"/>
      <c r="BG57" s="451"/>
      <c r="BH57" s="452"/>
      <c r="BI57" s="198"/>
      <c r="BJ57" s="451">
        <v>0</v>
      </c>
      <c r="BK57" s="455"/>
      <c r="BL57" s="451"/>
      <c r="BM57" s="452"/>
      <c r="BN57" s="198"/>
      <c r="BO57" s="451">
        <v>0</v>
      </c>
      <c r="BP57" s="455"/>
      <c r="BQ57" s="451"/>
      <c r="BR57" s="452"/>
      <c r="BS57" s="452"/>
      <c r="BT57" s="451">
        <f>SUM(L57:BO57)</f>
        <v>0</v>
      </c>
      <c r="BU57" s="455"/>
      <c r="BV57" s="451"/>
      <c r="BW57" s="452"/>
      <c r="BX57" s="452"/>
      <c r="BY57" s="451">
        <v>0</v>
      </c>
      <c r="BZ57" s="455"/>
      <c r="CA57" s="451"/>
      <c r="CB57" s="452"/>
      <c r="CC57" s="452"/>
      <c r="CD57" s="451">
        <v>0</v>
      </c>
      <c r="CE57" s="455"/>
      <c r="CF57" s="451"/>
      <c r="CG57" s="452"/>
      <c r="CH57" s="198"/>
      <c r="CI57" s="451">
        <v>0</v>
      </c>
      <c r="CJ57" s="455"/>
      <c r="CK57" s="451"/>
      <c r="CL57" s="452"/>
      <c r="CM57" s="198"/>
      <c r="CN57" s="451">
        <v>0</v>
      </c>
      <c r="CO57" s="455"/>
      <c r="CP57" s="451"/>
      <c r="CQ57" s="452"/>
      <c r="CR57" s="198"/>
      <c r="CS57" s="451">
        <v>0</v>
      </c>
      <c r="CT57" s="455"/>
      <c r="CU57" s="451"/>
      <c r="CV57" s="452"/>
      <c r="CW57" s="198"/>
      <c r="CX57" s="451">
        <v>0</v>
      </c>
      <c r="CY57" s="455"/>
      <c r="CZ57" s="451"/>
      <c r="DA57" s="452"/>
      <c r="DB57" s="198"/>
      <c r="DC57" s="451">
        <v>0</v>
      </c>
      <c r="DD57" s="455"/>
      <c r="DE57" s="451"/>
      <c r="DF57" s="452"/>
      <c r="DG57" s="198"/>
      <c r="DH57" s="451">
        <v>0</v>
      </c>
      <c r="DI57" s="455"/>
      <c r="DJ57" s="451"/>
      <c r="DK57" s="452"/>
      <c r="DL57" s="198"/>
      <c r="DM57" s="451">
        <v>0</v>
      </c>
      <c r="DN57" s="455"/>
      <c r="DO57" s="451"/>
      <c r="DP57" s="452"/>
      <c r="DQ57" s="198"/>
      <c r="DR57" s="451">
        <v>0</v>
      </c>
      <c r="DS57" s="455"/>
      <c r="DT57" s="451"/>
      <c r="DU57" s="452"/>
      <c r="DV57" s="198"/>
      <c r="DW57" s="451">
        <v>0</v>
      </c>
      <c r="DX57" s="455"/>
      <c r="DY57" s="451"/>
      <c r="DZ57" s="452"/>
      <c r="EA57" s="198"/>
      <c r="EB57" s="451">
        <v>0</v>
      </c>
      <c r="EC57" s="455"/>
      <c r="ED57" s="451"/>
      <c r="EE57" s="452"/>
      <c r="EF57" s="198"/>
      <c r="EG57" s="451">
        <v>0</v>
      </c>
      <c r="EH57" s="455"/>
      <c r="EI57" s="451"/>
      <c r="EJ57" s="452"/>
      <c r="EK57" s="452"/>
      <c r="EL57" s="451">
        <f>SUM(CD57:DW57)</f>
        <v>0</v>
      </c>
      <c r="EM57" s="455"/>
      <c r="EN57" s="451"/>
      <c r="EO57" s="13"/>
      <c r="EP57" s="14"/>
      <c r="EQ57" s="14"/>
    </row>
    <row r="58" spans="4:147" x14ac:dyDescent="0.2">
      <c r="D58" s="13" t="s">
        <v>430</v>
      </c>
      <c r="E58" s="198"/>
      <c r="F58" s="385"/>
      <c r="G58" s="463">
        <v>0</v>
      </c>
      <c r="H58" s="464"/>
      <c r="I58" s="451"/>
      <c r="J58" s="452"/>
      <c r="K58" s="465"/>
      <c r="L58" s="463">
        <v>0</v>
      </c>
      <c r="M58" s="464"/>
      <c r="N58" s="451"/>
      <c r="O58" s="452"/>
      <c r="P58" s="385"/>
      <c r="Q58" s="463">
        <v>0</v>
      </c>
      <c r="R58" s="464"/>
      <c r="S58" s="451"/>
      <c r="T58" s="452"/>
      <c r="U58" s="385"/>
      <c r="V58" s="463">
        <v>0</v>
      </c>
      <c r="W58" s="464"/>
      <c r="X58" s="451"/>
      <c r="Y58" s="452"/>
      <c r="Z58" s="385"/>
      <c r="AA58" s="463">
        <v>0</v>
      </c>
      <c r="AB58" s="464"/>
      <c r="AC58" s="451"/>
      <c r="AD58" s="452"/>
      <c r="AE58" s="385"/>
      <c r="AF58" s="463">
        <v>0</v>
      </c>
      <c r="AG58" s="464"/>
      <c r="AH58" s="451"/>
      <c r="AI58" s="452"/>
      <c r="AJ58" s="385"/>
      <c r="AK58" s="463">
        <v>0</v>
      </c>
      <c r="AL58" s="464"/>
      <c r="AM58" s="451"/>
      <c r="AN58" s="452"/>
      <c r="AO58" s="385"/>
      <c r="AP58" s="463">
        <v>0</v>
      </c>
      <c r="AQ58" s="464"/>
      <c r="AR58" s="451"/>
      <c r="AS58" s="452"/>
      <c r="AT58" s="385"/>
      <c r="AU58" s="463">
        <v>0</v>
      </c>
      <c r="AV58" s="464"/>
      <c r="AW58" s="451"/>
      <c r="AX58" s="452"/>
      <c r="AY58" s="385"/>
      <c r="AZ58" s="463">
        <v>0</v>
      </c>
      <c r="BA58" s="464"/>
      <c r="BB58" s="451"/>
      <c r="BC58" s="452"/>
      <c r="BD58" s="385"/>
      <c r="BE58" s="463">
        <v>0</v>
      </c>
      <c r="BF58" s="464"/>
      <c r="BG58" s="451"/>
      <c r="BH58" s="452"/>
      <c r="BI58" s="385"/>
      <c r="BJ58" s="463">
        <v>0</v>
      </c>
      <c r="BK58" s="464"/>
      <c r="BL58" s="451"/>
      <c r="BM58" s="452"/>
      <c r="BN58" s="385"/>
      <c r="BO58" s="463">
        <v>0</v>
      </c>
      <c r="BP58" s="464"/>
      <c r="BQ58" s="451"/>
      <c r="BR58" s="452"/>
      <c r="BS58" s="465"/>
      <c r="BT58" s="463">
        <f>SUM(L58:BO58)</f>
        <v>0</v>
      </c>
      <c r="BU58" s="464"/>
      <c r="BV58" s="451"/>
      <c r="BW58" s="452"/>
      <c r="BX58" s="465"/>
      <c r="BY58" s="463">
        <v>0</v>
      </c>
      <c r="BZ58" s="464"/>
      <c r="CA58" s="451"/>
      <c r="CB58" s="452"/>
      <c r="CC58" s="465"/>
      <c r="CD58" s="463">
        <v>0</v>
      </c>
      <c r="CE58" s="464"/>
      <c r="CF58" s="451"/>
      <c r="CG58" s="452"/>
      <c r="CH58" s="385"/>
      <c r="CI58" s="463">
        <v>0</v>
      </c>
      <c r="CJ58" s="464"/>
      <c r="CK58" s="451"/>
      <c r="CL58" s="452"/>
      <c r="CM58" s="385"/>
      <c r="CN58" s="463">
        <v>0</v>
      </c>
      <c r="CO58" s="464"/>
      <c r="CP58" s="451"/>
      <c r="CQ58" s="452"/>
      <c r="CR58" s="385"/>
      <c r="CS58" s="463">
        <v>0</v>
      </c>
      <c r="CT58" s="464"/>
      <c r="CU58" s="451"/>
      <c r="CV58" s="452"/>
      <c r="CW58" s="385"/>
      <c r="CX58" s="463">
        <v>0</v>
      </c>
      <c r="CY58" s="464"/>
      <c r="CZ58" s="451"/>
      <c r="DA58" s="452"/>
      <c r="DB58" s="385"/>
      <c r="DC58" s="463">
        <v>0</v>
      </c>
      <c r="DD58" s="464"/>
      <c r="DE58" s="451"/>
      <c r="DF58" s="452"/>
      <c r="DG58" s="385"/>
      <c r="DH58" s="463">
        <v>0</v>
      </c>
      <c r="DI58" s="464"/>
      <c r="DJ58" s="451"/>
      <c r="DK58" s="452"/>
      <c r="DL58" s="385"/>
      <c r="DM58" s="463">
        <v>0</v>
      </c>
      <c r="DN58" s="464"/>
      <c r="DO58" s="451"/>
      <c r="DP58" s="452"/>
      <c r="DQ58" s="385"/>
      <c r="DR58" s="463">
        <v>0</v>
      </c>
      <c r="DS58" s="464"/>
      <c r="DT58" s="451"/>
      <c r="DU58" s="452"/>
      <c r="DV58" s="385"/>
      <c r="DW58" s="463">
        <v>0</v>
      </c>
      <c r="DX58" s="464"/>
      <c r="DY58" s="451"/>
      <c r="DZ58" s="452"/>
      <c r="EA58" s="385"/>
      <c r="EB58" s="463">
        <v>0</v>
      </c>
      <c r="EC58" s="464"/>
      <c r="ED58" s="451"/>
      <c r="EE58" s="452"/>
      <c r="EF58" s="385"/>
      <c r="EG58" s="463">
        <v>0</v>
      </c>
      <c r="EH58" s="464"/>
      <c r="EI58" s="451"/>
      <c r="EJ58" s="452"/>
      <c r="EK58" s="465"/>
      <c r="EL58" s="463">
        <f>SUM(CD58:DW58)</f>
        <v>0</v>
      </c>
      <c r="EM58" s="464"/>
      <c r="EN58" s="451"/>
      <c r="EO58" s="13"/>
      <c r="EP58" s="14"/>
      <c r="EQ58" s="14"/>
    </row>
    <row r="59" spans="4:147" x14ac:dyDescent="0.2">
      <c r="D59" s="13"/>
      <c r="E59" s="198"/>
      <c r="G59" s="451"/>
      <c r="H59" s="451"/>
      <c r="I59" s="451"/>
      <c r="J59" s="452"/>
      <c r="K59" s="451"/>
      <c r="L59" s="451"/>
      <c r="M59" s="451"/>
      <c r="N59" s="451"/>
      <c r="O59" s="452"/>
      <c r="P59" s="451"/>
      <c r="Q59" s="451"/>
      <c r="R59" s="451"/>
      <c r="S59" s="451"/>
      <c r="T59" s="452"/>
      <c r="U59" s="451"/>
      <c r="V59" s="451"/>
      <c r="W59" s="451"/>
      <c r="X59" s="451"/>
      <c r="Y59" s="452"/>
      <c r="Z59" s="451"/>
      <c r="AA59" s="451"/>
      <c r="AB59" s="451"/>
      <c r="AC59" s="451"/>
      <c r="AD59" s="452"/>
      <c r="AE59" s="451"/>
      <c r="AF59" s="451"/>
      <c r="AG59" s="451"/>
      <c r="AH59" s="451"/>
      <c r="AI59" s="452"/>
      <c r="AJ59" s="451"/>
      <c r="AK59" s="451"/>
      <c r="AL59" s="451"/>
      <c r="AM59" s="451"/>
      <c r="AN59" s="452"/>
      <c r="AO59" s="451"/>
      <c r="AP59" s="451"/>
      <c r="AQ59" s="451"/>
      <c r="AR59" s="451"/>
      <c r="AS59" s="452"/>
      <c r="AT59" s="451"/>
      <c r="AU59" s="451"/>
      <c r="AV59" s="451"/>
      <c r="AW59" s="451"/>
      <c r="AX59" s="452"/>
      <c r="AY59" s="451"/>
      <c r="AZ59" s="451"/>
      <c r="BA59" s="451"/>
      <c r="BB59" s="451"/>
      <c r="BC59" s="452"/>
      <c r="BD59" s="451"/>
      <c r="BE59" s="451"/>
      <c r="BF59" s="451"/>
      <c r="BG59" s="451"/>
      <c r="BH59" s="452"/>
      <c r="BI59" s="451"/>
      <c r="BJ59" s="451"/>
      <c r="BK59" s="451"/>
      <c r="BL59" s="451"/>
      <c r="BM59" s="452"/>
      <c r="BN59" s="451"/>
      <c r="BO59" s="451"/>
      <c r="BP59" s="451"/>
      <c r="BQ59" s="451"/>
      <c r="BR59" s="452"/>
      <c r="BS59" s="451"/>
      <c r="BT59" s="451"/>
      <c r="BU59" s="451"/>
      <c r="BV59" s="451"/>
      <c r="BW59" s="452"/>
      <c r="BX59" s="451"/>
      <c r="BY59" s="451"/>
      <c r="BZ59" s="451"/>
      <c r="CA59" s="451"/>
      <c r="CB59" s="452"/>
      <c r="CC59" s="451"/>
      <c r="CD59" s="451"/>
      <c r="CE59" s="451"/>
      <c r="CF59" s="451"/>
      <c r="CG59" s="452"/>
      <c r="CH59" s="451"/>
      <c r="CI59" s="451"/>
      <c r="CJ59" s="451"/>
      <c r="CK59" s="451"/>
      <c r="CL59" s="452"/>
      <c r="CM59" s="451"/>
      <c r="CN59" s="451"/>
      <c r="CO59" s="451"/>
      <c r="CP59" s="451"/>
      <c r="CQ59" s="452"/>
      <c r="CR59" s="451"/>
      <c r="CS59" s="451"/>
      <c r="CT59" s="451"/>
      <c r="CU59" s="451"/>
      <c r="CV59" s="452"/>
      <c r="CW59" s="451"/>
      <c r="CX59" s="451"/>
      <c r="CY59" s="451"/>
      <c r="CZ59" s="451"/>
      <c r="DA59" s="452"/>
      <c r="DB59" s="451"/>
      <c r="DC59" s="451"/>
      <c r="DD59" s="451"/>
      <c r="DE59" s="451"/>
      <c r="DF59" s="452"/>
      <c r="DG59" s="451"/>
      <c r="DH59" s="451"/>
      <c r="DI59" s="451"/>
      <c r="DJ59" s="451"/>
      <c r="DK59" s="452"/>
      <c r="DL59" s="451"/>
      <c r="DM59" s="451"/>
      <c r="DN59" s="451"/>
      <c r="DO59" s="451"/>
      <c r="DP59" s="452"/>
      <c r="DQ59" s="451"/>
      <c r="DR59" s="451"/>
      <c r="DS59" s="451"/>
      <c r="DT59" s="451"/>
      <c r="DU59" s="452"/>
      <c r="DV59" s="451"/>
      <c r="DW59" s="451"/>
      <c r="DX59" s="451"/>
      <c r="DY59" s="451"/>
      <c r="DZ59" s="452"/>
      <c r="EA59" s="451"/>
      <c r="EB59" s="451"/>
      <c r="EC59" s="451"/>
      <c r="ED59" s="451"/>
      <c r="EE59" s="452"/>
      <c r="EF59" s="451"/>
      <c r="EG59" s="451"/>
      <c r="EH59" s="451"/>
      <c r="EI59" s="451"/>
      <c r="EJ59" s="452"/>
      <c r="EK59" s="451"/>
      <c r="EL59" s="451"/>
      <c r="EO59" s="13"/>
      <c r="EP59" s="14"/>
      <c r="EQ59" s="14"/>
    </row>
    <row r="60" spans="4:147" ht="12.75" hidden="1" customHeight="1" x14ac:dyDescent="0.2">
      <c r="D60" s="13" t="s">
        <v>364</v>
      </c>
      <c r="E60" s="198"/>
      <c r="G60" s="451">
        <f>SUM(G61:G63)</f>
        <v>0</v>
      </c>
      <c r="H60" s="451"/>
      <c r="I60" s="451"/>
      <c r="J60" s="452"/>
      <c r="K60" s="451"/>
      <c r="L60" s="451">
        <f>SUM(L61:L63)</f>
        <v>0</v>
      </c>
      <c r="M60" s="451"/>
      <c r="N60" s="451"/>
      <c r="O60" s="452"/>
      <c r="Q60" s="451">
        <f>SUM(Q61:Q63)</f>
        <v>0</v>
      </c>
      <c r="R60" s="451"/>
      <c r="S60" s="451"/>
      <c r="T60" s="452"/>
      <c r="V60" s="451">
        <f>SUM(V61:V63)</f>
        <v>0</v>
      </c>
      <c r="W60" s="451"/>
      <c r="X60" s="451"/>
      <c r="Y60" s="452"/>
      <c r="AA60" s="451">
        <f>SUM(AA61:AA63)</f>
        <v>0</v>
      </c>
      <c r="AB60" s="451"/>
      <c r="AC60" s="451"/>
      <c r="AD60" s="452"/>
      <c r="AF60" s="451">
        <f>SUM(AF61:AF63)</f>
        <v>0</v>
      </c>
      <c r="AG60" s="451"/>
      <c r="AH60" s="451"/>
      <c r="AI60" s="452"/>
      <c r="AK60" s="451">
        <f>SUM(AK61:AK63)</f>
        <v>0</v>
      </c>
      <c r="AL60" s="451"/>
      <c r="AM60" s="451"/>
      <c r="AN60" s="452"/>
      <c r="AP60" s="451">
        <f>SUM(AP61:AP63)</f>
        <v>0</v>
      </c>
      <c r="AQ60" s="451"/>
      <c r="AR60" s="451"/>
      <c r="AS60" s="452"/>
      <c r="AU60" s="451">
        <f>SUM(AU61:AU63)</f>
        <v>0</v>
      </c>
      <c r="AV60" s="451"/>
      <c r="AW60" s="451"/>
      <c r="AX60" s="452"/>
      <c r="AZ60" s="451">
        <f>SUM(AZ61:AZ63)</f>
        <v>0</v>
      </c>
      <c r="BA60" s="451"/>
      <c r="BB60" s="451"/>
      <c r="BC60" s="452"/>
      <c r="BE60" s="451">
        <f>SUM(BE61:BE63)</f>
        <v>0</v>
      </c>
      <c r="BF60" s="451"/>
      <c r="BG60" s="451"/>
      <c r="BH60" s="452"/>
      <c r="BJ60" s="451">
        <f>SUM(BJ61:BJ63)</f>
        <v>0</v>
      </c>
      <c r="BK60" s="451"/>
      <c r="BL60" s="451"/>
      <c r="BM60" s="452"/>
      <c r="BO60" s="451">
        <f>SUM(BO61:BO63)</f>
        <v>0</v>
      </c>
      <c r="BP60" s="451"/>
      <c r="BQ60" s="451"/>
      <c r="BR60" s="452"/>
      <c r="BS60" s="463"/>
      <c r="BT60" s="463">
        <f>SUM(BT61:BT63)</f>
        <v>0</v>
      </c>
      <c r="BU60" s="451"/>
      <c r="BV60" s="451"/>
      <c r="BW60" s="452"/>
      <c r="BX60" s="451"/>
      <c r="BY60" s="451">
        <f>SUM(BY61:BY63)</f>
        <v>0</v>
      </c>
      <c r="BZ60" s="451"/>
      <c r="CA60" s="451"/>
      <c r="CB60" s="452"/>
      <c r="CC60" s="451"/>
      <c r="CD60" s="451">
        <f>SUM(CD61:CD63)</f>
        <v>0</v>
      </c>
      <c r="CE60" s="451"/>
      <c r="CF60" s="451"/>
      <c r="CG60" s="452"/>
      <c r="CI60" s="451">
        <f>SUM(CI61:CI63)</f>
        <v>0</v>
      </c>
      <c r="CJ60" s="451"/>
      <c r="CK60" s="451"/>
      <c r="CL60" s="452"/>
      <c r="CN60" s="451">
        <f>SUM(CN61:CN63)</f>
        <v>0</v>
      </c>
      <c r="CO60" s="451"/>
      <c r="CP60" s="451"/>
      <c r="CQ60" s="452"/>
      <c r="CS60" s="451">
        <f>SUM(CS61:CS63)</f>
        <v>0</v>
      </c>
      <c r="CT60" s="451"/>
      <c r="CU60" s="451"/>
      <c r="CV60" s="452"/>
      <c r="CX60" s="451">
        <f>SUM(CX61:CX63)</f>
        <v>0</v>
      </c>
      <c r="CY60" s="451"/>
      <c r="CZ60" s="451"/>
      <c r="DA60" s="452"/>
      <c r="DC60" s="451">
        <f>SUM(DC61:DC63)</f>
        <v>0</v>
      </c>
      <c r="DD60" s="451"/>
      <c r="DE60" s="451"/>
      <c r="DF60" s="452"/>
      <c r="DH60" s="451">
        <f>SUM(DH61:DH63)</f>
        <v>0</v>
      </c>
      <c r="DI60" s="451"/>
      <c r="DJ60" s="451"/>
      <c r="DK60" s="452"/>
      <c r="DM60" s="451">
        <f>SUM(DM61:DM63)</f>
        <v>0</v>
      </c>
      <c r="DN60" s="451"/>
      <c r="DO60" s="451"/>
      <c r="DP60" s="452"/>
      <c r="DR60" s="451">
        <f>SUM(DR61:DR63)</f>
        <v>0</v>
      </c>
      <c r="DS60" s="451"/>
      <c r="DT60" s="451"/>
      <c r="DU60" s="452"/>
      <c r="DW60" s="451">
        <f>SUM(DW61:DW63)</f>
        <v>0</v>
      </c>
      <c r="DX60" s="451"/>
      <c r="DY60" s="451"/>
      <c r="DZ60" s="452"/>
      <c r="EB60" s="451">
        <f>SUM(EB61:EB63)</f>
        <v>0</v>
      </c>
      <c r="EC60" s="451"/>
      <c r="ED60" s="451"/>
      <c r="EE60" s="452"/>
      <c r="EG60" s="451">
        <f>SUM(EG61:EG63)</f>
        <v>0</v>
      </c>
      <c r="EH60" s="451"/>
      <c r="EI60" s="455"/>
      <c r="EJ60" s="452"/>
      <c r="EK60" s="451"/>
      <c r="EL60" s="451">
        <f>SUM(EL61:EL63)</f>
        <v>0</v>
      </c>
      <c r="EM60" s="451"/>
      <c r="EN60" s="451"/>
      <c r="EO60" s="13"/>
      <c r="EP60" s="14"/>
      <c r="EQ60" s="14"/>
    </row>
    <row r="61" spans="4:147" ht="12.75" hidden="1" customHeight="1" x14ac:dyDescent="0.2">
      <c r="D61" s="13" t="s">
        <v>347</v>
      </c>
      <c r="E61" s="198"/>
      <c r="F61" s="374"/>
      <c r="G61" s="449">
        <v>0</v>
      </c>
      <c r="H61" s="450"/>
      <c r="I61" s="451"/>
      <c r="J61" s="452"/>
      <c r="K61" s="453"/>
      <c r="L61" s="449">
        <v>0</v>
      </c>
      <c r="M61" s="450"/>
      <c r="N61" s="451"/>
      <c r="O61" s="452"/>
      <c r="P61" s="374"/>
      <c r="Q61" s="449">
        <v>0</v>
      </c>
      <c r="R61" s="450"/>
      <c r="S61" s="451"/>
      <c r="T61" s="452"/>
      <c r="U61" s="374"/>
      <c r="V61" s="449">
        <v>0</v>
      </c>
      <c r="W61" s="450"/>
      <c r="X61" s="451"/>
      <c r="Y61" s="452"/>
      <c r="Z61" s="374"/>
      <c r="AA61" s="449">
        <v>0</v>
      </c>
      <c r="AB61" s="450"/>
      <c r="AC61" s="451"/>
      <c r="AD61" s="452"/>
      <c r="AE61" s="374"/>
      <c r="AF61" s="449">
        <v>0</v>
      </c>
      <c r="AG61" s="450"/>
      <c r="AH61" s="451"/>
      <c r="AI61" s="452"/>
      <c r="AJ61" s="374"/>
      <c r="AK61" s="449">
        <v>0</v>
      </c>
      <c r="AL61" s="450"/>
      <c r="AM61" s="451"/>
      <c r="AN61" s="452"/>
      <c r="AO61" s="374"/>
      <c r="AP61" s="449">
        <v>0</v>
      </c>
      <c r="AQ61" s="450"/>
      <c r="AR61" s="451"/>
      <c r="AS61" s="452"/>
      <c r="AT61" s="374"/>
      <c r="AU61" s="449">
        <v>0</v>
      </c>
      <c r="AV61" s="450"/>
      <c r="AW61" s="451"/>
      <c r="AX61" s="452"/>
      <c r="AY61" s="374"/>
      <c r="AZ61" s="449">
        <v>0</v>
      </c>
      <c r="BA61" s="450"/>
      <c r="BB61" s="451"/>
      <c r="BC61" s="452"/>
      <c r="BD61" s="374"/>
      <c r="BE61" s="449">
        <v>0</v>
      </c>
      <c r="BF61" s="450"/>
      <c r="BG61" s="451"/>
      <c r="BH61" s="452"/>
      <c r="BI61" s="374"/>
      <c r="BJ61" s="449">
        <v>0</v>
      </c>
      <c r="BK61" s="450"/>
      <c r="BL61" s="451"/>
      <c r="BM61" s="452"/>
      <c r="BN61" s="374"/>
      <c r="BO61" s="449">
        <v>0</v>
      </c>
      <c r="BP61" s="450"/>
      <c r="BQ61" s="451"/>
      <c r="BR61" s="452"/>
      <c r="BS61" s="452"/>
      <c r="BT61" s="451">
        <f>SUM(L61:BO61)</f>
        <v>0</v>
      </c>
      <c r="BU61" s="450"/>
      <c r="BV61" s="451"/>
      <c r="BW61" s="452"/>
      <c r="BX61" s="453"/>
      <c r="BY61" s="449">
        <v>0</v>
      </c>
      <c r="BZ61" s="450"/>
      <c r="CA61" s="451"/>
      <c r="CB61" s="452"/>
      <c r="CC61" s="453"/>
      <c r="CD61" s="449">
        <v>0</v>
      </c>
      <c r="CE61" s="450"/>
      <c r="CF61" s="451"/>
      <c r="CG61" s="452"/>
      <c r="CH61" s="374"/>
      <c r="CI61" s="449">
        <v>0</v>
      </c>
      <c r="CJ61" s="450"/>
      <c r="CK61" s="451"/>
      <c r="CL61" s="452"/>
      <c r="CM61" s="374"/>
      <c r="CN61" s="449">
        <v>0</v>
      </c>
      <c r="CO61" s="450"/>
      <c r="CP61" s="451"/>
      <c r="CQ61" s="452"/>
      <c r="CR61" s="374"/>
      <c r="CS61" s="449">
        <v>0</v>
      </c>
      <c r="CT61" s="450"/>
      <c r="CU61" s="451"/>
      <c r="CV61" s="452"/>
      <c r="CW61" s="374"/>
      <c r="CX61" s="449">
        <v>0</v>
      </c>
      <c r="CY61" s="450"/>
      <c r="CZ61" s="451"/>
      <c r="DA61" s="452"/>
      <c r="DB61" s="374"/>
      <c r="DC61" s="449">
        <v>0</v>
      </c>
      <c r="DD61" s="450"/>
      <c r="DE61" s="451"/>
      <c r="DF61" s="452"/>
      <c r="DG61" s="374"/>
      <c r="DH61" s="449">
        <v>0</v>
      </c>
      <c r="DI61" s="450"/>
      <c r="DJ61" s="451"/>
      <c r="DK61" s="452"/>
      <c r="DL61" s="374"/>
      <c r="DM61" s="449">
        <v>0</v>
      </c>
      <c r="DN61" s="450"/>
      <c r="DO61" s="451"/>
      <c r="DP61" s="452"/>
      <c r="DQ61" s="374"/>
      <c r="DR61" s="449">
        <v>0</v>
      </c>
      <c r="DS61" s="450"/>
      <c r="DT61" s="451"/>
      <c r="DU61" s="452"/>
      <c r="DV61" s="374"/>
      <c r="DW61" s="449">
        <v>0</v>
      </c>
      <c r="DX61" s="450"/>
      <c r="DY61" s="451"/>
      <c r="DZ61" s="452"/>
      <c r="EA61" s="374"/>
      <c r="EB61" s="449">
        <v>0</v>
      </c>
      <c r="EC61" s="450"/>
      <c r="ED61" s="451"/>
      <c r="EE61" s="452"/>
      <c r="EF61" s="374"/>
      <c r="EG61" s="449">
        <v>0</v>
      </c>
      <c r="EH61" s="450"/>
      <c r="EI61" s="455"/>
      <c r="EJ61" s="462"/>
      <c r="EK61" s="453"/>
      <c r="EL61" s="449">
        <f>SUM(CD61:DM61)</f>
        <v>0</v>
      </c>
      <c r="EM61" s="450"/>
      <c r="EN61" s="451"/>
      <c r="EO61" s="13"/>
      <c r="EP61" s="14"/>
      <c r="EQ61" s="14"/>
    </row>
    <row r="62" spans="4:147" ht="12.75" hidden="1" customHeight="1" x14ac:dyDescent="0.2">
      <c r="D62" s="13" t="s">
        <v>429</v>
      </c>
      <c r="E62" s="198"/>
      <c r="F62" s="198"/>
      <c r="G62" s="451">
        <v>0</v>
      </c>
      <c r="H62" s="455"/>
      <c r="I62" s="451"/>
      <c r="J62" s="452"/>
      <c r="K62" s="452"/>
      <c r="L62" s="451">
        <v>0</v>
      </c>
      <c r="M62" s="455"/>
      <c r="N62" s="451"/>
      <c r="O62" s="452"/>
      <c r="P62" s="198"/>
      <c r="Q62" s="451">
        <v>0</v>
      </c>
      <c r="R62" s="455"/>
      <c r="S62" s="451"/>
      <c r="T62" s="452"/>
      <c r="U62" s="198"/>
      <c r="V62" s="451">
        <v>0</v>
      </c>
      <c r="W62" s="455"/>
      <c r="X62" s="451"/>
      <c r="Y62" s="452"/>
      <c r="Z62" s="198"/>
      <c r="AA62" s="451">
        <v>0</v>
      </c>
      <c r="AB62" s="455"/>
      <c r="AC62" s="451"/>
      <c r="AD62" s="452"/>
      <c r="AE62" s="198"/>
      <c r="AF62" s="451">
        <v>0</v>
      </c>
      <c r="AG62" s="455"/>
      <c r="AH62" s="451"/>
      <c r="AI62" s="452"/>
      <c r="AJ62" s="198"/>
      <c r="AK62" s="451">
        <v>0</v>
      </c>
      <c r="AL62" s="455"/>
      <c r="AM62" s="451"/>
      <c r="AN62" s="452"/>
      <c r="AO62" s="198"/>
      <c r="AP62" s="451">
        <v>0</v>
      </c>
      <c r="AQ62" s="455"/>
      <c r="AR62" s="451"/>
      <c r="AS62" s="452"/>
      <c r="AT62" s="198"/>
      <c r="AU62" s="451">
        <v>0</v>
      </c>
      <c r="AV62" s="455"/>
      <c r="AW62" s="451"/>
      <c r="AX62" s="452"/>
      <c r="AY62" s="198"/>
      <c r="AZ62" s="451">
        <v>0</v>
      </c>
      <c r="BA62" s="455"/>
      <c r="BB62" s="451"/>
      <c r="BC62" s="452"/>
      <c r="BD62" s="198"/>
      <c r="BE62" s="451">
        <v>0</v>
      </c>
      <c r="BF62" s="455"/>
      <c r="BG62" s="451"/>
      <c r="BH62" s="452"/>
      <c r="BI62" s="198"/>
      <c r="BJ62" s="451">
        <v>0</v>
      </c>
      <c r="BK62" s="455"/>
      <c r="BL62" s="451"/>
      <c r="BM62" s="452"/>
      <c r="BN62" s="198"/>
      <c r="BO62" s="451">
        <v>0</v>
      </c>
      <c r="BP62" s="455"/>
      <c r="BQ62" s="451"/>
      <c r="BR62" s="452"/>
      <c r="BS62" s="452"/>
      <c r="BT62" s="451">
        <f>SUM(L62:BO62)</f>
        <v>0</v>
      </c>
      <c r="BU62" s="455"/>
      <c r="BV62" s="451"/>
      <c r="BW62" s="452"/>
      <c r="BX62" s="452"/>
      <c r="BY62" s="451">
        <v>0</v>
      </c>
      <c r="BZ62" s="455"/>
      <c r="CA62" s="451"/>
      <c r="CB62" s="452"/>
      <c r="CC62" s="452"/>
      <c r="CD62" s="451">
        <v>0</v>
      </c>
      <c r="CE62" s="455"/>
      <c r="CF62" s="451"/>
      <c r="CG62" s="452"/>
      <c r="CH62" s="198"/>
      <c r="CI62" s="451">
        <v>0</v>
      </c>
      <c r="CJ62" s="455"/>
      <c r="CK62" s="451"/>
      <c r="CL62" s="452"/>
      <c r="CM62" s="198"/>
      <c r="CN62" s="451">
        <v>0</v>
      </c>
      <c r="CO62" s="455"/>
      <c r="CP62" s="451"/>
      <c r="CQ62" s="452"/>
      <c r="CR62" s="198"/>
      <c r="CS62" s="451">
        <v>0</v>
      </c>
      <c r="CT62" s="455"/>
      <c r="CU62" s="451"/>
      <c r="CV62" s="452"/>
      <c r="CW62" s="198"/>
      <c r="CX62" s="451">
        <v>0</v>
      </c>
      <c r="CY62" s="455"/>
      <c r="CZ62" s="451"/>
      <c r="DA62" s="452"/>
      <c r="DB62" s="198"/>
      <c r="DC62" s="451">
        <v>0</v>
      </c>
      <c r="DD62" s="455"/>
      <c r="DE62" s="451"/>
      <c r="DF62" s="452"/>
      <c r="DG62" s="198"/>
      <c r="DH62" s="451">
        <v>0</v>
      </c>
      <c r="DI62" s="455"/>
      <c r="DJ62" s="451"/>
      <c r="DK62" s="452"/>
      <c r="DL62" s="198"/>
      <c r="DM62" s="451">
        <v>0</v>
      </c>
      <c r="DN62" s="455"/>
      <c r="DO62" s="451"/>
      <c r="DP62" s="452"/>
      <c r="DQ62" s="198"/>
      <c r="DR62" s="451">
        <v>0</v>
      </c>
      <c r="DS62" s="455"/>
      <c r="DT62" s="451"/>
      <c r="DU62" s="452"/>
      <c r="DV62" s="198"/>
      <c r="DW62" s="451">
        <v>0</v>
      </c>
      <c r="DX62" s="455"/>
      <c r="DY62" s="451"/>
      <c r="DZ62" s="452"/>
      <c r="EA62" s="198"/>
      <c r="EB62" s="451">
        <v>0</v>
      </c>
      <c r="EC62" s="455"/>
      <c r="ED62" s="451"/>
      <c r="EE62" s="452"/>
      <c r="EF62" s="198"/>
      <c r="EG62" s="451">
        <v>0</v>
      </c>
      <c r="EH62" s="455"/>
      <c r="EI62" s="451"/>
      <c r="EJ62" s="452"/>
      <c r="EK62" s="452"/>
      <c r="EL62" s="451">
        <f>SUM(CD62:DM62)</f>
        <v>0</v>
      </c>
      <c r="EM62" s="455"/>
      <c r="EN62" s="451"/>
      <c r="EO62" s="13"/>
      <c r="EP62" s="14"/>
      <c r="EQ62" s="14"/>
    </row>
    <row r="63" spans="4:147" ht="12.75" hidden="1" customHeight="1" x14ac:dyDescent="0.2">
      <c r="D63" s="13" t="s">
        <v>430</v>
      </c>
      <c r="E63" s="198"/>
      <c r="F63" s="385"/>
      <c r="G63" s="463">
        <v>0</v>
      </c>
      <c r="H63" s="464"/>
      <c r="I63" s="451"/>
      <c r="J63" s="452"/>
      <c r="K63" s="465"/>
      <c r="L63" s="463">
        <v>0</v>
      </c>
      <c r="M63" s="464"/>
      <c r="N63" s="451"/>
      <c r="O63" s="452"/>
      <c r="P63" s="385"/>
      <c r="Q63" s="463">
        <v>0</v>
      </c>
      <c r="R63" s="464"/>
      <c r="S63" s="451"/>
      <c r="T63" s="452"/>
      <c r="U63" s="385"/>
      <c r="V63" s="463">
        <v>0</v>
      </c>
      <c r="W63" s="464"/>
      <c r="X63" s="451"/>
      <c r="Y63" s="452"/>
      <c r="Z63" s="385"/>
      <c r="AA63" s="463">
        <v>0</v>
      </c>
      <c r="AB63" s="464"/>
      <c r="AC63" s="451"/>
      <c r="AD63" s="452"/>
      <c r="AE63" s="385"/>
      <c r="AF63" s="463">
        <v>0</v>
      </c>
      <c r="AG63" s="464"/>
      <c r="AH63" s="451"/>
      <c r="AI63" s="452"/>
      <c r="AJ63" s="385"/>
      <c r="AK63" s="463">
        <v>0</v>
      </c>
      <c r="AL63" s="464"/>
      <c r="AM63" s="451"/>
      <c r="AN63" s="452"/>
      <c r="AO63" s="385"/>
      <c r="AP63" s="463">
        <v>0</v>
      </c>
      <c r="AQ63" s="464"/>
      <c r="AR63" s="451"/>
      <c r="AS63" s="452"/>
      <c r="AT63" s="385"/>
      <c r="AU63" s="463">
        <v>0</v>
      </c>
      <c r="AV63" s="464"/>
      <c r="AW63" s="451"/>
      <c r="AX63" s="452"/>
      <c r="AY63" s="385"/>
      <c r="AZ63" s="463">
        <v>0</v>
      </c>
      <c r="BA63" s="464"/>
      <c r="BB63" s="451"/>
      <c r="BC63" s="452"/>
      <c r="BD63" s="385"/>
      <c r="BE63" s="463">
        <v>0</v>
      </c>
      <c r="BF63" s="464"/>
      <c r="BG63" s="451"/>
      <c r="BH63" s="452"/>
      <c r="BI63" s="385"/>
      <c r="BJ63" s="463">
        <v>0</v>
      </c>
      <c r="BK63" s="464"/>
      <c r="BL63" s="451"/>
      <c r="BM63" s="452"/>
      <c r="BN63" s="385"/>
      <c r="BO63" s="463">
        <v>0</v>
      </c>
      <c r="BP63" s="464"/>
      <c r="BQ63" s="451"/>
      <c r="BR63" s="452"/>
      <c r="BS63" s="465"/>
      <c r="BT63" s="463">
        <f>SUM(L63:BO63)</f>
        <v>0</v>
      </c>
      <c r="BU63" s="464"/>
      <c r="BV63" s="451"/>
      <c r="BW63" s="452"/>
      <c r="BX63" s="465"/>
      <c r="BY63" s="463">
        <v>0</v>
      </c>
      <c r="BZ63" s="464"/>
      <c r="CA63" s="451"/>
      <c r="CB63" s="452"/>
      <c r="CC63" s="465"/>
      <c r="CD63" s="463">
        <v>0</v>
      </c>
      <c r="CE63" s="464"/>
      <c r="CF63" s="451"/>
      <c r="CG63" s="452"/>
      <c r="CH63" s="385"/>
      <c r="CI63" s="463">
        <v>0</v>
      </c>
      <c r="CJ63" s="464"/>
      <c r="CK63" s="451"/>
      <c r="CL63" s="452"/>
      <c r="CM63" s="385"/>
      <c r="CN63" s="463">
        <v>0</v>
      </c>
      <c r="CO63" s="464"/>
      <c r="CP63" s="451"/>
      <c r="CQ63" s="452"/>
      <c r="CR63" s="385"/>
      <c r="CS63" s="463">
        <v>0</v>
      </c>
      <c r="CT63" s="464"/>
      <c r="CU63" s="451"/>
      <c r="CV63" s="452"/>
      <c r="CW63" s="385"/>
      <c r="CX63" s="463">
        <v>0</v>
      </c>
      <c r="CY63" s="464"/>
      <c r="CZ63" s="451"/>
      <c r="DA63" s="452"/>
      <c r="DB63" s="385"/>
      <c r="DC63" s="463">
        <v>0</v>
      </c>
      <c r="DD63" s="464"/>
      <c r="DE63" s="451"/>
      <c r="DF63" s="452"/>
      <c r="DG63" s="385"/>
      <c r="DH63" s="463">
        <v>0</v>
      </c>
      <c r="DI63" s="464"/>
      <c r="DJ63" s="451"/>
      <c r="DK63" s="452"/>
      <c r="DL63" s="385"/>
      <c r="DM63" s="463">
        <v>0</v>
      </c>
      <c r="DN63" s="464"/>
      <c r="DO63" s="451"/>
      <c r="DP63" s="452"/>
      <c r="DQ63" s="385"/>
      <c r="DR63" s="463">
        <v>0</v>
      </c>
      <c r="DS63" s="464"/>
      <c r="DT63" s="451"/>
      <c r="DU63" s="452"/>
      <c r="DV63" s="385"/>
      <c r="DW63" s="463">
        <v>0</v>
      </c>
      <c r="DX63" s="464"/>
      <c r="DY63" s="451"/>
      <c r="DZ63" s="452"/>
      <c r="EA63" s="385"/>
      <c r="EB63" s="463">
        <v>0</v>
      </c>
      <c r="EC63" s="464"/>
      <c r="ED63" s="451"/>
      <c r="EE63" s="452"/>
      <c r="EF63" s="385"/>
      <c r="EG63" s="463">
        <v>0</v>
      </c>
      <c r="EH63" s="464"/>
      <c r="EI63" s="451"/>
      <c r="EJ63" s="452"/>
      <c r="EK63" s="465"/>
      <c r="EL63" s="463">
        <f>SUM(CD63:DM63)</f>
        <v>0</v>
      </c>
      <c r="EM63" s="464"/>
      <c r="EN63" s="451"/>
      <c r="EO63" s="13"/>
      <c r="EP63" s="14"/>
      <c r="EQ63" s="14"/>
    </row>
    <row r="64" spans="4:147" ht="12.75" hidden="1" customHeight="1" x14ac:dyDescent="0.2">
      <c r="D64" s="13"/>
      <c r="E64" s="198"/>
      <c r="G64" s="451"/>
      <c r="H64" s="451"/>
      <c r="I64" s="451"/>
      <c r="J64" s="452"/>
      <c r="K64" s="451"/>
      <c r="L64" s="451"/>
      <c r="M64" s="451"/>
      <c r="N64" s="451"/>
      <c r="O64" s="452"/>
      <c r="P64" s="451"/>
      <c r="Q64" s="451"/>
      <c r="R64" s="451"/>
      <c r="S64" s="451"/>
      <c r="T64" s="452"/>
      <c r="U64" s="451"/>
      <c r="V64" s="451"/>
      <c r="W64" s="451"/>
      <c r="X64" s="451"/>
      <c r="Y64" s="452"/>
      <c r="Z64" s="451"/>
      <c r="AA64" s="451"/>
      <c r="AB64" s="451"/>
      <c r="AC64" s="451"/>
      <c r="AD64" s="452"/>
      <c r="AE64" s="451"/>
      <c r="AF64" s="451"/>
      <c r="AG64" s="451"/>
      <c r="AH64" s="451"/>
      <c r="AI64" s="452"/>
      <c r="AJ64" s="451"/>
      <c r="AK64" s="451"/>
      <c r="AL64" s="451"/>
      <c r="AM64" s="451"/>
      <c r="AN64" s="452"/>
      <c r="AO64" s="451"/>
      <c r="AP64" s="451"/>
      <c r="AQ64" s="451"/>
      <c r="AR64" s="451"/>
      <c r="AS64" s="452"/>
      <c r="AT64" s="451"/>
      <c r="AU64" s="451"/>
      <c r="AV64" s="451"/>
      <c r="AW64" s="451"/>
      <c r="AX64" s="452"/>
      <c r="AY64" s="451"/>
      <c r="AZ64" s="451"/>
      <c r="BA64" s="451"/>
      <c r="BB64" s="451"/>
      <c r="BC64" s="452"/>
      <c r="BD64" s="451"/>
      <c r="BE64" s="451"/>
      <c r="BF64" s="451"/>
      <c r="BG64" s="451"/>
      <c r="BH64" s="452"/>
      <c r="BI64" s="451"/>
      <c r="BJ64" s="451"/>
      <c r="BK64" s="451"/>
      <c r="BL64" s="451"/>
      <c r="BM64" s="452"/>
      <c r="BN64" s="451"/>
      <c r="BO64" s="451"/>
      <c r="BP64" s="451"/>
      <c r="BQ64" s="451"/>
      <c r="BR64" s="452"/>
      <c r="BS64" s="451"/>
      <c r="BT64" s="451"/>
      <c r="BU64" s="451"/>
      <c r="BV64" s="451"/>
      <c r="BW64" s="452"/>
      <c r="BX64" s="451"/>
      <c r="BY64" s="451"/>
      <c r="BZ64" s="451"/>
      <c r="CA64" s="451"/>
      <c r="CB64" s="452"/>
      <c r="CC64" s="451"/>
      <c r="CD64" s="451"/>
      <c r="CE64" s="451"/>
      <c r="CF64" s="451"/>
      <c r="CG64" s="452"/>
      <c r="CH64" s="451"/>
      <c r="CI64" s="451"/>
      <c r="CJ64" s="451"/>
      <c r="CK64" s="451"/>
      <c r="CL64" s="452"/>
      <c r="CM64" s="451"/>
      <c r="CN64" s="451"/>
      <c r="CO64" s="451"/>
      <c r="CP64" s="451"/>
      <c r="CQ64" s="452"/>
      <c r="CR64" s="451"/>
      <c r="CS64" s="451"/>
      <c r="CT64" s="451"/>
      <c r="CU64" s="451"/>
      <c r="CV64" s="452"/>
      <c r="CW64" s="451"/>
      <c r="CX64" s="451"/>
      <c r="CY64" s="451"/>
      <c r="CZ64" s="451"/>
      <c r="DA64" s="452"/>
      <c r="DB64" s="451"/>
      <c r="DC64" s="451"/>
      <c r="DD64" s="451"/>
      <c r="DE64" s="451"/>
      <c r="DF64" s="452"/>
      <c r="DG64" s="451"/>
      <c r="DH64" s="451"/>
      <c r="DI64" s="451"/>
      <c r="DJ64" s="451"/>
      <c r="DK64" s="452"/>
      <c r="DL64" s="451"/>
      <c r="DM64" s="451"/>
      <c r="DN64" s="451"/>
      <c r="DO64" s="451"/>
      <c r="DP64" s="452"/>
      <c r="DQ64" s="451"/>
      <c r="DR64" s="451"/>
      <c r="DS64" s="451"/>
      <c r="DT64" s="451"/>
      <c r="DU64" s="452"/>
      <c r="DV64" s="451"/>
      <c r="DW64" s="451"/>
      <c r="DX64" s="451"/>
      <c r="DY64" s="451"/>
      <c r="DZ64" s="452"/>
      <c r="EA64" s="451"/>
      <c r="EB64" s="451"/>
      <c r="EC64" s="451"/>
      <c r="ED64" s="451"/>
      <c r="EE64" s="452"/>
      <c r="EF64" s="451"/>
      <c r="EG64" s="451"/>
      <c r="EH64" s="451"/>
      <c r="EI64" s="451"/>
      <c r="EJ64" s="452"/>
      <c r="EK64" s="451"/>
      <c r="EL64" s="451"/>
      <c r="EO64" s="13"/>
      <c r="EP64" s="14"/>
      <c r="EQ64" s="14"/>
    </row>
    <row r="65" spans="4:147" s="14" customFormat="1" x14ac:dyDescent="0.2">
      <c r="D65" s="93" t="s">
        <v>434</v>
      </c>
      <c r="E65" s="180"/>
      <c r="G65" s="446">
        <f>SUM(G66:G66)</f>
        <v>0</v>
      </c>
      <c r="H65" s="446"/>
      <c r="I65" s="446"/>
      <c r="J65" s="447"/>
      <c r="K65" s="446"/>
      <c r="L65" s="446">
        <f>SUM(L66:L66)</f>
        <v>487336</v>
      </c>
      <c r="M65" s="446"/>
      <c r="N65" s="446"/>
      <c r="O65" s="447"/>
      <c r="P65" s="446"/>
      <c r="Q65" s="446">
        <f>SUM(Q66:Q66)</f>
        <v>29682</v>
      </c>
      <c r="R65" s="446"/>
      <c r="S65" s="446"/>
      <c r="T65" s="447"/>
      <c r="U65" s="446"/>
      <c r="V65" s="446">
        <f>SUM(V66:V66)</f>
        <v>28489</v>
      </c>
      <c r="W65" s="446"/>
      <c r="X65" s="446"/>
      <c r="Y65" s="447"/>
      <c r="Z65" s="446"/>
      <c r="AA65" s="446">
        <f>SUM(AA66:AA66)</f>
        <v>0</v>
      </c>
      <c r="AB65" s="446"/>
      <c r="AC65" s="446"/>
      <c r="AD65" s="447"/>
      <c r="AE65" s="446"/>
      <c r="AF65" s="446">
        <f>SUM(AF66:AF66)</f>
        <v>41191</v>
      </c>
      <c r="AG65" s="446"/>
      <c r="AH65" s="446"/>
      <c r="AI65" s="447"/>
      <c r="AJ65" s="446"/>
      <c r="AK65" s="446">
        <f>SUM(AK66:AK66)</f>
        <v>18552</v>
      </c>
      <c r="AL65" s="446"/>
      <c r="AM65" s="446"/>
      <c r="AN65" s="447"/>
      <c r="AO65" s="446"/>
      <c r="AP65" s="446">
        <f>SUM(AP66:AP66)</f>
        <v>0</v>
      </c>
      <c r="AQ65" s="446"/>
      <c r="AR65" s="446"/>
      <c r="AS65" s="447"/>
      <c r="AT65" s="446"/>
      <c r="AU65" s="446">
        <f>SUM(AU66:AU66)</f>
        <v>0</v>
      </c>
      <c r="AV65" s="446"/>
      <c r="AW65" s="446"/>
      <c r="AX65" s="447"/>
      <c r="AY65" s="446"/>
      <c r="AZ65" s="446">
        <f>SUM(AZ66:AZ66)</f>
        <v>290338</v>
      </c>
      <c r="BA65" s="446"/>
      <c r="BB65" s="446"/>
      <c r="BC65" s="447"/>
      <c r="BD65" s="446"/>
      <c r="BE65" s="446">
        <f>SUM(BE66:BE66)</f>
        <v>132680</v>
      </c>
      <c r="BF65" s="446"/>
      <c r="BG65" s="446"/>
      <c r="BH65" s="447"/>
      <c r="BI65" s="446"/>
      <c r="BJ65" s="446">
        <f>SUM(BJ66:BJ66)</f>
        <v>0</v>
      </c>
      <c r="BK65" s="446"/>
      <c r="BL65" s="446"/>
      <c r="BM65" s="447"/>
      <c r="BN65" s="446"/>
      <c r="BO65" s="446">
        <f>SUM(BO66:BO66)</f>
        <v>0</v>
      </c>
      <c r="BP65" s="446"/>
      <c r="BQ65" s="446"/>
      <c r="BR65" s="447"/>
      <c r="BS65" s="446"/>
      <c r="BT65" s="446">
        <f>SUM(BT66:BT66)</f>
        <v>1028268</v>
      </c>
      <c r="BU65" s="446"/>
      <c r="BV65" s="446"/>
      <c r="BW65" s="447"/>
      <c r="BX65" s="446"/>
      <c r="BY65" s="446">
        <f>SUM(BY66:BY66)</f>
        <v>4361282</v>
      </c>
      <c r="BZ65" s="446"/>
      <c r="CA65" s="446"/>
      <c r="CB65" s="447"/>
      <c r="CC65" s="446"/>
      <c r="CD65" s="446">
        <f>SUM(CD66:CD66)</f>
        <v>3109689</v>
      </c>
      <c r="CE65" s="446"/>
      <c r="CF65" s="446"/>
      <c r="CG65" s="447"/>
      <c r="CH65" s="446"/>
      <c r="CI65" s="446">
        <f>SUM(CI66:CI66)</f>
        <v>0</v>
      </c>
      <c r="CJ65" s="446"/>
      <c r="CK65" s="446"/>
      <c r="CL65" s="447"/>
      <c r="CM65" s="446"/>
      <c r="CN65" s="446">
        <f>SUM(CN66:CN66)</f>
        <v>0</v>
      </c>
      <c r="CO65" s="446"/>
      <c r="CP65" s="446"/>
      <c r="CQ65" s="447"/>
      <c r="CR65" s="446"/>
      <c r="CS65" s="446">
        <f>SUM(CS66:CS66)</f>
        <v>0</v>
      </c>
      <c r="CT65" s="446"/>
      <c r="CU65" s="446"/>
      <c r="CV65" s="447"/>
      <c r="CW65" s="446"/>
      <c r="CX65" s="446">
        <f>SUM(CX66:CX66)</f>
        <v>289217</v>
      </c>
      <c r="CY65" s="446"/>
      <c r="CZ65" s="446"/>
      <c r="DA65" s="447"/>
      <c r="DB65" s="446"/>
      <c r="DC65" s="446">
        <f>SUM(DC66:DC66)</f>
        <v>235010</v>
      </c>
      <c r="DD65" s="446"/>
      <c r="DE65" s="446"/>
      <c r="DF65" s="447"/>
      <c r="DG65" s="446"/>
      <c r="DH65" s="446">
        <f>SUM(DH66:DH66)</f>
        <v>0</v>
      </c>
      <c r="DI65" s="446"/>
      <c r="DJ65" s="446"/>
      <c r="DK65" s="447"/>
      <c r="DL65" s="446"/>
      <c r="DM65" s="446">
        <f>SUM(DM66:DM66)</f>
        <v>64127</v>
      </c>
      <c r="DN65" s="446"/>
      <c r="DO65" s="446"/>
      <c r="DP65" s="447"/>
      <c r="DQ65" s="446"/>
      <c r="DR65" s="446">
        <f>SUM(DR66:DR66)</f>
        <v>0</v>
      </c>
      <c r="DS65" s="446"/>
      <c r="DT65" s="446"/>
      <c r="DU65" s="447"/>
      <c r="DV65" s="446"/>
      <c r="DW65" s="446">
        <f>SUM(DW66:DW66)</f>
        <v>0</v>
      </c>
      <c r="DX65" s="446"/>
      <c r="DY65" s="446"/>
      <c r="DZ65" s="447"/>
      <c r="EA65" s="446"/>
      <c r="EB65" s="446">
        <f>SUM(EB66:EB66)</f>
        <v>0</v>
      </c>
      <c r="EC65" s="446"/>
      <c r="ED65" s="446"/>
      <c r="EE65" s="447"/>
      <c r="EF65" s="446"/>
      <c r="EG65" s="446">
        <f>SUM(EG66:EG66)</f>
        <v>663239</v>
      </c>
      <c r="EH65" s="446"/>
      <c r="EI65" s="446"/>
      <c r="EJ65" s="447"/>
      <c r="EK65" s="446"/>
      <c r="EL65" s="446">
        <f>SUM(EL66:EL66)</f>
        <v>3698043</v>
      </c>
      <c r="EO65" s="93"/>
    </row>
    <row r="66" spans="4:147" x14ac:dyDescent="0.2">
      <c r="D66" s="13" t="s">
        <v>347</v>
      </c>
      <c r="E66" s="198"/>
      <c r="F66" s="456"/>
      <c r="G66" s="457">
        <f>G69+G75+G78+G81+G84+G87+G90+G93+G96+G102+G105+G108+G111+G99+G117+G120+G72+G114</f>
        <v>0</v>
      </c>
      <c r="H66" s="458"/>
      <c r="I66" s="451"/>
      <c r="J66" s="452"/>
      <c r="K66" s="459"/>
      <c r="L66" s="457">
        <f>L69+L75+L78+L81+L84+L87+L90+L93+L96+L102+L105+L108+L111+L99+L117+L120+L72+L114</f>
        <v>487336</v>
      </c>
      <c r="M66" s="458"/>
      <c r="N66" s="451"/>
      <c r="O66" s="452"/>
      <c r="P66" s="459"/>
      <c r="Q66" s="457">
        <f>Q69+Q75+Q78+Q81+Q84+Q87+Q90+Q93+Q96+Q102+Q105+Q108+Q111+Q99+Q117+Q120+Q72+Q114</f>
        <v>29682</v>
      </c>
      <c r="R66" s="458"/>
      <c r="S66" s="451"/>
      <c r="T66" s="452"/>
      <c r="U66" s="459"/>
      <c r="V66" s="457">
        <f>V69+V75+V78+V81+V84+V87+V90+V93+V96+V102+V105+V108+V111+V99+V117+V120+V72+V114</f>
        <v>28489</v>
      </c>
      <c r="W66" s="458"/>
      <c r="X66" s="451"/>
      <c r="Y66" s="452"/>
      <c r="Z66" s="459"/>
      <c r="AA66" s="457">
        <v>0</v>
      </c>
      <c r="AB66" s="458"/>
      <c r="AC66" s="451"/>
      <c r="AD66" s="452"/>
      <c r="AE66" s="459"/>
      <c r="AF66" s="457">
        <f>AF69+AF75+AF78+AF81+AF84+AF87+AF90+AF93+AF96+AF102+AF105+AF108+AF111+AF99+AF117+AF120+AF72+AF114</f>
        <v>41191</v>
      </c>
      <c r="AG66" s="458"/>
      <c r="AH66" s="451"/>
      <c r="AI66" s="452"/>
      <c r="AJ66" s="459"/>
      <c r="AK66" s="457">
        <f>AK69+AK75+AK78+AK81+AK84+AK87+AK90+AK93+AK96+AK102+AK105+AK108+AK111+AK99+AK117+AK120+AK72+AK114</f>
        <v>18552</v>
      </c>
      <c r="AL66" s="458"/>
      <c r="AM66" s="451"/>
      <c r="AN66" s="452"/>
      <c r="AO66" s="459"/>
      <c r="AP66" s="457">
        <f>AP69+AP75+AP78+AP81+AP84+AP87+AP90+AP93+AP96+AP102+AP105+AP108+AP111+AP99+AP117+AP120+AP72+AP114</f>
        <v>0</v>
      </c>
      <c r="AQ66" s="458"/>
      <c r="AR66" s="451"/>
      <c r="AS66" s="452"/>
      <c r="AT66" s="459"/>
      <c r="AU66" s="457">
        <f>AU69+AU75+AU78+AU81+AU84+AU87+AU90+AU93+AU96+AU102+AU105+AU108+AU111+AU99+AU117+AU120+AU72+AU114</f>
        <v>0</v>
      </c>
      <c r="AV66" s="458"/>
      <c r="AW66" s="451"/>
      <c r="AX66" s="452"/>
      <c r="AY66" s="459"/>
      <c r="AZ66" s="457">
        <f>AZ69+AZ75+AZ78+AZ81+AZ84+AZ87+AZ90+AZ93+AZ96+AZ102+AZ105+AZ108+AZ111+AZ99+AZ117+AZ120+AZ72+AZ114</f>
        <v>290338</v>
      </c>
      <c r="BA66" s="458"/>
      <c r="BB66" s="451"/>
      <c r="BC66" s="452"/>
      <c r="BD66" s="459"/>
      <c r="BE66" s="457">
        <f>BE69+BE75+BE78+BE81+BE84+BE87+BE90+BE93+BE96+BE102+BE105+BE108+BE111+BE99+BE117+BE120+BE72+BE114</f>
        <v>132680</v>
      </c>
      <c r="BF66" s="458"/>
      <c r="BG66" s="451"/>
      <c r="BH66" s="452"/>
      <c r="BI66" s="459"/>
      <c r="BJ66" s="457">
        <v>0</v>
      </c>
      <c r="BK66" s="458"/>
      <c r="BL66" s="451"/>
      <c r="BM66" s="452"/>
      <c r="BN66" s="459"/>
      <c r="BO66" s="457">
        <f>BO69+BO75+BO78+BO81+BO84+BO87+BO90+BO93+BO96+BO102+BO105+BO108+BO111+BO99+BO117+BO120+BO72+BO114</f>
        <v>0</v>
      </c>
      <c r="BP66" s="458"/>
      <c r="BQ66" s="451"/>
      <c r="BR66" s="452"/>
      <c r="BS66" s="459"/>
      <c r="BT66" s="457">
        <f>BT69+BT75+BT78+BT81+BT84+BT87+BT90+BT93+BT96+BT102+BT105+BT108+BT111+BT99+BT117+BT120+BT72+BT114</f>
        <v>1028268</v>
      </c>
      <c r="BU66" s="458"/>
      <c r="BV66" s="451"/>
      <c r="BW66" s="452"/>
      <c r="BX66" s="459"/>
      <c r="BY66" s="457">
        <f>BY69+BY75+BY78+BY81+BY84+BY87+BY90+BY93+BY96+BY102+BY105+BY108+BY111+BY99+BY117+BY120+BY72+BY114</f>
        <v>4361282</v>
      </c>
      <c r="BZ66" s="458"/>
      <c r="CA66" s="451"/>
      <c r="CB66" s="452"/>
      <c r="CC66" s="459"/>
      <c r="CD66" s="457">
        <f>CD69+CD75+CD78+CD81+CD84+CD87+CD90+CD93+CD96+CD102+CD105+CD108+CD111+CD99+CD117+CD120+CD72+CD114</f>
        <v>3109689</v>
      </c>
      <c r="CE66" s="458"/>
      <c r="CF66" s="451"/>
      <c r="CG66" s="452"/>
      <c r="CH66" s="459"/>
      <c r="CI66" s="457">
        <v>0</v>
      </c>
      <c r="CJ66" s="458"/>
      <c r="CK66" s="451"/>
      <c r="CL66" s="452"/>
      <c r="CM66" s="459"/>
      <c r="CN66" s="457">
        <v>0</v>
      </c>
      <c r="CO66" s="458"/>
      <c r="CP66" s="451"/>
      <c r="CQ66" s="452"/>
      <c r="CR66" s="459"/>
      <c r="CS66" s="457">
        <v>0</v>
      </c>
      <c r="CT66" s="458"/>
      <c r="CU66" s="451"/>
      <c r="CV66" s="452"/>
      <c r="CW66" s="459"/>
      <c r="CX66" s="457">
        <f>CX69+CX75+CX78+CX81+CX84+CX87+CX90+CX93+CX96+CX102+CX105+CX108+CX111+CX99+CX117+CX120+CX72+CX114</f>
        <v>289217</v>
      </c>
      <c r="CY66" s="458"/>
      <c r="CZ66" s="451"/>
      <c r="DA66" s="452"/>
      <c r="DB66" s="459"/>
      <c r="DC66" s="457">
        <f>DC69+DC75+DC78+DC81+DC84+DC87+DC90+DC93+DC96+DC102+DC105+DC108+DC111+DC99+DC117+DC120+DC72+DC114</f>
        <v>235010</v>
      </c>
      <c r="DD66" s="458"/>
      <c r="DE66" s="451"/>
      <c r="DF66" s="452"/>
      <c r="DG66" s="459"/>
      <c r="DH66" s="457">
        <f>DH69+DH75+DH78+DH81+DH84+DH87+DH90+DH93+DH96+DH102+DH105+DH108+DH111+DH99+DH117+DH120+DH72+DH114</f>
        <v>0</v>
      </c>
      <c r="DI66" s="458"/>
      <c r="DJ66" s="451"/>
      <c r="DK66" s="452"/>
      <c r="DL66" s="459"/>
      <c r="DM66" s="457">
        <f>DM69+DM75+DM78+DM81+DM84+DM87+DM90+DM93+DM96+DM102+DM105+DM108+DM111+DM99+DM117+DM120+DM72+DM114</f>
        <v>64127</v>
      </c>
      <c r="DN66" s="458"/>
      <c r="DO66" s="451"/>
      <c r="DP66" s="452"/>
      <c r="DQ66" s="459"/>
      <c r="DR66" s="457">
        <v>0</v>
      </c>
      <c r="DS66" s="458"/>
      <c r="DT66" s="451"/>
      <c r="DU66" s="452"/>
      <c r="DV66" s="459"/>
      <c r="DW66" s="457">
        <v>0</v>
      </c>
      <c r="DX66" s="458"/>
      <c r="DY66" s="451"/>
      <c r="DZ66" s="452"/>
      <c r="EA66" s="459"/>
      <c r="EB66" s="457">
        <v>0</v>
      </c>
      <c r="EC66" s="458"/>
      <c r="ED66" s="451"/>
      <c r="EE66" s="452"/>
      <c r="EF66" s="459"/>
      <c r="EG66" s="457">
        <f>EG69+EG75+EG78+EG81+EG84+EG87+EG90+EG93+EG96+EG102+EG105+EG108+EG111+EG99+EG117+EG120+EG72+EG114</f>
        <v>663239</v>
      </c>
      <c r="EH66" s="458"/>
      <c r="EI66" s="451"/>
      <c r="EJ66" s="452"/>
      <c r="EK66" s="459"/>
      <c r="EL66" s="457">
        <f>EL69+EL75+EL78+EL81+EL84+EL87+EL90+EL93+EL96+EL102+EL105+EL108+EL111+EL99+EL117+EL120+EL72+EL114</f>
        <v>3698043</v>
      </c>
      <c r="EM66" s="492"/>
      <c r="EO66" s="13"/>
      <c r="EP66" s="14"/>
      <c r="EQ66" s="14"/>
    </row>
    <row r="67" spans="4:147" x14ac:dyDescent="0.2">
      <c r="D67" s="13"/>
      <c r="E67" s="198"/>
      <c r="G67" s="451"/>
      <c r="H67" s="451"/>
      <c r="I67" s="451"/>
      <c r="J67" s="452"/>
      <c r="K67" s="451"/>
      <c r="L67" s="451"/>
      <c r="M67" s="451"/>
      <c r="N67" s="451"/>
      <c r="O67" s="452"/>
      <c r="P67" s="451"/>
      <c r="Q67" s="451"/>
      <c r="R67" s="451"/>
      <c r="S67" s="451"/>
      <c r="T67" s="452"/>
      <c r="U67" s="451"/>
      <c r="V67" s="451"/>
      <c r="W67" s="451"/>
      <c r="X67" s="451"/>
      <c r="Y67" s="452"/>
      <c r="Z67" s="451"/>
      <c r="AA67" s="451"/>
      <c r="AB67" s="451"/>
      <c r="AC67" s="451"/>
      <c r="AD67" s="452"/>
      <c r="AE67" s="451"/>
      <c r="AF67" s="451"/>
      <c r="AG67" s="451"/>
      <c r="AH67" s="451"/>
      <c r="AI67" s="452"/>
      <c r="AJ67" s="451"/>
      <c r="AK67" s="451"/>
      <c r="AL67" s="451"/>
      <c r="AM67" s="451"/>
      <c r="AN67" s="452"/>
      <c r="AO67" s="451"/>
      <c r="AP67" s="451"/>
      <c r="AQ67" s="451"/>
      <c r="AR67" s="451"/>
      <c r="AS67" s="452"/>
      <c r="AT67" s="451"/>
      <c r="AU67" s="451"/>
      <c r="AV67" s="451"/>
      <c r="AW67" s="451"/>
      <c r="AX67" s="452"/>
      <c r="AY67" s="451"/>
      <c r="AZ67" s="451"/>
      <c r="BA67" s="451"/>
      <c r="BB67" s="451"/>
      <c r="BC67" s="452"/>
      <c r="BD67" s="451"/>
      <c r="BE67" s="451"/>
      <c r="BF67" s="451"/>
      <c r="BG67" s="451"/>
      <c r="BH67" s="452"/>
      <c r="BI67" s="451"/>
      <c r="BJ67" s="451"/>
      <c r="BK67" s="451"/>
      <c r="BL67" s="451"/>
      <c r="BM67" s="452"/>
      <c r="BN67" s="451"/>
      <c r="BO67" s="451"/>
      <c r="BP67" s="451"/>
      <c r="BQ67" s="451"/>
      <c r="BR67" s="452"/>
      <c r="BS67" s="451"/>
      <c r="BT67" s="451"/>
      <c r="BU67" s="451"/>
      <c r="BV67" s="451"/>
      <c r="BW67" s="452"/>
      <c r="BX67" s="451"/>
      <c r="BY67" s="451"/>
      <c r="BZ67" s="451"/>
      <c r="CA67" s="451"/>
      <c r="CB67" s="452"/>
      <c r="CC67" s="451"/>
      <c r="CD67" s="451"/>
      <c r="CE67" s="451"/>
      <c r="CF67" s="451"/>
      <c r="CG67" s="452"/>
      <c r="CH67" s="451"/>
      <c r="CI67" s="451"/>
      <c r="CJ67" s="451"/>
      <c r="CK67" s="451"/>
      <c r="CL67" s="452"/>
      <c r="CM67" s="451"/>
      <c r="CN67" s="451"/>
      <c r="CO67" s="451"/>
      <c r="CP67" s="451"/>
      <c r="CQ67" s="452"/>
      <c r="CR67" s="451"/>
      <c r="CS67" s="451"/>
      <c r="CT67" s="451"/>
      <c r="CU67" s="451"/>
      <c r="CV67" s="452"/>
      <c r="CW67" s="451"/>
      <c r="CX67" s="451"/>
      <c r="CY67" s="451"/>
      <c r="CZ67" s="451"/>
      <c r="DA67" s="452"/>
      <c r="DB67" s="451"/>
      <c r="DC67" s="451"/>
      <c r="DD67" s="451"/>
      <c r="DE67" s="451"/>
      <c r="DF67" s="452"/>
      <c r="DG67" s="451"/>
      <c r="DH67" s="451"/>
      <c r="DI67" s="451"/>
      <c r="DJ67" s="451"/>
      <c r="DK67" s="452"/>
      <c r="DL67" s="451"/>
      <c r="DM67" s="451"/>
      <c r="DN67" s="451"/>
      <c r="DO67" s="451"/>
      <c r="DP67" s="452"/>
      <c r="DQ67" s="451"/>
      <c r="DR67" s="451"/>
      <c r="DS67" s="451"/>
      <c r="DT67" s="451"/>
      <c r="DU67" s="452"/>
      <c r="DV67" s="451"/>
      <c r="DW67" s="451"/>
      <c r="DX67" s="451"/>
      <c r="DY67" s="451"/>
      <c r="DZ67" s="452"/>
      <c r="EA67" s="451"/>
      <c r="EB67" s="451"/>
      <c r="EC67" s="451"/>
      <c r="ED67" s="451"/>
      <c r="EE67" s="452"/>
      <c r="EF67" s="451"/>
      <c r="EG67" s="451"/>
      <c r="EH67" s="451"/>
      <c r="EI67" s="451"/>
      <c r="EJ67" s="452"/>
      <c r="EK67" s="451"/>
      <c r="EL67" s="451"/>
      <c r="EO67" s="13"/>
      <c r="EP67" s="14"/>
      <c r="EQ67" s="14"/>
    </row>
    <row r="68" spans="4:147" x14ac:dyDescent="0.2">
      <c r="D68" s="13" t="s">
        <v>373</v>
      </c>
      <c r="E68" s="198"/>
      <c r="G68" s="451">
        <v>0</v>
      </c>
      <c r="H68" s="451"/>
      <c r="I68" s="451"/>
      <c r="J68" s="452"/>
      <c r="K68" s="451"/>
      <c r="L68" s="451">
        <f>SUM(L69:L69)</f>
        <v>0</v>
      </c>
      <c r="M68" s="451"/>
      <c r="N68" s="451"/>
      <c r="O68" s="452"/>
      <c r="P68" s="451"/>
      <c r="Q68" s="451">
        <f>SUM(Q69:Q69)</f>
        <v>0</v>
      </c>
      <c r="R68" s="451"/>
      <c r="S68" s="451"/>
      <c r="T68" s="452"/>
      <c r="U68" s="451"/>
      <c r="V68" s="451">
        <f>SUM(V69:V69)</f>
        <v>0</v>
      </c>
      <c r="W68" s="451"/>
      <c r="X68" s="451"/>
      <c r="Y68" s="452"/>
      <c r="Z68" s="451"/>
      <c r="AA68" s="451">
        <f>SUM(AA69:AA69)</f>
        <v>0</v>
      </c>
      <c r="AB68" s="451"/>
      <c r="AC68" s="451"/>
      <c r="AD68" s="452"/>
      <c r="AE68" s="451"/>
      <c r="AF68" s="451">
        <f>SUM(AF69:AF69)</f>
        <v>0</v>
      </c>
      <c r="AG68" s="451"/>
      <c r="AH68" s="451"/>
      <c r="AI68" s="452"/>
      <c r="AJ68" s="451"/>
      <c r="AK68" s="451">
        <f>SUM(AK69:AK69)</f>
        <v>0</v>
      </c>
      <c r="AL68" s="451"/>
      <c r="AM68" s="451"/>
      <c r="AN68" s="452"/>
      <c r="AO68" s="451"/>
      <c r="AP68" s="451">
        <f>SUM(AP69:AP69)</f>
        <v>0</v>
      </c>
      <c r="AQ68" s="451"/>
      <c r="AR68" s="451"/>
      <c r="AS68" s="452"/>
      <c r="AT68" s="451"/>
      <c r="AU68" s="451">
        <f>SUM(AU69:AU69)</f>
        <v>0</v>
      </c>
      <c r="AV68" s="451"/>
      <c r="AW68" s="451"/>
      <c r="AX68" s="452"/>
      <c r="AY68" s="451"/>
      <c r="AZ68" s="451">
        <f>SUM(AZ69:AZ69)</f>
        <v>85877</v>
      </c>
      <c r="BA68" s="451"/>
      <c r="BB68" s="451"/>
      <c r="BC68" s="452"/>
      <c r="BD68" s="451"/>
      <c r="BE68" s="451">
        <f>SUM(BE69:BE69)</f>
        <v>132680</v>
      </c>
      <c r="BF68" s="451"/>
      <c r="BG68" s="451"/>
      <c r="BH68" s="452"/>
      <c r="BI68" s="451"/>
      <c r="BJ68" s="451">
        <f>SUM(BJ69:BJ69)</f>
        <v>0</v>
      </c>
      <c r="BK68" s="451"/>
      <c r="BL68" s="451"/>
      <c r="BM68" s="452"/>
      <c r="BN68" s="451"/>
      <c r="BO68" s="451">
        <f>SUM(BO69:BO69)</f>
        <v>0</v>
      </c>
      <c r="BP68" s="451"/>
      <c r="BQ68" s="451"/>
      <c r="BR68" s="452"/>
      <c r="BS68" s="451"/>
      <c r="BT68" s="451">
        <f>SUM(BT69:BT69)</f>
        <v>218557</v>
      </c>
      <c r="BU68" s="451"/>
      <c r="BV68" s="451"/>
      <c r="BW68" s="452"/>
      <c r="BX68" s="451"/>
      <c r="BY68" s="451">
        <f>SUM(BY69:BY69)</f>
        <v>0</v>
      </c>
      <c r="BZ68" s="451"/>
      <c r="CA68" s="451"/>
      <c r="CB68" s="452"/>
      <c r="CC68" s="451"/>
      <c r="CD68" s="451">
        <f>SUM(CD69:CD69)</f>
        <v>0</v>
      </c>
      <c r="CE68" s="451"/>
      <c r="CF68" s="451"/>
      <c r="CG68" s="452"/>
      <c r="CH68" s="451"/>
      <c r="CI68" s="451">
        <f>SUM(CI69:CI69)</f>
        <v>0</v>
      </c>
      <c r="CJ68" s="451"/>
      <c r="CK68" s="451"/>
      <c r="CL68" s="452"/>
      <c r="CM68" s="451"/>
      <c r="CN68" s="451">
        <f>SUM(CN69:CN69)</f>
        <v>0</v>
      </c>
      <c r="CO68" s="451"/>
      <c r="CP68" s="451"/>
      <c r="CQ68" s="452"/>
      <c r="CR68" s="451"/>
      <c r="CS68" s="451">
        <f>SUM(CS69:CS69)</f>
        <v>0</v>
      </c>
      <c r="CT68" s="451"/>
      <c r="CU68" s="451"/>
      <c r="CV68" s="452"/>
      <c r="CW68" s="451"/>
      <c r="CX68" s="451">
        <f>SUM(CX69:CX69)</f>
        <v>0</v>
      </c>
      <c r="CY68" s="451"/>
      <c r="CZ68" s="451"/>
      <c r="DA68" s="452"/>
      <c r="DB68" s="451"/>
      <c r="DC68" s="451">
        <f>SUM(DC69:DC69)</f>
        <v>0</v>
      </c>
      <c r="DD68" s="451"/>
      <c r="DE68" s="451"/>
      <c r="DF68" s="452"/>
      <c r="DG68" s="451"/>
      <c r="DH68" s="451">
        <f>SUM(DH69:DH69)</f>
        <v>0</v>
      </c>
      <c r="DI68" s="451"/>
      <c r="DJ68" s="451"/>
      <c r="DK68" s="452"/>
      <c r="DL68" s="451"/>
      <c r="DM68" s="451">
        <f>SUM(DM69:DM69)</f>
        <v>0</v>
      </c>
      <c r="DN68" s="451"/>
      <c r="DO68" s="451"/>
      <c r="DP68" s="452"/>
      <c r="DQ68" s="451"/>
      <c r="DR68" s="451">
        <f>SUM(DR69:DR69)</f>
        <v>0</v>
      </c>
      <c r="DS68" s="451"/>
      <c r="DT68" s="451"/>
      <c r="DU68" s="452"/>
      <c r="DV68" s="451"/>
      <c r="DW68" s="451">
        <f>SUM(DW69:DW69)</f>
        <v>0</v>
      </c>
      <c r="DX68" s="451"/>
      <c r="DY68" s="451"/>
      <c r="DZ68" s="452"/>
      <c r="EA68" s="451"/>
      <c r="EB68" s="451">
        <f>SUM(EB69:EB69)</f>
        <v>0</v>
      </c>
      <c r="EC68" s="451"/>
      <c r="ED68" s="451"/>
      <c r="EE68" s="452"/>
      <c r="EF68" s="451"/>
      <c r="EG68" s="451">
        <f>SUM(EG69:EG69)</f>
        <v>0</v>
      </c>
      <c r="EH68" s="451"/>
      <c r="EI68" s="451"/>
      <c r="EJ68" s="452"/>
      <c r="EK68" s="451"/>
      <c r="EL68" s="451">
        <f>SUM(EL69:EL69)</f>
        <v>0</v>
      </c>
      <c r="EO68" s="13"/>
      <c r="EP68" s="14"/>
      <c r="EQ68" s="14"/>
    </row>
    <row r="69" spans="4:147" x14ac:dyDescent="0.2">
      <c r="D69" s="13" t="s">
        <v>347</v>
      </c>
      <c r="E69" s="198"/>
      <c r="F69" s="456"/>
      <c r="G69" s="457">
        <v>0</v>
      </c>
      <c r="H69" s="458"/>
      <c r="I69" s="451"/>
      <c r="J69" s="452"/>
      <c r="K69" s="459"/>
      <c r="L69" s="457">
        <v>0</v>
      </c>
      <c r="M69" s="458"/>
      <c r="N69" s="451"/>
      <c r="O69" s="452"/>
      <c r="P69" s="459"/>
      <c r="Q69" s="457">
        <v>0</v>
      </c>
      <c r="R69" s="458"/>
      <c r="S69" s="451"/>
      <c r="T69" s="452"/>
      <c r="U69" s="459"/>
      <c r="V69" s="457">
        <v>0</v>
      </c>
      <c r="W69" s="458"/>
      <c r="X69" s="451"/>
      <c r="Y69" s="452"/>
      <c r="Z69" s="459"/>
      <c r="AA69" s="457">
        <v>0</v>
      </c>
      <c r="AB69" s="458"/>
      <c r="AC69" s="451"/>
      <c r="AD69" s="452"/>
      <c r="AE69" s="459"/>
      <c r="AF69" s="457">
        <v>0</v>
      </c>
      <c r="AG69" s="458"/>
      <c r="AH69" s="451"/>
      <c r="AI69" s="452"/>
      <c r="AJ69" s="459"/>
      <c r="AK69" s="457">
        <v>0</v>
      </c>
      <c r="AL69" s="458"/>
      <c r="AM69" s="451"/>
      <c r="AN69" s="452"/>
      <c r="AO69" s="459"/>
      <c r="AP69" s="457">
        <v>0</v>
      </c>
      <c r="AQ69" s="458"/>
      <c r="AR69" s="451"/>
      <c r="AS69" s="452"/>
      <c r="AT69" s="459"/>
      <c r="AU69" s="457">
        <v>0</v>
      </c>
      <c r="AV69" s="458"/>
      <c r="AW69" s="451"/>
      <c r="AX69" s="452"/>
      <c r="AY69" s="459"/>
      <c r="AZ69" s="457">
        <v>85877</v>
      </c>
      <c r="BA69" s="458"/>
      <c r="BB69" s="451"/>
      <c r="BC69" s="452"/>
      <c r="BD69" s="459"/>
      <c r="BE69" s="457">
        <v>132680</v>
      </c>
      <c r="BF69" s="458"/>
      <c r="BG69" s="451"/>
      <c r="BH69" s="452"/>
      <c r="BI69" s="459"/>
      <c r="BJ69" s="457">
        <v>0</v>
      </c>
      <c r="BK69" s="458"/>
      <c r="BL69" s="451"/>
      <c r="BM69" s="452"/>
      <c r="BN69" s="459"/>
      <c r="BO69" s="457">
        <v>0</v>
      </c>
      <c r="BP69" s="458"/>
      <c r="BQ69" s="451"/>
      <c r="BR69" s="452"/>
      <c r="BS69" s="459"/>
      <c r="BT69" s="457">
        <f>SUM(L69:BO69)</f>
        <v>218557</v>
      </c>
      <c r="BU69" s="458"/>
      <c r="BV69" s="451"/>
      <c r="BW69" s="452"/>
      <c r="BX69" s="459"/>
      <c r="BY69" s="457">
        <v>0</v>
      </c>
      <c r="BZ69" s="458"/>
      <c r="CA69" s="451"/>
      <c r="CB69" s="452"/>
      <c r="CC69" s="459"/>
      <c r="CD69" s="457">
        <v>0</v>
      </c>
      <c r="CE69" s="458"/>
      <c r="CF69" s="451"/>
      <c r="CG69" s="452"/>
      <c r="CH69" s="459"/>
      <c r="CI69" s="457">
        <v>0</v>
      </c>
      <c r="CJ69" s="458"/>
      <c r="CK69" s="451"/>
      <c r="CL69" s="452"/>
      <c r="CM69" s="459"/>
      <c r="CN69" s="457">
        <v>0</v>
      </c>
      <c r="CO69" s="458"/>
      <c r="CP69" s="451"/>
      <c r="CQ69" s="452"/>
      <c r="CR69" s="459"/>
      <c r="CS69" s="457">
        <v>0</v>
      </c>
      <c r="CT69" s="458"/>
      <c r="CU69" s="451"/>
      <c r="CV69" s="452"/>
      <c r="CW69" s="459"/>
      <c r="CX69" s="457">
        <v>0</v>
      </c>
      <c r="CY69" s="458"/>
      <c r="CZ69" s="451"/>
      <c r="DA69" s="452"/>
      <c r="DB69" s="459"/>
      <c r="DC69" s="457">
        <v>0</v>
      </c>
      <c r="DD69" s="458"/>
      <c r="DE69" s="451"/>
      <c r="DF69" s="452"/>
      <c r="DG69" s="459"/>
      <c r="DH69" s="457">
        <v>0</v>
      </c>
      <c r="DI69" s="458"/>
      <c r="DJ69" s="451"/>
      <c r="DK69" s="452"/>
      <c r="DL69" s="459"/>
      <c r="DM69" s="457">
        <v>0</v>
      </c>
      <c r="DN69" s="458"/>
      <c r="DO69" s="451"/>
      <c r="DP69" s="452"/>
      <c r="DQ69" s="459"/>
      <c r="DR69" s="457">
        <v>0</v>
      </c>
      <c r="DS69" s="458"/>
      <c r="DT69" s="451"/>
      <c r="DU69" s="452"/>
      <c r="DV69" s="459"/>
      <c r="DW69" s="457">
        <v>0</v>
      </c>
      <c r="DX69" s="458"/>
      <c r="DY69" s="451"/>
      <c r="DZ69" s="452"/>
      <c r="EA69" s="459"/>
      <c r="EB69" s="457">
        <v>0</v>
      </c>
      <c r="EC69" s="458"/>
      <c r="ED69" s="451"/>
      <c r="EE69" s="452"/>
      <c r="EF69" s="459"/>
      <c r="EG69" s="457">
        <v>0</v>
      </c>
      <c r="EH69" s="458"/>
      <c r="EI69" s="451"/>
      <c r="EJ69" s="452"/>
      <c r="EK69" s="459"/>
      <c r="EL69" s="457">
        <f>SUM(CD69:EG69)</f>
        <v>0</v>
      </c>
      <c r="EM69" s="492"/>
      <c r="EO69" s="13"/>
      <c r="EP69" s="14"/>
      <c r="EQ69" s="14"/>
    </row>
    <row r="70" spans="4:147" x14ac:dyDescent="0.2">
      <c r="D70" s="13"/>
      <c r="E70" s="198"/>
      <c r="G70" s="493"/>
      <c r="H70" s="493"/>
      <c r="I70" s="493"/>
      <c r="J70" s="494"/>
      <c r="K70" s="493"/>
      <c r="L70" s="493"/>
      <c r="M70" s="493"/>
      <c r="N70" s="493"/>
      <c r="O70" s="494"/>
      <c r="P70" s="493"/>
      <c r="Q70" s="493"/>
      <c r="R70" s="493"/>
      <c r="S70" s="493"/>
      <c r="T70" s="494"/>
      <c r="U70" s="493"/>
      <c r="V70" s="493"/>
      <c r="W70" s="493"/>
      <c r="X70" s="493"/>
      <c r="Y70" s="494"/>
      <c r="Z70" s="493"/>
      <c r="AA70" s="493"/>
      <c r="AB70" s="493"/>
      <c r="AC70" s="493"/>
      <c r="AD70" s="494"/>
      <c r="AE70" s="493"/>
      <c r="AF70" s="493"/>
      <c r="AG70" s="493"/>
      <c r="AH70" s="493"/>
      <c r="AI70" s="494"/>
      <c r="AJ70" s="493"/>
      <c r="AK70" s="493"/>
      <c r="AL70" s="493"/>
      <c r="AM70" s="493"/>
      <c r="AN70" s="494"/>
      <c r="AO70" s="493"/>
      <c r="AP70" s="493"/>
      <c r="AQ70" s="493"/>
      <c r="AR70" s="493"/>
      <c r="AS70" s="494"/>
      <c r="AT70" s="493"/>
      <c r="AU70" s="493"/>
      <c r="AV70" s="493"/>
      <c r="AW70" s="493"/>
      <c r="AX70" s="494"/>
      <c r="AY70" s="493"/>
      <c r="AZ70" s="493"/>
      <c r="BA70" s="493"/>
      <c r="BB70" s="493"/>
      <c r="BC70" s="494"/>
      <c r="BD70" s="493"/>
      <c r="BE70" s="493"/>
      <c r="BF70" s="493"/>
      <c r="BG70" s="493"/>
      <c r="BH70" s="494"/>
      <c r="BI70" s="493"/>
      <c r="BJ70" s="493"/>
      <c r="BK70" s="493"/>
      <c r="BL70" s="493"/>
      <c r="BM70" s="494"/>
      <c r="BN70" s="493"/>
      <c r="BO70" s="493"/>
      <c r="BP70" s="493"/>
      <c r="BQ70" s="493"/>
      <c r="BR70" s="494"/>
      <c r="BS70" s="493"/>
      <c r="BT70" s="451"/>
      <c r="BU70" s="451"/>
      <c r="BV70" s="451"/>
      <c r="BW70" s="452"/>
      <c r="BX70" s="451"/>
      <c r="BY70" s="451"/>
      <c r="BZ70" s="493"/>
      <c r="CA70" s="493"/>
      <c r="CB70" s="494"/>
      <c r="CC70" s="493"/>
      <c r="CD70" s="493"/>
      <c r="CE70" s="493"/>
      <c r="CF70" s="493"/>
      <c r="CG70" s="494"/>
      <c r="CH70" s="493"/>
      <c r="CI70" s="493"/>
      <c r="CJ70" s="493"/>
      <c r="CK70" s="493"/>
      <c r="CL70" s="494"/>
      <c r="CM70" s="493"/>
      <c r="CN70" s="493"/>
      <c r="CO70" s="493"/>
      <c r="CP70" s="493"/>
      <c r="CQ70" s="494"/>
      <c r="CR70" s="493"/>
      <c r="CS70" s="493"/>
      <c r="CT70" s="493"/>
      <c r="CU70" s="493"/>
      <c r="CV70" s="494"/>
      <c r="CW70" s="493"/>
      <c r="CX70" s="493"/>
      <c r="CY70" s="493"/>
      <c r="CZ70" s="493"/>
      <c r="DA70" s="494"/>
      <c r="DB70" s="493"/>
      <c r="DC70" s="493"/>
      <c r="DD70" s="493"/>
      <c r="DE70" s="493"/>
      <c r="DF70" s="494"/>
      <c r="DG70" s="493"/>
      <c r="DH70" s="493"/>
      <c r="DI70" s="493"/>
      <c r="DJ70" s="493"/>
      <c r="DK70" s="494"/>
      <c r="DL70" s="493"/>
      <c r="DM70" s="493"/>
      <c r="DN70" s="493"/>
      <c r="DO70" s="493"/>
      <c r="DP70" s="494"/>
      <c r="DQ70" s="493"/>
      <c r="DR70" s="493"/>
      <c r="DS70" s="493"/>
      <c r="DT70" s="493"/>
      <c r="DU70" s="494"/>
      <c r="DV70" s="493"/>
      <c r="DW70" s="493"/>
      <c r="DX70" s="493"/>
      <c r="DY70" s="493"/>
      <c r="DZ70" s="494"/>
      <c r="EA70" s="493"/>
      <c r="EB70" s="493"/>
      <c r="EC70" s="493"/>
      <c r="ED70" s="493"/>
      <c r="EE70" s="494"/>
      <c r="EF70" s="493"/>
      <c r="EG70" s="493"/>
      <c r="EH70" s="493"/>
      <c r="EI70" s="493"/>
      <c r="EJ70" s="494"/>
      <c r="EK70" s="493"/>
      <c r="EL70" s="451"/>
      <c r="EO70" s="13"/>
      <c r="EP70" s="14"/>
      <c r="EQ70" s="14"/>
    </row>
    <row r="71" spans="4:147" x14ac:dyDescent="0.2">
      <c r="D71" s="13" t="s">
        <v>374</v>
      </c>
      <c r="E71" s="198"/>
      <c r="G71" s="451">
        <v>0</v>
      </c>
      <c r="H71" s="451"/>
      <c r="I71" s="451"/>
      <c r="J71" s="452"/>
      <c r="K71" s="451"/>
      <c r="L71" s="451">
        <f>SUM(L72:L72)</f>
        <v>487336</v>
      </c>
      <c r="M71" s="451"/>
      <c r="N71" s="451"/>
      <c r="O71" s="452"/>
      <c r="P71" s="451"/>
      <c r="Q71" s="451">
        <f>SUM(Q72:Q72)</f>
        <v>0</v>
      </c>
      <c r="R71" s="451"/>
      <c r="S71" s="451"/>
      <c r="T71" s="452"/>
      <c r="U71" s="451"/>
      <c r="V71" s="451">
        <f>SUM(V72:V72)</f>
        <v>0</v>
      </c>
      <c r="W71" s="451"/>
      <c r="X71" s="451"/>
      <c r="Y71" s="452"/>
      <c r="Z71" s="451"/>
      <c r="AA71" s="451">
        <f>SUM(AA72:AA72)</f>
        <v>0</v>
      </c>
      <c r="AB71" s="451"/>
      <c r="AC71" s="451"/>
      <c r="AD71" s="452"/>
      <c r="AE71" s="451"/>
      <c r="AF71" s="451">
        <f>SUM(AF72:AF72)</f>
        <v>0</v>
      </c>
      <c r="AG71" s="451"/>
      <c r="AH71" s="451"/>
      <c r="AI71" s="452"/>
      <c r="AJ71" s="451"/>
      <c r="AK71" s="451">
        <f>SUM(AK72:AK72)</f>
        <v>0</v>
      </c>
      <c r="AL71" s="451"/>
      <c r="AM71" s="451"/>
      <c r="AN71" s="452"/>
      <c r="AO71" s="451"/>
      <c r="AP71" s="451">
        <f>SUM(AP72:AP72)</f>
        <v>0</v>
      </c>
      <c r="AQ71" s="451"/>
      <c r="AR71" s="451"/>
      <c r="AS71" s="452"/>
      <c r="AT71" s="451"/>
      <c r="AU71" s="451">
        <f>SUM(AU72:AU72)</f>
        <v>0</v>
      </c>
      <c r="AV71" s="451"/>
      <c r="AW71" s="451"/>
      <c r="AX71" s="452"/>
      <c r="AY71" s="451"/>
      <c r="AZ71" s="451">
        <f>SUM(AZ72:AZ72)</f>
        <v>68220</v>
      </c>
      <c r="BA71" s="451"/>
      <c r="BB71" s="451"/>
      <c r="BC71" s="452"/>
      <c r="BD71" s="451"/>
      <c r="BE71" s="451">
        <f>SUM(BE72:BE72)</f>
        <v>0</v>
      </c>
      <c r="BF71" s="451"/>
      <c r="BG71" s="451"/>
      <c r="BH71" s="452"/>
      <c r="BI71" s="451"/>
      <c r="BJ71" s="451">
        <f>SUM(BJ72:BJ72)</f>
        <v>0</v>
      </c>
      <c r="BK71" s="451"/>
      <c r="BL71" s="451"/>
      <c r="BM71" s="452"/>
      <c r="BN71" s="451"/>
      <c r="BO71" s="451">
        <f>SUM(BO72:BO72)</f>
        <v>0</v>
      </c>
      <c r="BP71" s="451"/>
      <c r="BQ71" s="451"/>
      <c r="BR71" s="452"/>
      <c r="BS71" s="451"/>
      <c r="BT71" s="451">
        <f>SUM(BT72:BT72)</f>
        <v>555556</v>
      </c>
      <c r="BU71" s="451"/>
      <c r="BV71" s="451"/>
      <c r="BW71" s="452"/>
      <c r="BX71" s="451"/>
      <c r="BY71" s="451">
        <f>SUM(BY72:BY72)</f>
        <v>89569</v>
      </c>
      <c r="BZ71" s="451"/>
      <c r="CA71" s="451"/>
      <c r="CB71" s="452"/>
      <c r="CC71" s="451"/>
      <c r="CD71" s="451">
        <f>SUM(CD72:CD72)</f>
        <v>0</v>
      </c>
      <c r="CE71" s="451"/>
      <c r="CF71" s="451"/>
      <c r="CG71" s="452"/>
      <c r="CH71" s="451"/>
      <c r="CI71" s="451">
        <f>SUM(CI72:CI72)</f>
        <v>0</v>
      </c>
      <c r="CJ71" s="451"/>
      <c r="CK71" s="451"/>
      <c r="CL71" s="452"/>
      <c r="CM71" s="451"/>
      <c r="CN71" s="451">
        <f>SUM(CN72:CN72)</f>
        <v>0</v>
      </c>
      <c r="CO71" s="451"/>
      <c r="CP71" s="451"/>
      <c r="CQ71" s="452"/>
      <c r="CR71" s="451"/>
      <c r="CS71" s="451">
        <f>SUM(CS72:CS72)</f>
        <v>0</v>
      </c>
      <c r="CT71" s="451"/>
      <c r="CU71" s="451"/>
      <c r="CV71" s="452"/>
      <c r="CW71" s="451"/>
      <c r="CX71" s="451">
        <f>SUM(CX72:CX72)</f>
        <v>0</v>
      </c>
      <c r="CY71" s="451"/>
      <c r="CZ71" s="451"/>
      <c r="DA71" s="452"/>
      <c r="DB71" s="451"/>
      <c r="DC71" s="451">
        <f>SUM(DC72:DC72)</f>
        <v>0</v>
      </c>
      <c r="DD71" s="451"/>
      <c r="DE71" s="451"/>
      <c r="DF71" s="452"/>
      <c r="DG71" s="451"/>
      <c r="DH71" s="451">
        <f>SUM(DH72:DH72)</f>
        <v>0</v>
      </c>
      <c r="DI71" s="451"/>
      <c r="DJ71" s="451"/>
      <c r="DK71" s="452"/>
      <c r="DL71" s="451"/>
      <c r="DM71" s="451">
        <f>SUM(DM72:DM72)</f>
        <v>0</v>
      </c>
      <c r="DN71" s="451"/>
      <c r="DO71" s="451"/>
      <c r="DP71" s="452"/>
      <c r="DQ71" s="451"/>
      <c r="DR71" s="451">
        <f>SUM(DR72:DR72)</f>
        <v>0</v>
      </c>
      <c r="DS71" s="451"/>
      <c r="DT71" s="451"/>
      <c r="DU71" s="452"/>
      <c r="DV71" s="451"/>
      <c r="DW71" s="451">
        <f>SUM(DW72:DW72)</f>
        <v>0</v>
      </c>
      <c r="DX71" s="451"/>
      <c r="DY71" s="451"/>
      <c r="DZ71" s="452"/>
      <c r="EA71" s="451"/>
      <c r="EB71" s="451">
        <f>SUM(EB72:EB72)</f>
        <v>0</v>
      </c>
      <c r="EC71" s="451"/>
      <c r="ED71" s="451"/>
      <c r="EE71" s="452"/>
      <c r="EF71" s="451"/>
      <c r="EG71" s="451">
        <f>SUM(EG72:EG72)</f>
        <v>89569</v>
      </c>
      <c r="EH71" s="451"/>
      <c r="EI71" s="451"/>
      <c r="EJ71" s="452"/>
      <c r="EK71" s="451"/>
      <c r="EL71" s="451">
        <f>SUM(EL72:EL72)</f>
        <v>0</v>
      </c>
      <c r="EO71" s="13"/>
      <c r="EP71" s="14"/>
      <c r="EQ71" s="14"/>
    </row>
    <row r="72" spans="4:147" x14ac:dyDescent="0.2">
      <c r="D72" s="13" t="s">
        <v>347</v>
      </c>
      <c r="E72" s="198"/>
      <c r="F72" s="456"/>
      <c r="G72" s="457">
        <v>0</v>
      </c>
      <c r="H72" s="458"/>
      <c r="I72" s="451"/>
      <c r="J72" s="452"/>
      <c r="K72" s="459"/>
      <c r="L72" s="457">
        <v>487336</v>
      </c>
      <c r="M72" s="458"/>
      <c r="N72" s="451"/>
      <c r="O72" s="452"/>
      <c r="P72" s="459"/>
      <c r="Q72" s="457">
        <v>0</v>
      </c>
      <c r="R72" s="458"/>
      <c r="S72" s="451"/>
      <c r="T72" s="452"/>
      <c r="U72" s="459"/>
      <c r="V72" s="457">
        <v>0</v>
      </c>
      <c r="W72" s="458"/>
      <c r="X72" s="451"/>
      <c r="Y72" s="452"/>
      <c r="Z72" s="459"/>
      <c r="AA72" s="457">
        <v>0</v>
      </c>
      <c r="AB72" s="458"/>
      <c r="AC72" s="451"/>
      <c r="AD72" s="452"/>
      <c r="AE72" s="459"/>
      <c r="AF72" s="457">
        <v>0</v>
      </c>
      <c r="AG72" s="458"/>
      <c r="AH72" s="451"/>
      <c r="AI72" s="452"/>
      <c r="AJ72" s="459"/>
      <c r="AK72" s="457">
        <v>0</v>
      </c>
      <c r="AL72" s="458"/>
      <c r="AM72" s="451"/>
      <c r="AN72" s="452"/>
      <c r="AO72" s="459"/>
      <c r="AP72" s="457">
        <v>0</v>
      </c>
      <c r="AQ72" s="458"/>
      <c r="AR72" s="451"/>
      <c r="AS72" s="452"/>
      <c r="AT72" s="459"/>
      <c r="AU72" s="457">
        <v>0</v>
      </c>
      <c r="AV72" s="458"/>
      <c r="AW72" s="451"/>
      <c r="AX72" s="452"/>
      <c r="AY72" s="459"/>
      <c r="AZ72" s="457">
        <v>68220</v>
      </c>
      <c r="BA72" s="458"/>
      <c r="BB72" s="451"/>
      <c r="BC72" s="452"/>
      <c r="BD72" s="459"/>
      <c r="BE72" s="457">
        <v>0</v>
      </c>
      <c r="BF72" s="458"/>
      <c r="BG72" s="451"/>
      <c r="BH72" s="452"/>
      <c r="BI72" s="459"/>
      <c r="BJ72" s="457">
        <v>0</v>
      </c>
      <c r="BK72" s="458"/>
      <c r="BL72" s="451"/>
      <c r="BM72" s="452"/>
      <c r="BN72" s="459"/>
      <c r="BO72" s="457">
        <v>0</v>
      </c>
      <c r="BP72" s="458"/>
      <c r="BQ72" s="451"/>
      <c r="BR72" s="452"/>
      <c r="BS72" s="459"/>
      <c r="BT72" s="457">
        <f>SUM(L72:BO72)</f>
        <v>555556</v>
      </c>
      <c r="BU72" s="458"/>
      <c r="BV72" s="451"/>
      <c r="BW72" s="452"/>
      <c r="BX72" s="459"/>
      <c r="BY72" s="457">
        <v>89569</v>
      </c>
      <c r="BZ72" s="458"/>
      <c r="CA72" s="451"/>
      <c r="CB72" s="452"/>
      <c r="CC72" s="459"/>
      <c r="CD72" s="457">
        <v>0</v>
      </c>
      <c r="CE72" s="458"/>
      <c r="CF72" s="451"/>
      <c r="CG72" s="452"/>
      <c r="CH72" s="459"/>
      <c r="CI72" s="457">
        <v>0</v>
      </c>
      <c r="CJ72" s="458"/>
      <c r="CK72" s="451"/>
      <c r="CL72" s="452"/>
      <c r="CM72" s="459"/>
      <c r="CN72" s="457">
        <v>0</v>
      </c>
      <c r="CO72" s="458"/>
      <c r="CP72" s="451"/>
      <c r="CQ72" s="452"/>
      <c r="CR72" s="459"/>
      <c r="CS72" s="457">
        <v>0</v>
      </c>
      <c r="CT72" s="458"/>
      <c r="CU72" s="451"/>
      <c r="CV72" s="452"/>
      <c r="CW72" s="459"/>
      <c r="CX72" s="457">
        <v>0</v>
      </c>
      <c r="CY72" s="458"/>
      <c r="CZ72" s="451"/>
      <c r="DA72" s="452"/>
      <c r="DB72" s="459"/>
      <c r="DC72" s="457">
        <v>0</v>
      </c>
      <c r="DD72" s="458"/>
      <c r="DE72" s="451"/>
      <c r="DF72" s="452"/>
      <c r="DG72" s="459"/>
      <c r="DH72" s="457">
        <v>0</v>
      </c>
      <c r="DI72" s="458"/>
      <c r="DJ72" s="451"/>
      <c r="DK72" s="452"/>
      <c r="DL72" s="459"/>
      <c r="DM72" s="457">
        <v>0</v>
      </c>
      <c r="DN72" s="458"/>
      <c r="DO72" s="451"/>
      <c r="DP72" s="452"/>
      <c r="DQ72" s="459"/>
      <c r="DR72" s="457">
        <v>0</v>
      </c>
      <c r="DS72" s="458"/>
      <c r="DT72" s="451"/>
      <c r="DU72" s="452"/>
      <c r="DV72" s="459"/>
      <c r="DW72" s="457">
        <v>0</v>
      </c>
      <c r="DX72" s="458"/>
      <c r="DY72" s="451"/>
      <c r="DZ72" s="452"/>
      <c r="EA72" s="459"/>
      <c r="EB72" s="457">
        <v>0</v>
      </c>
      <c r="EC72" s="458"/>
      <c r="ED72" s="451"/>
      <c r="EE72" s="452"/>
      <c r="EF72" s="459"/>
      <c r="EG72" s="457">
        <v>89569</v>
      </c>
      <c r="EH72" s="458"/>
      <c r="EI72" s="451"/>
      <c r="EJ72" s="452"/>
      <c r="EK72" s="459"/>
      <c r="EL72" s="457">
        <f>SUM(CD72:DW72)</f>
        <v>0</v>
      </c>
      <c r="EM72" s="492"/>
      <c r="EO72" s="13"/>
      <c r="EP72" s="14"/>
      <c r="EQ72" s="14"/>
    </row>
    <row r="73" spans="4:147" x14ac:dyDescent="0.2">
      <c r="D73" s="13"/>
      <c r="E73" s="198"/>
      <c r="G73" s="493"/>
      <c r="H73" s="493"/>
      <c r="I73" s="493"/>
      <c r="J73" s="494"/>
      <c r="K73" s="493"/>
      <c r="L73" s="493"/>
      <c r="M73" s="493"/>
      <c r="N73" s="493"/>
      <c r="O73" s="494"/>
      <c r="P73" s="493"/>
      <c r="Q73" s="493"/>
      <c r="R73" s="493"/>
      <c r="S73" s="493"/>
      <c r="T73" s="494"/>
      <c r="U73" s="493"/>
      <c r="V73" s="493"/>
      <c r="W73" s="493"/>
      <c r="X73" s="493"/>
      <c r="Y73" s="494"/>
      <c r="Z73" s="493"/>
      <c r="AA73" s="493"/>
      <c r="AB73" s="493"/>
      <c r="AC73" s="493"/>
      <c r="AD73" s="494"/>
      <c r="AE73" s="493"/>
      <c r="AF73" s="493"/>
      <c r="AG73" s="493"/>
      <c r="AH73" s="493"/>
      <c r="AI73" s="494"/>
      <c r="AJ73" s="493"/>
      <c r="AK73" s="493"/>
      <c r="AL73" s="493"/>
      <c r="AM73" s="493"/>
      <c r="AN73" s="494"/>
      <c r="AO73" s="493"/>
      <c r="AP73" s="493"/>
      <c r="AQ73" s="493"/>
      <c r="AR73" s="493"/>
      <c r="AS73" s="494"/>
      <c r="AT73" s="493"/>
      <c r="AU73" s="493"/>
      <c r="AV73" s="493"/>
      <c r="AW73" s="493"/>
      <c r="AX73" s="494"/>
      <c r="AY73" s="493"/>
      <c r="AZ73" s="493"/>
      <c r="BA73" s="493"/>
      <c r="BB73" s="493"/>
      <c r="BC73" s="494"/>
      <c r="BD73" s="493"/>
      <c r="BE73" s="493"/>
      <c r="BF73" s="493"/>
      <c r="BG73" s="493"/>
      <c r="BH73" s="494"/>
      <c r="BI73" s="493"/>
      <c r="BJ73" s="493"/>
      <c r="BK73" s="493"/>
      <c r="BL73" s="493"/>
      <c r="BM73" s="494"/>
      <c r="BN73" s="493"/>
      <c r="BO73" s="493"/>
      <c r="BP73" s="493"/>
      <c r="BQ73" s="493"/>
      <c r="BR73" s="494"/>
      <c r="BS73" s="493"/>
      <c r="BT73" s="451"/>
      <c r="BU73" s="451"/>
      <c r="BV73" s="451"/>
      <c r="BW73" s="452"/>
      <c r="BX73" s="451"/>
      <c r="BY73" s="451"/>
      <c r="BZ73" s="493"/>
      <c r="CA73" s="493"/>
      <c r="CB73" s="494"/>
      <c r="CC73" s="493"/>
      <c r="CD73" s="493"/>
      <c r="CE73" s="493"/>
      <c r="CF73" s="493"/>
      <c r="CG73" s="494"/>
      <c r="CH73" s="493"/>
      <c r="CI73" s="493"/>
      <c r="CJ73" s="493"/>
      <c r="CK73" s="493"/>
      <c r="CL73" s="494"/>
      <c r="CM73" s="493"/>
      <c r="CN73" s="493"/>
      <c r="CO73" s="493"/>
      <c r="CP73" s="493"/>
      <c r="CQ73" s="494"/>
      <c r="CR73" s="493"/>
      <c r="CS73" s="493"/>
      <c r="CT73" s="493"/>
      <c r="CU73" s="493"/>
      <c r="CV73" s="494"/>
      <c r="CW73" s="493"/>
      <c r="CX73" s="493"/>
      <c r="CY73" s="493"/>
      <c r="CZ73" s="493"/>
      <c r="DA73" s="494"/>
      <c r="DB73" s="493"/>
      <c r="DC73" s="493"/>
      <c r="DD73" s="493"/>
      <c r="DE73" s="493"/>
      <c r="DF73" s="494"/>
      <c r="DG73" s="493"/>
      <c r="DH73" s="493"/>
      <c r="DI73" s="493"/>
      <c r="DJ73" s="493"/>
      <c r="DK73" s="494"/>
      <c r="DL73" s="493"/>
      <c r="DM73" s="493"/>
      <c r="DN73" s="493"/>
      <c r="DO73" s="493"/>
      <c r="DP73" s="494"/>
      <c r="DQ73" s="493"/>
      <c r="DR73" s="493"/>
      <c r="DS73" s="493"/>
      <c r="DT73" s="493"/>
      <c r="DU73" s="494"/>
      <c r="DV73" s="493"/>
      <c r="DW73" s="493"/>
      <c r="DX73" s="493"/>
      <c r="DY73" s="493"/>
      <c r="DZ73" s="494"/>
      <c r="EA73" s="493"/>
      <c r="EB73" s="493"/>
      <c r="EC73" s="493"/>
      <c r="ED73" s="493"/>
      <c r="EE73" s="494"/>
      <c r="EF73" s="493"/>
      <c r="EG73" s="493"/>
      <c r="EH73" s="493"/>
      <c r="EI73" s="493"/>
      <c r="EJ73" s="494"/>
      <c r="EK73" s="493"/>
      <c r="EL73" s="451"/>
      <c r="EO73" s="13"/>
      <c r="EP73" s="14"/>
      <c r="EQ73" s="14"/>
    </row>
    <row r="74" spans="4:147" x14ac:dyDescent="0.2">
      <c r="D74" s="13" t="str">
        <f>[31]domlongtermissues!D294</f>
        <v xml:space="preserve">  R2044 (8.75%  2044-45-46/01/31)</v>
      </c>
      <c r="E74" s="198"/>
      <c r="G74" s="451">
        <f>SUM(G75:G75)</f>
        <v>0</v>
      </c>
      <c r="H74" s="451"/>
      <c r="I74" s="451"/>
      <c r="J74" s="452"/>
      <c r="K74" s="451"/>
      <c r="L74" s="451">
        <f>SUM(L75:L75)</f>
        <v>0</v>
      </c>
      <c r="M74" s="451"/>
      <c r="N74" s="451"/>
      <c r="O74" s="452"/>
      <c r="P74" s="451"/>
      <c r="Q74" s="451">
        <f>SUM(Q75:Q75)</f>
        <v>0</v>
      </c>
      <c r="R74" s="451"/>
      <c r="S74" s="451"/>
      <c r="T74" s="452"/>
      <c r="U74" s="451"/>
      <c r="V74" s="451">
        <f>SUM(V75:V75)</f>
        <v>0</v>
      </c>
      <c r="W74" s="451"/>
      <c r="X74" s="451"/>
      <c r="Y74" s="452"/>
      <c r="Z74" s="451"/>
      <c r="AA74" s="451">
        <f>SUM(AA75:AA75)</f>
        <v>0</v>
      </c>
      <c r="AB74" s="451"/>
      <c r="AC74" s="451"/>
      <c r="AD74" s="452"/>
      <c r="AE74" s="451"/>
      <c r="AF74" s="451">
        <f>SUM(AF75:AF75)</f>
        <v>0</v>
      </c>
      <c r="AG74" s="451"/>
      <c r="AH74" s="451"/>
      <c r="AI74" s="452"/>
      <c r="AJ74" s="451"/>
      <c r="AK74" s="451">
        <f>SUM(AK75:AK75)</f>
        <v>0</v>
      </c>
      <c r="AL74" s="451"/>
      <c r="AM74" s="451"/>
      <c r="AN74" s="452"/>
      <c r="AO74" s="451"/>
      <c r="AP74" s="451">
        <f>SUM(AP75:AP75)</f>
        <v>0</v>
      </c>
      <c r="AQ74" s="451"/>
      <c r="AR74" s="451"/>
      <c r="AS74" s="452"/>
      <c r="AT74" s="451"/>
      <c r="AU74" s="451">
        <f>SUM(AU75:AU75)</f>
        <v>0</v>
      </c>
      <c r="AV74" s="451"/>
      <c r="AW74" s="451"/>
      <c r="AX74" s="452"/>
      <c r="AY74" s="451"/>
      <c r="AZ74" s="451">
        <f>SUM(AZ75:AZ75)</f>
        <v>77049</v>
      </c>
      <c r="BA74" s="451"/>
      <c r="BB74" s="451"/>
      <c r="BC74" s="452"/>
      <c r="BD74" s="451"/>
      <c r="BE74" s="451">
        <f>SUM(BE75:BE75)</f>
        <v>0</v>
      </c>
      <c r="BF74" s="451"/>
      <c r="BG74" s="451"/>
      <c r="BH74" s="452"/>
      <c r="BI74" s="451"/>
      <c r="BJ74" s="451">
        <f>SUM(BJ75:BJ75)</f>
        <v>0</v>
      </c>
      <c r="BK74" s="451"/>
      <c r="BL74" s="451"/>
      <c r="BM74" s="452"/>
      <c r="BN74" s="451"/>
      <c r="BO74" s="451">
        <f>SUM(BO75:BO75)</f>
        <v>0</v>
      </c>
      <c r="BP74" s="451"/>
      <c r="BQ74" s="451"/>
      <c r="BR74" s="452"/>
      <c r="BS74" s="451"/>
      <c r="BT74" s="451">
        <f>SUM(BT75:BT75)</f>
        <v>77049</v>
      </c>
      <c r="BU74" s="451"/>
      <c r="BV74" s="451"/>
      <c r="BW74" s="452"/>
      <c r="BX74" s="451"/>
      <c r="BY74" s="451">
        <f>SUM(BY75:BY75)</f>
        <v>0</v>
      </c>
      <c r="BZ74" s="451"/>
      <c r="CA74" s="451"/>
      <c r="CB74" s="452"/>
      <c r="CC74" s="451"/>
      <c r="CD74" s="451">
        <f>SUM(CD75:CD75)</f>
        <v>0</v>
      </c>
      <c r="CE74" s="451"/>
      <c r="CF74" s="451"/>
      <c r="CG74" s="452"/>
      <c r="CH74" s="451"/>
      <c r="CI74" s="451">
        <f>SUM(CI75:CI75)</f>
        <v>0</v>
      </c>
      <c r="CJ74" s="451"/>
      <c r="CK74" s="451"/>
      <c r="CL74" s="452"/>
      <c r="CM74" s="451"/>
      <c r="CN74" s="451">
        <f>SUM(CN75:CN75)</f>
        <v>0</v>
      </c>
      <c r="CO74" s="451"/>
      <c r="CP74" s="451"/>
      <c r="CQ74" s="452"/>
      <c r="CR74" s="451"/>
      <c r="CS74" s="451">
        <f>SUM(CS75:CS75)</f>
        <v>0</v>
      </c>
      <c r="CT74" s="451"/>
      <c r="CU74" s="451"/>
      <c r="CV74" s="452"/>
      <c r="CW74" s="451"/>
      <c r="CX74" s="451">
        <f>SUM(CX75:CX75)</f>
        <v>0</v>
      </c>
      <c r="CY74" s="451"/>
      <c r="CZ74" s="451"/>
      <c r="DA74" s="452"/>
      <c r="DB74" s="451"/>
      <c r="DC74" s="451">
        <f>SUM(DC75:DC75)</f>
        <v>0</v>
      </c>
      <c r="DD74" s="451"/>
      <c r="DE74" s="451"/>
      <c r="DF74" s="452"/>
      <c r="DG74" s="451"/>
      <c r="DH74" s="451">
        <f>SUM(DH75:DH75)</f>
        <v>0</v>
      </c>
      <c r="DI74" s="451"/>
      <c r="DJ74" s="451"/>
      <c r="DK74" s="452"/>
      <c r="DL74" s="451"/>
      <c r="DM74" s="451">
        <f>SUM(DM75:DM75)</f>
        <v>0</v>
      </c>
      <c r="DN74" s="451"/>
      <c r="DO74" s="451"/>
      <c r="DP74" s="452"/>
      <c r="DQ74" s="451"/>
      <c r="DR74" s="451">
        <f>SUM(DR75:DR75)</f>
        <v>0</v>
      </c>
      <c r="DS74" s="451"/>
      <c r="DT74" s="451"/>
      <c r="DU74" s="452"/>
      <c r="DV74" s="451"/>
      <c r="DW74" s="451">
        <f>SUM(DW75:DW75)</f>
        <v>0</v>
      </c>
      <c r="DX74" s="451"/>
      <c r="DY74" s="451"/>
      <c r="DZ74" s="452"/>
      <c r="EA74" s="451"/>
      <c r="EB74" s="451">
        <f>SUM(EB75:EB75)</f>
        <v>0</v>
      </c>
      <c r="EC74" s="451"/>
      <c r="ED74" s="451"/>
      <c r="EE74" s="452"/>
      <c r="EF74" s="451"/>
      <c r="EG74" s="451">
        <f>SUM(EG75:EG75)</f>
        <v>0</v>
      </c>
      <c r="EH74" s="451"/>
      <c r="EI74" s="451"/>
      <c r="EJ74" s="452"/>
      <c r="EK74" s="451"/>
      <c r="EL74" s="451">
        <f>SUM(EL75:EL75)</f>
        <v>0</v>
      </c>
      <c r="EO74" s="13"/>
      <c r="EP74" s="14"/>
      <c r="EQ74" s="14"/>
    </row>
    <row r="75" spans="4:147" x14ac:dyDescent="0.2">
      <c r="D75" s="13" t="s">
        <v>347</v>
      </c>
      <c r="E75" s="198"/>
      <c r="F75" s="456"/>
      <c r="G75" s="457">
        <v>0</v>
      </c>
      <c r="H75" s="458"/>
      <c r="I75" s="451"/>
      <c r="J75" s="452"/>
      <c r="K75" s="459"/>
      <c r="L75" s="457">
        <v>0</v>
      </c>
      <c r="M75" s="458"/>
      <c r="N75" s="451"/>
      <c r="O75" s="452"/>
      <c r="P75" s="459"/>
      <c r="Q75" s="457">
        <v>0</v>
      </c>
      <c r="R75" s="458"/>
      <c r="S75" s="451"/>
      <c r="T75" s="452"/>
      <c r="U75" s="459"/>
      <c r="V75" s="457">
        <v>0</v>
      </c>
      <c r="W75" s="458"/>
      <c r="X75" s="451"/>
      <c r="Y75" s="452"/>
      <c r="Z75" s="459"/>
      <c r="AA75" s="457">
        <v>0</v>
      </c>
      <c r="AB75" s="458"/>
      <c r="AC75" s="451"/>
      <c r="AD75" s="452"/>
      <c r="AE75" s="459"/>
      <c r="AF75" s="457">
        <v>0</v>
      </c>
      <c r="AG75" s="458"/>
      <c r="AH75" s="451"/>
      <c r="AI75" s="452"/>
      <c r="AJ75" s="459"/>
      <c r="AK75" s="457">
        <v>0</v>
      </c>
      <c r="AL75" s="458"/>
      <c r="AM75" s="451"/>
      <c r="AN75" s="452"/>
      <c r="AO75" s="459"/>
      <c r="AP75" s="457">
        <v>0</v>
      </c>
      <c r="AQ75" s="458"/>
      <c r="AR75" s="451"/>
      <c r="AS75" s="452"/>
      <c r="AT75" s="459"/>
      <c r="AU75" s="457">
        <v>0</v>
      </c>
      <c r="AV75" s="458"/>
      <c r="AW75" s="451"/>
      <c r="AX75" s="452"/>
      <c r="AY75" s="459"/>
      <c r="AZ75" s="457">
        <v>77049</v>
      </c>
      <c r="BA75" s="458"/>
      <c r="BB75" s="451"/>
      <c r="BC75" s="452"/>
      <c r="BD75" s="459"/>
      <c r="BE75" s="457">
        <v>0</v>
      </c>
      <c r="BF75" s="458"/>
      <c r="BG75" s="451"/>
      <c r="BH75" s="452"/>
      <c r="BI75" s="459"/>
      <c r="BJ75" s="457">
        <v>0</v>
      </c>
      <c r="BK75" s="458"/>
      <c r="BL75" s="451"/>
      <c r="BM75" s="452"/>
      <c r="BN75" s="459"/>
      <c r="BO75" s="457">
        <v>0</v>
      </c>
      <c r="BP75" s="458"/>
      <c r="BQ75" s="451"/>
      <c r="BR75" s="452"/>
      <c r="BS75" s="459"/>
      <c r="BT75" s="457">
        <f>SUM(L75:BO75)</f>
        <v>77049</v>
      </c>
      <c r="BU75" s="458"/>
      <c r="BV75" s="451"/>
      <c r="BW75" s="452"/>
      <c r="BX75" s="459"/>
      <c r="BY75" s="457">
        <v>0</v>
      </c>
      <c r="BZ75" s="458"/>
      <c r="CA75" s="451"/>
      <c r="CB75" s="452"/>
      <c r="CC75" s="459"/>
      <c r="CD75" s="457">
        <v>0</v>
      </c>
      <c r="CE75" s="458"/>
      <c r="CF75" s="451"/>
      <c r="CG75" s="452"/>
      <c r="CH75" s="459"/>
      <c r="CI75" s="457">
        <v>0</v>
      </c>
      <c r="CJ75" s="458"/>
      <c r="CK75" s="451"/>
      <c r="CL75" s="452"/>
      <c r="CM75" s="459"/>
      <c r="CN75" s="457">
        <v>0</v>
      </c>
      <c r="CO75" s="458"/>
      <c r="CP75" s="451"/>
      <c r="CQ75" s="452"/>
      <c r="CR75" s="459"/>
      <c r="CS75" s="457">
        <v>0</v>
      </c>
      <c r="CT75" s="458"/>
      <c r="CU75" s="451"/>
      <c r="CV75" s="452"/>
      <c r="CW75" s="459"/>
      <c r="CX75" s="457">
        <v>0</v>
      </c>
      <c r="CY75" s="458"/>
      <c r="CZ75" s="451"/>
      <c r="DA75" s="452"/>
      <c r="DB75" s="459"/>
      <c r="DC75" s="457">
        <v>0</v>
      </c>
      <c r="DD75" s="458"/>
      <c r="DE75" s="451"/>
      <c r="DF75" s="452"/>
      <c r="DG75" s="459"/>
      <c r="DH75" s="457">
        <v>0</v>
      </c>
      <c r="DI75" s="458"/>
      <c r="DJ75" s="451"/>
      <c r="DK75" s="452"/>
      <c r="DL75" s="459"/>
      <c r="DM75" s="457">
        <v>0</v>
      </c>
      <c r="DN75" s="458"/>
      <c r="DO75" s="451"/>
      <c r="DP75" s="452"/>
      <c r="DQ75" s="459"/>
      <c r="DR75" s="457">
        <v>0</v>
      </c>
      <c r="DS75" s="458"/>
      <c r="DT75" s="451"/>
      <c r="DU75" s="452"/>
      <c r="DV75" s="459"/>
      <c r="DW75" s="457">
        <v>0</v>
      </c>
      <c r="DX75" s="458"/>
      <c r="DY75" s="451"/>
      <c r="DZ75" s="452"/>
      <c r="EA75" s="459"/>
      <c r="EB75" s="457">
        <v>0</v>
      </c>
      <c r="EC75" s="458"/>
      <c r="ED75" s="451"/>
      <c r="EE75" s="452"/>
      <c r="EF75" s="459"/>
      <c r="EG75" s="457">
        <v>0</v>
      </c>
      <c r="EH75" s="458"/>
      <c r="EI75" s="451"/>
      <c r="EJ75" s="452"/>
      <c r="EK75" s="459"/>
      <c r="EL75" s="457">
        <f>SUM(CD75:DW75)</f>
        <v>0</v>
      </c>
      <c r="EM75" s="492"/>
      <c r="EO75" s="13"/>
      <c r="EP75" s="14"/>
      <c r="EQ75" s="14"/>
    </row>
    <row r="76" spans="4:147" x14ac:dyDescent="0.2">
      <c r="D76" s="13"/>
      <c r="E76" s="198"/>
      <c r="G76" s="493"/>
      <c r="H76" s="493"/>
      <c r="I76" s="493"/>
      <c r="J76" s="494"/>
      <c r="K76" s="493"/>
      <c r="L76" s="493"/>
      <c r="M76" s="493"/>
      <c r="N76" s="493"/>
      <c r="O76" s="494"/>
      <c r="P76" s="493"/>
      <c r="Q76" s="493"/>
      <c r="R76" s="493"/>
      <c r="S76" s="493"/>
      <c r="T76" s="494"/>
      <c r="U76" s="493"/>
      <c r="V76" s="493"/>
      <c r="W76" s="493"/>
      <c r="X76" s="493"/>
      <c r="Y76" s="494"/>
      <c r="Z76" s="493"/>
      <c r="AA76" s="493"/>
      <c r="AB76" s="493"/>
      <c r="AC76" s="493"/>
      <c r="AD76" s="494"/>
      <c r="AE76" s="493"/>
      <c r="AF76" s="493"/>
      <c r="AG76" s="493"/>
      <c r="AH76" s="493"/>
      <c r="AI76" s="494"/>
      <c r="AJ76" s="493"/>
      <c r="AK76" s="493"/>
      <c r="AL76" s="493"/>
      <c r="AM76" s="493"/>
      <c r="AN76" s="494"/>
      <c r="AO76" s="493"/>
      <c r="AP76" s="493"/>
      <c r="AQ76" s="493"/>
      <c r="AR76" s="493"/>
      <c r="AS76" s="494"/>
      <c r="AT76" s="493"/>
      <c r="AU76" s="493"/>
      <c r="AV76" s="493"/>
      <c r="AW76" s="493"/>
      <c r="AX76" s="494"/>
      <c r="AY76" s="493"/>
      <c r="AZ76" s="493"/>
      <c r="BA76" s="493"/>
      <c r="BB76" s="493"/>
      <c r="BC76" s="494"/>
      <c r="BD76" s="493"/>
      <c r="BE76" s="493"/>
      <c r="BF76" s="493"/>
      <c r="BG76" s="493"/>
      <c r="BH76" s="494"/>
      <c r="BI76" s="493"/>
      <c r="BJ76" s="493"/>
      <c r="BK76" s="493"/>
      <c r="BL76" s="493"/>
      <c r="BM76" s="494"/>
      <c r="BN76" s="493"/>
      <c r="BO76" s="493"/>
      <c r="BP76" s="493"/>
      <c r="BQ76" s="493"/>
      <c r="BR76" s="494"/>
      <c r="BS76" s="493"/>
      <c r="BT76" s="451"/>
      <c r="BU76" s="451"/>
      <c r="BV76" s="451"/>
      <c r="BW76" s="452"/>
      <c r="BX76" s="451"/>
      <c r="BY76" s="451"/>
      <c r="BZ76" s="493"/>
      <c r="CA76" s="493"/>
      <c r="CB76" s="494"/>
      <c r="CC76" s="493"/>
      <c r="CD76" s="493"/>
      <c r="CE76" s="493"/>
      <c r="CF76" s="493"/>
      <c r="CG76" s="494"/>
      <c r="CH76" s="493"/>
      <c r="CI76" s="493"/>
      <c r="CJ76" s="493"/>
      <c r="CK76" s="493"/>
      <c r="CL76" s="494"/>
      <c r="CM76" s="493"/>
      <c r="CN76" s="493"/>
      <c r="CO76" s="493"/>
      <c r="CP76" s="493"/>
      <c r="CQ76" s="494"/>
      <c r="CR76" s="493"/>
      <c r="CS76" s="493"/>
      <c r="CT76" s="493"/>
      <c r="CU76" s="493"/>
      <c r="CV76" s="494"/>
      <c r="CW76" s="493"/>
      <c r="CX76" s="493"/>
      <c r="CY76" s="493"/>
      <c r="CZ76" s="493"/>
      <c r="DA76" s="494"/>
      <c r="DB76" s="493"/>
      <c r="DC76" s="493"/>
      <c r="DD76" s="493"/>
      <c r="DE76" s="493"/>
      <c r="DF76" s="494"/>
      <c r="DG76" s="493"/>
      <c r="DH76" s="493"/>
      <c r="DI76" s="493"/>
      <c r="DJ76" s="493"/>
      <c r="DK76" s="494"/>
      <c r="DL76" s="493"/>
      <c r="DM76" s="493"/>
      <c r="DN76" s="493"/>
      <c r="DO76" s="493"/>
      <c r="DP76" s="494"/>
      <c r="DQ76" s="493"/>
      <c r="DR76" s="493"/>
      <c r="DS76" s="493"/>
      <c r="DT76" s="493"/>
      <c r="DU76" s="494"/>
      <c r="DV76" s="493"/>
      <c r="DW76" s="493"/>
      <c r="DX76" s="493"/>
      <c r="DY76" s="493"/>
      <c r="DZ76" s="494"/>
      <c r="EA76" s="493"/>
      <c r="EB76" s="493"/>
      <c r="EC76" s="493"/>
      <c r="ED76" s="493"/>
      <c r="EE76" s="494"/>
      <c r="EF76" s="493"/>
      <c r="EG76" s="493"/>
      <c r="EH76" s="493"/>
      <c r="EI76" s="493"/>
      <c r="EJ76" s="494"/>
      <c r="EK76" s="493"/>
      <c r="EL76" s="451"/>
      <c r="EO76" s="13"/>
      <c r="EP76" s="14"/>
      <c r="EQ76" s="14"/>
    </row>
    <row r="77" spans="4:147" x14ac:dyDescent="0.2">
      <c r="D77" s="13" t="s">
        <v>358</v>
      </c>
      <c r="E77" s="198"/>
      <c r="G77" s="451">
        <f>SUM(G78:G78)</f>
        <v>0</v>
      </c>
      <c r="H77" s="451"/>
      <c r="I77" s="451"/>
      <c r="J77" s="452"/>
      <c r="K77" s="451"/>
      <c r="L77" s="451">
        <f>SUM(L78:L78)</f>
        <v>0</v>
      </c>
      <c r="M77" s="451"/>
      <c r="N77" s="451"/>
      <c r="O77" s="452"/>
      <c r="P77" s="451"/>
      <c r="Q77" s="451">
        <f>SUM(Q78:Q78)</f>
        <v>29682</v>
      </c>
      <c r="R77" s="451"/>
      <c r="S77" s="451"/>
      <c r="T77" s="452"/>
      <c r="U77" s="451"/>
      <c r="V77" s="451">
        <f>SUM(V78:V78)</f>
        <v>28489</v>
      </c>
      <c r="W77" s="451"/>
      <c r="X77" s="451"/>
      <c r="Y77" s="452"/>
      <c r="Z77" s="451"/>
      <c r="AA77" s="451">
        <f>SUM(AA78:AA78)</f>
        <v>0</v>
      </c>
      <c r="AB77" s="451"/>
      <c r="AC77" s="451"/>
      <c r="AD77" s="452"/>
      <c r="AE77" s="451"/>
      <c r="AF77" s="451">
        <f>SUM(AF78:AF78)</f>
        <v>0</v>
      </c>
      <c r="AG77" s="451"/>
      <c r="AH77" s="451"/>
      <c r="AI77" s="452"/>
      <c r="AJ77" s="451"/>
      <c r="AK77" s="451">
        <f>SUM(AK78:AK78)</f>
        <v>0</v>
      </c>
      <c r="AL77" s="451"/>
      <c r="AM77" s="451"/>
      <c r="AN77" s="452"/>
      <c r="AO77" s="451"/>
      <c r="AP77" s="451">
        <f>SUM(AP78:AP78)</f>
        <v>0</v>
      </c>
      <c r="AQ77" s="451"/>
      <c r="AR77" s="451"/>
      <c r="AS77" s="452"/>
      <c r="AT77" s="451"/>
      <c r="AU77" s="451">
        <f>SUM(AU78:AU78)</f>
        <v>0</v>
      </c>
      <c r="AV77" s="451"/>
      <c r="AW77" s="451"/>
      <c r="AX77" s="452"/>
      <c r="AY77" s="451"/>
      <c r="AZ77" s="451">
        <f>SUM(AZ78:AZ78)</f>
        <v>59192</v>
      </c>
      <c r="BA77" s="451"/>
      <c r="BB77" s="451"/>
      <c r="BC77" s="452"/>
      <c r="BD77" s="451"/>
      <c r="BE77" s="451">
        <f>SUM(BE78:BE78)</f>
        <v>0</v>
      </c>
      <c r="BF77" s="451"/>
      <c r="BG77" s="451"/>
      <c r="BH77" s="452"/>
      <c r="BI77" s="451"/>
      <c r="BJ77" s="451">
        <f>SUM(BJ78:BJ78)</f>
        <v>0</v>
      </c>
      <c r="BK77" s="451"/>
      <c r="BL77" s="451"/>
      <c r="BM77" s="452"/>
      <c r="BN77" s="451"/>
      <c r="BO77" s="451">
        <f>SUM(BO78:BO78)</f>
        <v>0</v>
      </c>
      <c r="BP77" s="451"/>
      <c r="BQ77" s="451"/>
      <c r="BR77" s="452"/>
      <c r="BS77" s="451"/>
      <c r="BT77" s="451">
        <f>SUM(BT78:BT78)</f>
        <v>117363</v>
      </c>
      <c r="BU77" s="451"/>
      <c r="BV77" s="451"/>
      <c r="BW77" s="452"/>
      <c r="BX77" s="451"/>
      <c r="BY77" s="451">
        <f>SUM(BY78:BY78)</f>
        <v>3225244</v>
      </c>
      <c r="BZ77" s="451"/>
      <c r="CA77" s="451"/>
      <c r="CB77" s="452"/>
      <c r="CC77" s="451"/>
      <c r="CD77" s="451">
        <f>SUM(CD78:CD78)</f>
        <v>3109689</v>
      </c>
      <c r="CE77" s="451"/>
      <c r="CF77" s="451"/>
      <c r="CG77" s="452"/>
      <c r="CH77" s="451"/>
      <c r="CI77" s="451">
        <f>SUM(CI78:CI78)</f>
        <v>0</v>
      </c>
      <c r="CJ77" s="451"/>
      <c r="CK77" s="451"/>
      <c r="CL77" s="452"/>
      <c r="CM77" s="451"/>
      <c r="CN77" s="451">
        <f>SUM(CN78:CN78)</f>
        <v>0</v>
      </c>
      <c r="CO77" s="451"/>
      <c r="CP77" s="451"/>
      <c r="CQ77" s="452"/>
      <c r="CR77" s="451"/>
      <c r="CS77" s="451">
        <f>SUM(CS78:CS78)</f>
        <v>0</v>
      </c>
      <c r="CT77" s="451"/>
      <c r="CU77" s="451"/>
      <c r="CV77" s="452"/>
      <c r="CW77" s="451"/>
      <c r="CX77" s="451">
        <f>SUM(CX78:CX78)</f>
        <v>0</v>
      </c>
      <c r="CY77" s="451"/>
      <c r="CZ77" s="451"/>
      <c r="DA77" s="452"/>
      <c r="DB77" s="451"/>
      <c r="DC77" s="451">
        <f>SUM(DC78:DC78)</f>
        <v>115555</v>
      </c>
      <c r="DD77" s="451"/>
      <c r="DE77" s="451"/>
      <c r="DF77" s="452"/>
      <c r="DG77" s="451"/>
      <c r="DH77" s="451">
        <f>SUM(DH78:DH78)</f>
        <v>0</v>
      </c>
      <c r="DI77" s="451"/>
      <c r="DJ77" s="451"/>
      <c r="DK77" s="452"/>
      <c r="DL77" s="451"/>
      <c r="DM77" s="451">
        <f>SUM(DM78:DM78)</f>
        <v>0</v>
      </c>
      <c r="DN77" s="451"/>
      <c r="DO77" s="451"/>
      <c r="DP77" s="452"/>
      <c r="DQ77" s="451"/>
      <c r="DR77" s="451">
        <f>SUM(DR78:DR78)</f>
        <v>0</v>
      </c>
      <c r="DS77" s="451"/>
      <c r="DT77" s="451"/>
      <c r="DU77" s="452"/>
      <c r="DV77" s="451"/>
      <c r="DW77" s="451">
        <f>SUM(DW78:DW78)</f>
        <v>0</v>
      </c>
      <c r="DX77" s="451"/>
      <c r="DY77" s="451"/>
      <c r="DZ77" s="452"/>
      <c r="EA77" s="451"/>
      <c r="EB77" s="451">
        <f>SUM(EB78:EB78)</f>
        <v>0</v>
      </c>
      <c r="EC77" s="451"/>
      <c r="ED77" s="451"/>
      <c r="EE77" s="452"/>
      <c r="EF77" s="451"/>
      <c r="EG77" s="451">
        <f>SUM(EG78:EG78)</f>
        <v>0</v>
      </c>
      <c r="EH77" s="451"/>
      <c r="EI77" s="451"/>
      <c r="EJ77" s="452"/>
      <c r="EK77" s="451"/>
      <c r="EL77" s="451">
        <f>SUM(EL78:EL78)</f>
        <v>3225244</v>
      </c>
      <c r="EO77" s="13"/>
      <c r="EP77" s="14"/>
      <c r="EQ77" s="14"/>
    </row>
    <row r="78" spans="4:147" x14ac:dyDescent="0.2">
      <c r="D78" s="13" t="s">
        <v>347</v>
      </c>
      <c r="E78" s="198"/>
      <c r="F78" s="456"/>
      <c r="G78" s="457">
        <v>0</v>
      </c>
      <c r="H78" s="458"/>
      <c r="I78" s="451"/>
      <c r="J78" s="452"/>
      <c r="K78" s="459"/>
      <c r="L78" s="457">
        <v>0</v>
      </c>
      <c r="M78" s="458"/>
      <c r="N78" s="451"/>
      <c r="O78" s="452"/>
      <c r="P78" s="459"/>
      <c r="Q78" s="457">
        <v>29682</v>
      </c>
      <c r="R78" s="458"/>
      <c r="S78" s="451"/>
      <c r="T78" s="452"/>
      <c r="U78" s="459"/>
      <c r="V78" s="457">
        <v>28489</v>
      </c>
      <c r="W78" s="458"/>
      <c r="X78" s="451"/>
      <c r="Y78" s="452"/>
      <c r="Z78" s="459"/>
      <c r="AA78" s="457">
        <v>0</v>
      </c>
      <c r="AB78" s="458"/>
      <c r="AC78" s="451"/>
      <c r="AD78" s="452"/>
      <c r="AE78" s="459"/>
      <c r="AF78" s="457">
        <v>0</v>
      </c>
      <c r="AG78" s="458"/>
      <c r="AH78" s="451"/>
      <c r="AI78" s="452"/>
      <c r="AJ78" s="459"/>
      <c r="AK78" s="457">
        <v>0</v>
      </c>
      <c r="AL78" s="458"/>
      <c r="AM78" s="451"/>
      <c r="AN78" s="452"/>
      <c r="AO78" s="459"/>
      <c r="AP78" s="457">
        <v>0</v>
      </c>
      <c r="AQ78" s="458"/>
      <c r="AR78" s="451"/>
      <c r="AS78" s="452"/>
      <c r="AT78" s="459"/>
      <c r="AU78" s="457">
        <v>0</v>
      </c>
      <c r="AV78" s="458"/>
      <c r="AW78" s="451"/>
      <c r="AX78" s="452"/>
      <c r="AY78" s="459"/>
      <c r="AZ78" s="457">
        <v>59192</v>
      </c>
      <c r="BA78" s="458"/>
      <c r="BB78" s="451"/>
      <c r="BC78" s="452"/>
      <c r="BD78" s="459"/>
      <c r="BE78" s="457">
        <v>0</v>
      </c>
      <c r="BF78" s="458"/>
      <c r="BG78" s="451"/>
      <c r="BH78" s="452"/>
      <c r="BI78" s="459"/>
      <c r="BJ78" s="457">
        <v>0</v>
      </c>
      <c r="BK78" s="458"/>
      <c r="BL78" s="451"/>
      <c r="BM78" s="452"/>
      <c r="BN78" s="459"/>
      <c r="BO78" s="457">
        <v>0</v>
      </c>
      <c r="BP78" s="458"/>
      <c r="BQ78" s="451"/>
      <c r="BR78" s="452"/>
      <c r="BS78" s="459"/>
      <c r="BT78" s="457">
        <f>SUM(L78:BO78)</f>
        <v>117363</v>
      </c>
      <c r="BU78" s="458"/>
      <c r="BV78" s="451"/>
      <c r="BW78" s="452"/>
      <c r="BX78" s="459"/>
      <c r="BY78" s="457">
        <v>3225244</v>
      </c>
      <c r="BZ78" s="458"/>
      <c r="CA78" s="451"/>
      <c r="CB78" s="452"/>
      <c r="CC78" s="459"/>
      <c r="CD78" s="457">
        <v>3109689</v>
      </c>
      <c r="CE78" s="458"/>
      <c r="CF78" s="451"/>
      <c r="CG78" s="452"/>
      <c r="CH78" s="459"/>
      <c r="CI78" s="457">
        <v>0</v>
      </c>
      <c r="CJ78" s="458"/>
      <c r="CK78" s="451"/>
      <c r="CL78" s="452"/>
      <c r="CM78" s="459"/>
      <c r="CN78" s="457">
        <v>0</v>
      </c>
      <c r="CO78" s="458"/>
      <c r="CP78" s="451"/>
      <c r="CQ78" s="452"/>
      <c r="CR78" s="459"/>
      <c r="CS78" s="457">
        <v>0</v>
      </c>
      <c r="CT78" s="458"/>
      <c r="CU78" s="451"/>
      <c r="CV78" s="452"/>
      <c r="CW78" s="459"/>
      <c r="CX78" s="457">
        <v>0</v>
      </c>
      <c r="CY78" s="458"/>
      <c r="CZ78" s="451"/>
      <c r="DA78" s="452"/>
      <c r="DB78" s="459"/>
      <c r="DC78" s="457">
        <v>115555</v>
      </c>
      <c r="DD78" s="458"/>
      <c r="DE78" s="451"/>
      <c r="DF78" s="452"/>
      <c r="DG78" s="459"/>
      <c r="DH78" s="457">
        <v>0</v>
      </c>
      <c r="DI78" s="458"/>
      <c r="DJ78" s="451"/>
      <c r="DK78" s="452"/>
      <c r="DL78" s="459"/>
      <c r="DM78" s="457">
        <v>0</v>
      </c>
      <c r="DN78" s="458"/>
      <c r="DO78" s="451"/>
      <c r="DP78" s="452"/>
      <c r="DQ78" s="459"/>
      <c r="DR78" s="457">
        <v>0</v>
      </c>
      <c r="DS78" s="458"/>
      <c r="DT78" s="451"/>
      <c r="DU78" s="452"/>
      <c r="DV78" s="459"/>
      <c r="DW78" s="457">
        <v>0</v>
      </c>
      <c r="DX78" s="458"/>
      <c r="DY78" s="451"/>
      <c r="DZ78" s="452"/>
      <c r="EA78" s="459"/>
      <c r="EB78" s="457">
        <v>0</v>
      </c>
      <c r="EC78" s="458"/>
      <c r="ED78" s="451"/>
      <c r="EE78" s="452"/>
      <c r="EF78" s="459"/>
      <c r="EG78" s="457">
        <v>0</v>
      </c>
      <c r="EH78" s="458"/>
      <c r="EI78" s="451"/>
      <c r="EJ78" s="452"/>
      <c r="EK78" s="459"/>
      <c r="EL78" s="457">
        <f>SUM(CD78:DW78)</f>
        <v>3225244</v>
      </c>
      <c r="EM78" s="492"/>
      <c r="EO78" s="13"/>
      <c r="EP78" s="14"/>
      <c r="EQ78" s="14"/>
    </row>
    <row r="79" spans="4:147" ht="12.75" customHeight="1" x14ac:dyDescent="0.2">
      <c r="D79" s="13"/>
      <c r="E79" s="198"/>
      <c r="G79" s="451"/>
      <c r="H79" s="451"/>
      <c r="I79" s="451"/>
      <c r="J79" s="452"/>
      <c r="K79" s="451"/>
      <c r="L79" s="451"/>
      <c r="M79" s="451"/>
      <c r="N79" s="451"/>
      <c r="O79" s="452"/>
      <c r="P79" s="451"/>
      <c r="Q79" s="451"/>
      <c r="R79" s="451"/>
      <c r="S79" s="451"/>
      <c r="T79" s="452"/>
      <c r="U79" s="451"/>
      <c r="V79" s="451"/>
      <c r="W79" s="451"/>
      <c r="X79" s="451"/>
      <c r="Y79" s="452"/>
      <c r="Z79" s="451"/>
      <c r="AA79" s="451"/>
      <c r="AB79" s="451"/>
      <c r="AC79" s="451"/>
      <c r="AD79" s="452"/>
      <c r="AE79" s="451"/>
      <c r="AF79" s="451"/>
      <c r="AG79" s="451"/>
      <c r="AH79" s="451"/>
      <c r="AI79" s="452"/>
      <c r="AJ79" s="451"/>
      <c r="AK79" s="451"/>
      <c r="AL79" s="451"/>
      <c r="AM79" s="451"/>
      <c r="AN79" s="452"/>
      <c r="AO79" s="451"/>
      <c r="AP79" s="451"/>
      <c r="AQ79" s="451"/>
      <c r="AR79" s="451"/>
      <c r="AS79" s="452"/>
      <c r="AT79" s="451"/>
      <c r="AU79" s="451"/>
      <c r="AV79" s="451"/>
      <c r="AW79" s="451"/>
      <c r="AX79" s="452"/>
      <c r="AY79" s="451"/>
      <c r="AZ79" s="451"/>
      <c r="BA79" s="451"/>
      <c r="BB79" s="451"/>
      <c r="BC79" s="452"/>
      <c r="BD79" s="451"/>
      <c r="BE79" s="451"/>
      <c r="BF79" s="451"/>
      <c r="BG79" s="451"/>
      <c r="BH79" s="452"/>
      <c r="BI79" s="451"/>
      <c r="BJ79" s="451"/>
      <c r="BK79" s="451"/>
      <c r="BL79" s="451"/>
      <c r="BM79" s="452"/>
      <c r="BN79" s="451"/>
      <c r="BO79" s="451"/>
      <c r="BP79" s="451"/>
      <c r="BQ79" s="451"/>
      <c r="BR79" s="452"/>
      <c r="BS79" s="451"/>
      <c r="BT79" s="451"/>
      <c r="BU79" s="451"/>
      <c r="BV79" s="451"/>
      <c r="BW79" s="452"/>
      <c r="BX79" s="451"/>
      <c r="BY79" s="451"/>
      <c r="BZ79" s="451"/>
      <c r="CA79" s="451"/>
      <c r="CB79" s="452"/>
      <c r="CC79" s="451"/>
      <c r="CD79" s="451"/>
      <c r="CE79" s="451"/>
      <c r="CF79" s="451"/>
      <c r="CG79" s="452"/>
      <c r="CH79" s="451"/>
      <c r="CI79" s="451"/>
      <c r="CJ79" s="451"/>
      <c r="CK79" s="451"/>
      <c r="CL79" s="452"/>
      <c r="CM79" s="451"/>
      <c r="CN79" s="451"/>
      <c r="CO79" s="451"/>
      <c r="CP79" s="451"/>
      <c r="CQ79" s="452"/>
      <c r="CR79" s="451"/>
      <c r="CS79" s="451"/>
      <c r="CT79" s="451"/>
      <c r="CU79" s="451"/>
      <c r="CV79" s="452"/>
      <c r="CW79" s="451"/>
      <c r="CX79" s="451"/>
      <c r="CY79" s="451"/>
      <c r="CZ79" s="451"/>
      <c r="DA79" s="452"/>
      <c r="DB79" s="451"/>
      <c r="DC79" s="451"/>
      <c r="DD79" s="451"/>
      <c r="DE79" s="451"/>
      <c r="DF79" s="452"/>
      <c r="DG79" s="451"/>
      <c r="DH79" s="451"/>
      <c r="DI79" s="451"/>
      <c r="DJ79" s="451"/>
      <c r="DK79" s="452"/>
      <c r="DL79" s="451"/>
      <c r="DM79" s="451"/>
      <c r="DN79" s="451"/>
      <c r="DO79" s="451"/>
      <c r="DP79" s="452"/>
      <c r="DQ79" s="451"/>
      <c r="DR79" s="451"/>
      <c r="DS79" s="451"/>
      <c r="DT79" s="451"/>
      <c r="DU79" s="452"/>
      <c r="DV79" s="451"/>
      <c r="DW79" s="451"/>
      <c r="DX79" s="451"/>
      <c r="DY79" s="451"/>
      <c r="DZ79" s="452"/>
      <c r="EA79" s="451"/>
      <c r="EB79" s="451"/>
      <c r="EC79" s="451"/>
      <c r="ED79" s="451"/>
      <c r="EE79" s="452"/>
      <c r="EF79" s="451"/>
      <c r="EG79" s="451"/>
      <c r="EH79" s="451"/>
      <c r="EI79" s="451"/>
      <c r="EJ79" s="452"/>
      <c r="EK79" s="451"/>
      <c r="EL79" s="451"/>
      <c r="EO79" s="13"/>
      <c r="EP79" s="14"/>
      <c r="EQ79" s="14"/>
    </row>
    <row r="80" spans="4:147" ht="12.75" customHeight="1" x14ac:dyDescent="0.2">
      <c r="D80" s="13" t="s">
        <v>380</v>
      </c>
      <c r="E80" s="198"/>
      <c r="G80" s="451">
        <f>SUM(G81:G81)</f>
        <v>0</v>
      </c>
      <c r="H80" s="451"/>
      <c r="I80" s="451"/>
      <c r="J80" s="452"/>
      <c r="K80" s="451"/>
      <c r="L80" s="1">
        <f>SUM(L81:L81)</f>
        <v>0</v>
      </c>
      <c r="M80" s="451">
        <f>SUM(M81:M81)</f>
        <v>0</v>
      </c>
      <c r="N80" s="451"/>
      <c r="O80" s="452"/>
      <c r="Q80" s="1">
        <f>SUM(Q81:Q81)</f>
        <v>0</v>
      </c>
      <c r="R80" s="451"/>
      <c r="S80" s="451"/>
      <c r="T80" s="452"/>
      <c r="V80" s="1">
        <f>SUM(V81:V81)</f>
        <v>0</v>
      </c>
      <c r="W80" s="451"/>
      <c r="X80" s="451"/>
      <c r="Y80" s="452"/>
      <c r="AA80" s="1">
        <f>SUM(AA81:AA81)</f>
        <v>0</v>
      </c>
      <c r="AB80" s="451"/>
      <c r="AC80" s="451"/>
      <c r="AD80" s="452"/>
      <c r="AF80" s="1">
        <f>SUM(AF81:AF81)</f>
        <v>0</v>
      </c>
      <c r="AG80" s="451"/>
      <c r="AH80" s="451"/>
      <c r="AI80" s="452"/>
      <c r="AK80" s="1">
        <f>SUM(AK81:AK81)</f>
        <v>0</v>
      </c>
      <c r="AL80" s="451"/>
      <c r="AM80" s="451"/>
      <c r="AN80" s="452"/>
      <c r="AP80" s="1">
        <f>SUM(AP81:AP81)</f>
        <v>0</v>
      </c>
      <c r="AQ80" s="451"/>
      <c r="AR80" s="451"/>
      <c r="AS80" s="452"/>
      <c r="AU80" s="1">
        <f>SUM(AU81:AU81)</f>
        <v>0</v>
      </c>
      <c r="AV80" s="451"/>
      <c r="AW80" s="451"/>
      <c r="AX80" s="452"/>
      <c r="AZ80" s="1">
        <f>SUM(AZ81:AZ81)</f>
        <v>0</v>
      </c>
      <c r="BA80" s="451"/>
      <c r="BB80" s="451"/>
      <c r="BC80" s="452"/>
      <c r="BE80" s="1">
        <f>SUM(BE81:BE81)</f>
        <v>0</v>
      </c>
      <c r="BF80" s="451"/>
      <c r="BG80" s="451"/>
      <c r="BH80" s="452"/>
      <c r="BJ80" s="1">
        <f>SUM(BJ81:BJ81)</f>
        <v>0</v>
      </c>
      <c r="BK80" s="451"/>
      <c r="BL80" s="451"/>
      <c r="BM80" s="452"/>
      <c r="BO80" s="1">
        <f>SUM(BO81:BO81)</f>
        <v>0</v>
      </c>
      <c r="BP80" s="451"/>
      <c r="BQ80" s="451"/>
      <c r="BR80" s="452"/>
      <c r="BT80" s="451">
        <f>SUM(BT81:BT81)</f>
        <v>0</v>
      </c>
      <c r="BU80" s="451"/>
      <c r="BV80" s="451"/>
      <c r="BW80" s="452"/>
      <c r="BY80" s="451">
        <f>SUM(BY81:BY81)</f>
        <v>54098</v>
      </c>
      <c r="BZ80" s="451"/>
      <c r="CA80" s="451"/>
      <c r="CB80" s="452"/>
      <c r="CC80" s="451"/>
      <c r="CD80" s="1">
        <f>SUM(CD81:CD81)</f>
        <v>0</v>
      </c>
      <c r="CE80" s="451">
        <f>SUM(CE81:CE81)</f>
        <v>0</v>
      </c>
      <c r="CF80" s="451"/>
      <c r="CG80" s="452"/>
      <c r="CI80" s="1">
        <f>SUM(CI81:CI81)</f>
        <v>0</v>
      </c>
      <c r="CJ80" s="451"/>
      <c r="CK80" s="451"/>
      <c r="CL80" s="452"/>
      <c r="CN80" s="1">
        <f>SUM(CN81:CN81)</f>
        <v>0</v>
      </c>
      <c r="CO80" s="451"/>
      <c r="CP80" s="451"/>
      <c r="CQ80" s="452"/>
      <c r="CS80" s="1">
        <f>SUM(CS81:CS81)</f>
        <v>0</v>
      </c>
      <c r="CT80" s="451"/>
      <c r="CU80" s="451"/>
      <c r="CV80" s="452"/>
      <c r="CX80" s="1">
        <f>SUM(CX81:CX81)</f>
        <v>0</v>
      </c>
      <c r="CY80" s="451"/>
      <c r="CZ80" s="451"/>
      <c r="DA80" s="452"/>
      <c r="DC80" s="1">
        <f>SUM(DC81:DC81)</f>
        <v>0</v>
      </c>
      <c r="DD80" s="451"/>
      <c r="DE80" s="451"/>
      <c r="DF80" s="452"/>
      <c r="DH80" s="1">
        <f>SUM(DH81:DH81)</f>
        <v>0</v>
      </c>
      <c r="DI80" s="451"/>
      <c r="DJ80" s="451"/>
      <c r="DK80" s="452"/>
      <c r="DM80" s="1">
        <f>SUM(DM81:DM81)</f>
        <v>0</v>
      </c>
      <c r="DN80" s="451"/>
      <c r="DO80" s="451"/>
      <c r="DP80" s="452"/>
      <c r="DR80" s="1">
        <f>SUM(DR81:DR81)</f>
        <v>0</v>
      </c>
      <c r="DS80" s="451"/>
      <c r="DT80" s="451"/>
      <c r="DU80" s="452"/>
      <c r="DW80" s="1">
        <f>SUM(DW81:DW81)</f>
        <v>0</v>
      </c>
      <c r="DX80" s="451"/>
      <c r="DY80" s="451"/>
      <c r="DZ80" s="452"/>
      <c r="EB80" s="1">
        <f>SUM(EB81:EB81)</f>
        <v>0</v>
      </c>
      <c r="EC80" s="451"/>
      <c r="ED80" s="451"/>
      <c r="EE80" s="452"/>
      <c r="EG80" s="1">
        <f>SUM(EG81:EG81)</f>
        <v>54098</v>
      </c>
      <c r="EH80" s="451"/>
      <c r="EI80" s="451"/>
      <c r="EJ80" s="452"/>
      <c r="EL80" s="451">
        <f>SUM(EL81:EL81)</f>
        <v>0</v>
      </c>
      <c r="EM80" s="451"/>
      <c r="EO80" s="13"/>
      <c r="EP80" s="14"/>
      <c r="EQ80" s="14"/>
    </row>
    <row r="81" spans="4:147" ht="12.75" customHeight="1" x14ac:dyDescent="0.2">
      <c r="D81" s="13" t="s">
        <v>347</v>
      </c>
      <c r="E81" s="198"/>
      <c r="F81" s="456"/>
      <c r="G81" s="457">
        <v>0</v>
      </c>
      <c r="H81" s="458"/>
      <c r="I81" s="451"/>
      <c r="J81" s="452"/>
      <c r="K81" s="459"/>
      <c r="L81" s="457">
        <v>0</v>
      </c>
      <c r="M81" s="458"/>
      <c r="N81" s="462"/>
      <c r="O81" s="452"/>
      <c r="P81" s="456"/>
      <c r="Q81" s="457">
        <v>0</v>
      </c>
      <c r="R81" s="458"/>
      <c r="S81" s="451"/>
      <c r="T81" s="452"/>
      <c r="U81" s="456"/>
      <c r="V81" s="457">
        <v>0</v>
      </c>
      <c r="W81" s="458"/>
      <c r="X81" s="451"/>
      <c r="Y81" s="452"/>
      <c r="Z81" s="456"/>
      <c r="AA81" s="457">
        <v>0</v>
      </c>
      <c r="AB81" s="458"/>
      <c r="AC81" s="451"/>
      <c r="AD81" s="452"/>
      <c r="AE81" s="456"/>
      <c r="AF81" s="457">
        <v>0</v>
      </c>
      <c r="AG81" s="458"/>
      <c r="AH81" s="451"/>
      <c r="AI81" s="452"/>
      <c r="AJ81" s="456"/>
      <c r="AK81" s="457">
        <v>0</v>
      </c>
      <c r="AL81" s="458"/>
      <c r="AM81" s="451"/>
      <c r="AN81" s="452"/>
      <c r="AO81" s="456"/>
      <c r="AP81" s="457">
        <v>0</v>
      </c>
      <c r="AQ81" s="458"/>
      <c r="AR81" s="451"/>
      <c r="AS81" s="452"/>
      <c r="AT81" s="456"/>
      <c r="AU81" s="457">
        <v>0</v>
      </c>
      <c r="AV81" s="458"/>
      <c r="AW81" s="451"/>
      <c r="AX81" s="452"/>
      <c r="AY81" s="456"/>
      <c r="AZ81" s="457">
        <v>0</v>
      </c>
      <c r="BA81" s="458"/>
      <c r="BB81" s="451"/>
      <c r="BC81" s="452"/>
      <c r="BD81" s="456"/>
      <c r="BE81" s="457">
        <v>0</v>
      </c>
      <c r="BF81" s="458"/>
      <c r="BG81" s="451"/>
      <c r="BH81" s="452"/>
      <c r="BI81" s="456"/>
      <c r="BJ81" s="457">
        <v>0</v>
      </c>
      <c r="BK81" s="458"/>
      <c r="BL81" s="451"/>
      <c r="BM81" s="452"/>
      <c r="BN81" s="456"/>
      <c r="BO81" s="457">
        <v>0</v>
      </c>
      <c r="BP81" s="458"/>
      <c r="BQ81" s="451"/>
      <c r="BR81" s="452"/>
      <c r="BS81" s="456"/>
      <c r="BT81" s="457">
        <f>SUM(L81:BO81)</f>
        <v>0</v>
      </c>
      <c r="BU81" s="458"/>
      <c r="BV81" s="451"/>
      <c r="BW81" s="452"/>
      <c r="BX81" s="456"/>
      <c r="BY81" s="457">
        <v>54098</v>
      </c>
      <c r="BZ81" s="458"/>
      <c r="CA81" s="451"/>
      <c r="CB81" s="452"/>
      <c r="CC81" s="459"/>
      <c r="CD81" s="457">
        <v>0</v>
      </c>
      <c r="CE81" s="458"/>
      <c r="CF81" s="462"/>
      <c r="CG81" s="452"/>
      <c r="CH81" s="456"/>
      <c r="CI81" s="457">
        <v>0</v>
      </c>
      <c r="CJ81" s="458"/>
      <c r="CK81" s="451"/>
      <c r="CL81" s="452"/>
      <c r="CM81" s="456"/>
      <c r="CN81" s="457">
        <v>0</v>
      </c>
      <c r="CO81" s="458"/>
      <c r="CP81" s="451"/>
      <c r="CQ81" s="452"/>
      <c r="CR81" s="456"/>
      <c r="CS81" s="457">
        <v>0</v>
      </c>
      <c r="CT81" s="458"/>
      <c r="CU81" s="451"/>
      <c r="CV81" s="452"/>
      <c r="CW81" s="456"/>
      <c r="CX81" s="457">
        <v>0</v>
      </c>
      <c r="CY81" s="458"/>
      <c r="CZ81" s="451"/>
      <c r="DA81" s="452"/>
      <c r="DB81" s="456"/>
      <c r="DC81" s="457">
        <v>0</v>
      </c>
      <c r="DD81" s="458"/>
      <c r="DE81" s="451"/>
      <c r="DF81" s="452"/>
      <c r="DG81" s="456"/>
      <c r="DH81" s="457">
        <v>0</v>
      </c>
      <c r="DI81" s="458"/>
      <c r="DJ81" s="451"/>
      <c r="DK81" s="452"/>
      <c r="DL81" s="456"/>
      <c r="DM81" s="457">
        <v>0</v>
      </c>
      <c r="DN81" s="458"/>
      <c r="DO81" s="451"/>
      <c r="DP81" s="452"/>
      <c r="DQ81" s="456"/>
      <c r="DR81" s="457">
        <v>0</v>
      </c>
      <c r="DS81" s="458"/>
      <c r="DT81" s="451"/>
      <c r="DU81" s="452"/>
      <c r="DV81" s="456"/>
      <c r="DW81" s="457">
        <v>0</v>
      </c>
      <c r="DX81" s="458"/>
      <c r="DY81" s="451"/>
      <c r="DZ81" s="452"/>
      <c r="EA81" s="456"/>
      <c r="EB81" s="457">
        <v>0</v>
      </c>
      <c r="EC81" s="458"/>
      <c r="ED81" s="451"/>
      <c r="EE81" s="452"/>
      <c r="EF81" s="456"/>
      <c r="EG81" s="457">
        <v>54098</v>
      </c>
      <c r="EH81" s="458"/>
      <c r="EI81" s="451"/>
      <c r="EJ81" s="452"/>
      <c r="EK81" s="456"/>
      <c r="EL81" s="457">
        <f>SUM(CD81:DW81)</f>
        <v>0</v>
      </c>
      <c r="EM81" s="458"/>
      <c r="EO81" s="13"/>
      <c r="EP81" s="14"/>
      <c r="EQ81" s="14"/>
    </row>
    <row r="82" spans="4:147" ht="12.75" customHeight="1" x14ac:dyDescent="0.2">
      <c r="D82" s="13"/>
      <c r="E82" s="198"/>
      <c r="G82" s="493"/>
      <c r="H82" s="493"/>
      <c r="I82" s="493"/>
      <c r="J82" s="494"/>
      <c r="K82" s="493"/>
      <c r="L82" s="493"/>
      <c r="M82" s="493"/>
      <c r="N82" s="493"/>
      <c r="O82" s="494"/>
      <c r="P82" s="493"/>
      <c r="Q82" s="493"/>
      <c r="R82" s="493"/>
      <c r="S82" s="493"/>
      <c r="T82" s="494"/>
      <c r="U82" s="493"/>
      <c r="V82" s="493"/>
      <c r="W82" s="493"/>
      <c r="X82" s="493"/>
      <c r="Y82" s="494"/>
      <c r="Z82" s="493"/>
      <c r="AA82" s="493"/>
      <c r="AB82" s="493"/>
      <c r="AC82" s="493"/>
      <c r="AD82" s="494"/>
      <c r="AE82" s="493"/>
      <c r="AF82" s="493"/>
      <c r="AG82" s="493"/>
      <c r="AH82" s="493"/>
      <c r="AI82" s="494"/>
      <c r="AJ82" s="493"/>
      <c r="AK82" s="493"/>
      <c r="AL82" s="493"/>
      <c r="AM82" s="493"/>
      <c r="AN82" s="494"/>
      <c r="AO82" s="493"/>
      <c r="AP82" s="493"/>
      <c r="AQ82" s="493"/>
      <c r="AR82" s="493"/>
      <c r="AS82" s="494"/>
      <c r="AT82" s="493"/>
      <c r="AU82" s="493"/>
      <c r="AV82" s="493"/>
      <c r="AW82" s="493"/>
      <c r="AX82" s="494"/>
      <c r="AY82" s="493"/>
      <c r="AZ82" s="493"/>
      <c r="BA82" s="493"/>
      <c r="BB82" s="493"/>
      <c r="BC82" s="494"/>
      <c r="BD82" s="493"/>
      <c r="BE82" s="493"/>
      <c r="BF82" s="493"/>
      <c r="BG82" s="493"/>
      <c r="BH82" s="494"/>
      <c r="BI82" s="493"/>
      <c r="BJ82" s="493"/>
      <c r="BK82" s="493"/>
      <c r="BL82" s="493"/>
      <c r="BM82" s="494"/>
      <c r="BN82" s="493"/>
      <c r="BO82" s="493"/>
      <c r="BP82" s="493"/>
      <c r="BQ82" s="493"/>
      <c r="BR82" s="494"/>
      <c r="BS82" s="493"/>
      <c r="BT82" s="451"/>
      <c r="BU82" s="451"/>
      <c r="BV82" s="451"/>
      <c r="BW82" s="452"/>
      <c r="BX82" s="451"/>
      <c r="BY82" s="451"/>
      <c r="BZ82" s="493"/>
      <c r="CA82" s="493"/>
      <c r="CB82" s="494"/>
      <c r="CC82" s="493"/>
      <c r="CD82" s="493"/>
      <c r="CE82" s="493"/>
      <c r="CF82" s="493"/>
      <c r="CG82" s="494"/>
      <c r="CH82" s="493"/>
      <c r="CI82" s="493"/>
      <c r="CJ82" s="493"/>
      <c r="CK82" s="493"/>
      <c r="CL82" s="494"/>
      <c r="CM82" s="493"/>
      <c r="CN82" s="493"/>
      <c r="CO82" s="493"/>
      <c r="CP82" s="493"/>
      <c r="CQ82" s="494"/>
      <c r="CR82" s="493"/>
      <c r="CS82" s="493"/>
      <c r="CT82" s="493"/>
      <c r="CU82" s="493"/>
      <c r="CV82" s="494"/>
      <c r="CW82" s="493"/>
      <c r="CX82" s="493"/>
      <c r="CY82" s="493"/>
      <c r="CZ82" s="493"/>
      <c r="DA82" s="494"/>
      <c r="DB82" s="493"/>
      <c r="DC82" s="493"/>
      <c r="DD82" s="493"/>
      <c r="DE82" s="493"/>
      <c r="DF82" s="494"/>
      <c r="DG82" s="493"/>
      <c r="DH82" s="493"/>
      <c r="DI82" s="493"/>
      <c r="DJ82" s="493"/>
      <c r="DK82" s="494"/>
      <c r="DL82" s="493"/>
      <c r="DM82" s="493"/>
      <c r="DN82" s="493"/>
      <c r="DO82" s="493"/>
      <c r="DP82" s="494"/>
      <c r="DQ82" s="493"/>
      <c r="DR82" s="493"/>
      <c r="DS82" s="493"/>
      <c r="DT82" s="493"/>
      <c r="DU82" s="494"/>
      <c r="DV82" s="493"/>
      <c r="DW82" s="493"/>
      <c r="DX82" s="493"/>
      <c r="DY82" s="493"/>
      <c r="DZ82" s="494"/>
      <c r="EA82" s="493"/>
      <c r="EB82" s="493"/>
      <c r="EC82" s="493"/>
      <c r="ED82" s="493"/>
      <c r="EE82" s="494"/>
      <c r="EF82" s="493"/>
      <c r="EG82" s="493"/>
      <c r="EH82" s="493"/>
      <c r="EI82" s="493"/>
      <c r="EJ82" s="494"/>
      <c r="EK82" s="493"/>
      <c r="EL82" s="451"/>
      <c r="EO82" s="13"/>
      <c r="EP82" s="14"/>
      <c r="EQ82" s="14"/>
    </row>
    <row r="83" spans="4:147" ht="12.75" customHeight="1" x14ac:dyDescent="0.2">
      <c r="D83" s="13" t="s">
        <v>356</v>
      </c>
      <c r="E83" s="198"/>
      <c r="G83" s="451">
        <f>SUM(G84:G84)</f>
        <v>0</v>
      </c>
      <c r="H83" s="451"/>
      <c r="I83" s="451"/>
      <c r="J83" s="452"/>
      <c r="K83" s="451"/>
      <c r="L83" s="451">
        <f>SUM(L84:L84)</f>
        <v>0</v>
      </c>
      <c r="M83" s="451"/>
      <c r="N83" s="451"/>
      <c r="O83" s="452"/>
      <c r="P83" s="451"/>
      <c r="Q83" s="451">
        <f>SUM(Q84:Q84)</f>
        <v>0</v>
      </c>
      <c r="R83" s="451"/>
      <c r="S83" s="451"/>
      <c r="T83" s="452"/>
      <c r="U83" s="451"/>
      <c r="V83" s="451">
        <f>SUM(V84:V84)</f>
        <v>0</v>
      </c>
      <c r="W83" s="451"/>
      <c r="X83" s="451"/>
      <c r="Y83" s="452"/>
      <c r="Z83" s="451"/>
      <c r="AA83" s="451">
        <f>SUM(AA84:AA84)</f>
        <v>0</v>
      </c>
      <c r="AB83" s="451"/>
      <c r="AC83" s="451"/>
      <c r="AD83" s="452"/>
      <c r="AE83" s="451"/>
      <c r="AF83" s="451">
        <f>SUM(AF84:AF84)</f>
        <v>0</v>
      </c>
      <c r="AG83" s="451"/>
      <c r="AH83" s="451"/>
      <c r="AI83" s="452"/>
      <c r="AJ83" s="451"/>
      <c r="AK83" s="451">
        <f>SUM(AK84:AK84)</f>
        <v>0</v>
      </c>
      <c r="AL83" s="451"/>
      <c r="AM83" s="451"/>
      <c r="AN83" s="452"/>
      <c r="AO83" s="451"/>
      <c r="AP83" s="451">
        <f>SUM(AP84:AP84)</f>
        <v>0</v>
      </c>
      <c r="AQ83" s="451"/>
      <c r="AR83" s="451"/>
      <c r="AS83" s="452"/>
      <c r="AT83" s="451"/>
      <c r="AU83" s="451">
        <f>SUM(AU84:AU84)</f>
        <v>0</v>
      </c>
      <c r="AV83" s="451"/>
      <c r="AW83" s="451"/>
      <c r="AX83" s="452"/>
      <c r="AY83" s="451"/>
      <c r="AZ83" s="451">
        <f>SUM(AZ84:AZ84)</f>
        <v>0</v>
      </c>
      <c r="BA83" s="451"/>
      <c r="BB83" s="451"/>
      <c r="BC83" s="452"/>
      <c r="BD83" s="451"/>
      <c r="BE83" s="451">
        <f>SUM(BE84:BE84)</f>
        <v>0</v>
      </c>
      <c r="BF83" s="451"/>
      <c r="BG83" s="451"/>
      <c r="BH83" s="452"/>
      <c r="BI83" s="451"/>
      <c r="BJ83" s="451">
        <f>SUM(BJ84:BJ84)</f>
        <v>0</v>
      </c>
      <c r="BK83" s="451"/>
      <c r="BL83" s="451"/>
      <c r="BM83" s="452"/>
      <c r="BN83" s="451"/>
      <c r="BO83" s="451">
        <f>SUM(BO84:BO84)</f>
        <v>0</v>
      </c>
      <c r="BP83" s="451"/>
      <c r="BQ83" s="451"/>
      <c r="BR83" s="452"/>
      <c r="BS83" s="451"/>
      <c r="BT83" s="451">
        <f>SUM(BT84:BT84)</f>
        <v>0</v>
      </c>
      <c r="BU83" s="451"/>
      <c r="BV83" s="451"/>
      <c r="BW83" s="452"/>
      <c r="BX83" s="451"/>
      <c r="BY83" s="451">
        <f>SUM(BY84:BY84)</f>
        <v>41033</v>
      </c>
      <c r="BZ83" s="451"/>
      <c r="CA83" s="451"/>
      <c r="CB83" s="452"/>
      <c r="CC83" s="451"/>
      <c r="CD83" s="451">
        <f>SUM(CD84:CD84)</f>
        <v>0</v>
      </c>
      <c r="CE83" s="451"/>
      <c r="CF83" s="451"/>
      <c r="CG83" s="452"/>
      <c r="CH83" s="451"/>
      <c r="CI83" s="451">
        <f>SUM(CI84:CI84)</f>
        <v>0</v>
      </c>
      <c r="CJ83" s="451"/>
      <c r="CK83" s="451"/>
      <c r="CL83" s="452"/>
      <c r="CM83" s="451"/>
      <c r="CN83" s="451">
        <f>SUM(CN84:CN84)</f>
        <v>0</v>
      </c>
      <c r="CO83" s="451"/>
      <c r="CP83" s="451"/>
      <c r="CQ83" s="452"/>
      <c r="CR83" s="451"/>
      <c r="CS83" s="451">
        <f>SUM(CS84:CS84)</f>
        <v>0</v>
      </c>
      <c r="CT83" s="451"/>
      <c r="CU83" s="451"/>
      <c r="CV83" s="452"/>
      <c r="CW83" s="451"/>
      <c r="CX83" s="451">
        <f>SUM(CX84:CX84)</f>
        <v>0</v>
      </c>
      <c r="CY83" s="451"/>
      <c r="CZ83" s="451"/>
      <c r="DA83" s="452"/>
      <c r="DB83" s="451"/>
      <c r="DC83" s="451">
        <f>SUM(DC84:DC84)</f>
        <v>0</v>
      </c>
      <c r="DD83" s="451"/>
      <c r="DE83" s="451"/>
      <c r="DF83" s="452"/>
      <c r="DG83" s="451"/>
      <c r="DH83" s="451">
        <f>SUM(DH84:DH84)</f>
        <v>0</v>
      </c>
      <c r="DI83" s="451"/>
      <c r="DJ83" s="451"/>
      <c r="DK83" s="452"/>
      <c r="DL83" s="451"/>
      <c r="DM83" s="451">
        <f>SUM(DM84:DM84)</f>
        <v>0</v>
      </c>
      <c r="DN83" s="451"/>
      <c r="DO83" s="451"/>
      <c r="DP83" s="452"/>
      <c r="DQ83" s="451"/>
      <c r="DR83" s="451">
        <f>SUM(DR84:DR84)</f>
        <v>0</v>
      </c>
      <c r="DS83" s="451"/>
      <c r="DT83" s="451"/>
      <c r="DU83" s="452"/>
      <c r="DV83" s="451"/>
      <c r="DW83" s="451">
        <f>SUM(DW84:DW84)</f>
        <v>0</v>
      </c>
      <c r="DX83" s="451"/>
      <c r="DY83" s="451"/>
      <c r="DZ83" s="452"/>
      <c r="EA83" s="451"/>
      <c r="EB83" s="451">
        <f>SUM(EB84:EB84)</f>
        <v>0</v>
      </c>
      <c r="EC83" s="451"/>
      <c r="ED83" s="451"/>
      <c r="EE83" s="452"/>
      <c r="EF83" s="451"/>
      <c r="EG83" s="451">
        <f>SUM(EG84:EG84)</f>
        <v>41033</v>
      </c>
      <c r="EH83" s="451"/>
      <c r="EI83" s="451"/>
      <c r="EJ83" s="452"/>
      <c r="EK83" s="451"/>
      <c r="EL83" s="451">
        <f>SUM(EL84:EL84)</f>
        <v>0</v>
      </c>
      <c r="EN83" s="190"/>
      <c r="EO83" s="13"/>
      <c r="EP83" s="14"/>
      <c r="EQ83" s="14"/>
    </row>
    <row r="84" spans="4:147" ht="12.75" customHeight="1" x14ac:dyDescent="0.2">
      <c r="D84" s="13" t="s">
        <v>347</v>
      </c>
      <c r="E84" s="198"/>
      <c r="F84" s="456"/>
      <c r="G84" s="457">
        <v>0</v>
      </c>
      <c r="H84" s="458"/>
      <c r="I84" s="451"/>
      <c r="J84" s="452"/>
      <c r="K84" s="459"/>
      <c r="L84" s="457">
        <v>0</v>
      </c>
      <c r="M84" s="458"/>
      <c r="N84" s="451"/>
      <c r="O84" s="452"/>
      <c r="P84" s="459"/>
      <c r="Q84" s="457">
        <v>0</v>
      </c>
      <c r="R84" s="458"/>
      <c r="S84" s="451"/>
      <c r="T84" s="452"/>
      <c r="U84" s="459"/>
      <c r="V84" s="457">
        <v>0</v>
      </c>
      <c r="W84" s="458"/>
      <c r="X84" s="451"/>
      <c r="Y84" s="452"/>
      <c r="Z84" s="459"/>
      <c r="AA84" s="457">
        <v>0</v>
      </c>
      <c r="AB84" s="458"/>
      <c r="AC84" s="451"/>
      <c r="AD84" s="452"/>
      <c r="AE84" s="459"/>
      <c r="AF84" s="457">
        <v>0</v>
      </c>
      <c r="AG84" s="458"/>
      <c r="AH84" s="451"/>
      <c r="AI84" s="452"/>
      <c r="AJ84" s="459"/>
      <c r="AK84" s="457">
        <v>0</v>
      </c>
      <c r="AL84" s="458"/>
      <c r="AM84" s="451"/>
      <c r="AN84" s="452"/>
      <c r="AO84" s="459"/>
      <c r="AP84" s="457">
        <v>0</v>
      </c>
      <c r="AQ84" s="458"/>
      <c r="AR84" s="451"/>
      <c r="AS84" s="452"/>
      <c r="AT84" s="459"/>
      <c r="AU84" s="457">
        <v>0</v>
      </c>
      <c r="AV84" s="458"/>
      <c r="AW84" s="451"/>
      <c r="AX84" s="452"/>
      <c r="AY84" s="459"/>
      <c r="AZ84" s="457">
        <v>0</v>
      </c>
      <c r="BA84" s="458"/>
      <c r="BB84" s="451"/>
      <c r="BC84" s="452"/>
      <c r="BD84" s="459"/>
      <c r="BE84" s="457">
        <v>0</v>
      </c>
      <c r="BF84" s="458"/>
      <c r="BG84" s="451"/>
      <c r="BH84" s="452"/>
      <c r="BI84" s="459"/>
      <c r="BJ84" s="457">
        <v>0</v>
      </c>
      <c r="BK84" s="458"/>
      <c r="BL84" s="451"/>
      <c r="BM84" s="452"/>
      <c r="BN84" s="459"/>
      <c r="BO84" s="457">
        <v>0</v>
      </c>
      <c r="BP84" s="458"/>
      <c r="BQ84" s="451"/>
      <c r="BR84" s="452"/>
      <c r="BS84" s="459"/>
      <c r="BT84" s="457">
        <f>SUM(L84:BO84)</f>
        <v>0</v>
      </c>
      <c r="BU84" s="458"/>
      <c r="BV84" s="451"/>
      <c r="BW84" s="452"/>
      <c r="BX84" s="459"/>
      <c r="BY84" s="457">
        <v>41033</v>
      </c>
      <c r="BZ84" s="458"/>
      <c r="CA84" s="451"/>
      <c r="CB84" s="452"/>
      <c r="CC84" s="459"/>
      <c r="CD84" s="457">
        <v>0</v>
      </c>
      <c r="CE84" s="458"/>
      <c r="CF84" s="451"/>
      <c r="CG84" s="452"/>
      <c r="CH84" s="459"/>
      <c r="CI84" s="457">
        <v>0</v>
      </c>
      <c r="CJ84" s="458"/>
      <c r="CK84" s="451"/>
      <c r="CL84" s="452"/>
      <c r="CM84" s="459"/>
      <c r="CN84" s="457">
        <v>0</v>
      </c>
      <c r="CO84" s="458"/>
      <c r="CP84" s="451"/>
      <c r="CQ84" s="452"/>
      <c r="CR84" s="459"/>
      <c r="CS84" s="457">
        <v>0</v>
      </c>
      <c r="CT84" s="458"/>
      <c r="CU84" s="451"/>
      <c r="CV84" s="452"/>
      <c r="CW84" s="459"/>
      <c r="CX84" s="457">
        <v>0</v>
      </c>
      <c r="CY84" s="458"/>
      <c r="CZ84" s="451"/>
      <c r="DA84" s="452"/>
      <c r="DB84" s="459"/>
      <c r="DC84" s="457">
        <v>0</v>
      </c>
      <c r="DD84" s="458"/>
      <c r="DE84" s="451"/>
      <c r="DF84" s="452"/>
      <c r="DG84" s="459"/>
      <c r="DH84" s="457">
        <v>0</v>
      </c>
      <c r="DI84" s="458"/>
      <c r="DJ84" s="451"/>
      <c r="DK84" s="452"/>
      <c r="DL84" s="459"/>
      <c r="DM84" s="457">
        <v>0</v>
      </c>
      <c r="DN84" s="458"/>
      <c r="DO84" s="451"/>
      <c r="DP84" s="452"/>
      <c r="DQ84" s="459"/>
      <c r="DR84" s="457">
        <v>0</v>
      </c>
      <c r="DS84" s="458"/>
      <c r="DT84" s="451"/>
      <c r="DU84" s="452"/>
      <c r="DV84" s="459"/>
      <c r="DW84" s="457">
        <v>0</v>
      </c>
      <c r="DX84" s="458"/>
      <c r="DY84" s="451"/>
      <c r="DZ84" s="452"/>
      <c r="EA84" s="459"/>
      <c r="EB84" s="457">
        <v>0</v>
      </c>
      <c r="EC84" s="458"/>
      <c r="ED84" s="451"/>
      <c r="EE84" s="452"/>
      <c r="EF84" s="459"/>
      <c r="EG84" s="457">
        <v>41033</v>
      </c>
      <c r="EH84" s="458"/>
      <c r="EI84" s="451"/>
      <c r="EJ84" s="452"/>
      <c r="EK84" s="459"/>
      <c r="EL84" s="457">
        <f>SUM(CD84:DW84)</f>
        <v>0</v>
      </c>
      <c r="EM84" s="492"/>
      <c r="EO84" s="13"/>
      <c r="EP84" s="14"/>
      <c r="EQ84" s="14"/>
    </row>
    <row r="85" spans="4:147" x14ac:dyDescent="0.2">
      <c r="D85" s="13"/>
      <c r="E85" s="198"/>
      <c r="G85" s="451"/>
      <c r="H85" s="451"/>
      <c r="I85" s="451"/>
      <c r="J85" s="452"/>
      <c r="K85" s="451"/>
      <c r="L85" s="451"/>
      <c r="M85" s="451"/>
      <c r="N85" s="451"/>
      <c r="O85" s="452"/>
      <c r="P85" s="451"/>
      <c r="Q85" s="451"/>
      <c r="R85" s="451"/>
      <c r="S85" s="451"/>
      <c r="T85" s="452"/>
      <c r="U85" s="451"/>
      <c r="V85" s="451"/>
      <c r="W85" s="451"/>
      <c r="X85" s="451"/>
      <c r="Y85" s="452"/>
      <c r="Z85" s="451"/>
      <c r="AA85" s="451"/>
      <c r="AB85" s="451"/>
      <c r="AC85" s="451"/>
      <c r="AD85" s="452"/>
      <c r="AE85" s="451"/>
      <c r="AF85" s="451"/>
      <c r="AG85" s="451"/>
      <c r="AH85" s="451"/>
      <c r="AI85" s="452"/>
      <c r="AJ85" s="451"/>
      <c r="AK85" s="451"/>
      <c r="AL85" s="451"/>
      <c r="AM85" s="451"/>
      <c r="AN85" s="452"/>
      <c r="AO85" s="451"/>
      <c r="AP85" s="451"/>
      <c r="AQ85" s="451"/>
      <c r="AR85" s="451"/>
      <c r="AS85" s="452"/>
      <c r="AT85" s="451"/>
      <c r="AU85" s="451"/>
      <c r="AV85" s="451"/>
      <c r="AW85" s="451"/>
      <c r="AX85" s="452"/>
      <c r="AY85" s="451"/>
      <c r="AZ85" s="451"/>
      <c r="BA85" s="451"/>
      <c r="BB85" s="451"/>
      <c r="BC85" s="452"/>
      <c r="BD85" s="451"/>
      <c r="BE85" s="451"/>
      <c r="BF85" s="451"/>
      <c r="BG85" s="451"/>
      <c r="BH85" s="452"/>
      <c r="BI85" s="451"/>
      <c r="BJ85" s="451"/>
      <c r="BK85" s="451"/>
      <c r="BL85" s="451"/>
      <c r="BM85" s="452"/>
      <c r="BN85" s="451"/>
      <c r="BO85" s="451"/>
      <c r="BP85" s="451"/>
      <c r="BQ85" s="451"/>
      <c r="BR85" s="452"/>
      <c r="BS85" s="451"/>
      <c r="BT85" s="451"/>
      <c r="BU85" s="451"/>
      <c r="BV85" s="451"/>
      <c r="BW85" s="452"/>
      <c r="BX85" s="451"/>
      <c r="BY85" s="451"/>
      <c r="BZ85" s="451"/>
      <c r="CA85" s="451"/>
      <c r="CB85" s="452"/>
      <c r="CC85" s="451"/>
      <c r="CD85" s="451"/>
      <c r="CE85" s="451"/>
      <c r="CF85" s="451"/>
      <c r="CG85" s="452"/>
      <c r="CH85" s="451"/>
      <c r="CI85" s="451"/>
      <c r="CJ85" s="451"/>
      <c r="CK85" s="451"/>
      <c r="CL85" s="452"/>
      <c r="CM85" s="451"/>
      <c r="CN85" s="451"/>
      <c r="CO85" s="451"/>
      <c r="CP85" s="451"/>
      <c r="CQ85" s="452"/>
      <c r="CR85" s="451"/>
      <c r="CS85" s="451"/>
      <c r="CT85" s="451"/>
      <c r="CU85" s="451"/>
      <c r="CV85" s="452"/>
      <c r="CW85" s="451"/>
      <c r="CX85" s="451"/>
      <c r="CY85" s="451"/>
      <c r="CZ85" s="451"/>
      <c r="DA85" s="452"/>
      <c r="DB85" s="451"/>
      <c r="DC85" s="451"/>
      <c r="DD85" s="451"/>
      <c r="DE85" s="451"/>
      <c r="DF85" s="452"/>
      <c r="DG85" s="451"/>
      <c r="DH85" s="451"/>
      <c r="DI85" s="451"/>
      <c r="DJ85" s="451"/>
      <c r="DK85" s="452"/>
      <c r="DL85" s="451"/>
      <c r="DM85" s="451"/>
      <c r="DN85" s="451"/>
      <c r="DO85" s="451"/>
      <c r="DP85" s="452"/>
      <c r="DQ85" s="451"/>
      <c r="DR85" s="451"/>
      <c r="DS85" s="451"/>
      <c r="DT85" s="451"/>
      <c r="DU85" s="452"/>
      <c r="DV85" s="451"/>
      <c r="DW85" s="451"/>
      <c r="DX85" s="451"/>
      <c r="DY85" s="451"/>
      <c r="DZ85" s="452"/>
      <c r="EA85" s="451"/>
      <c r="EB85" s="451"/>
      <c r="EC85" s="451"/>
      <c r="ED85" s="451"/>
      <c r="EE85" s="452"/>
      <c r="EF85" s="451"/>
      <c r="EG85" s="451"/>
      <c r="EH85" s="451"/>
      <c r="EI85" s="451"/>
      <c r="EJ85" s="452"/>
      <c r="EK85" s="451"/>
      <c r="EL85" s="451"/>
      <c r="EO85" s="13"/>
      <c r="EP85" s="14"/>
      <c r="EQ85" s="14"/>
    </row>
    <row r="86" spans="4:147" x14ac:dyDescent="0.2">
      <c r="D86" s="13" t="s">
        <v>360</v>
      </c>
      <c r="E86" s="198"/>
      <c r="G86" s="451">
        <f>SUM(G87:G87)</f>
        <v>0</v>
      </c>
      <c r="H86" s="451"/>
      <c r="I86" s="451"/>
      <c r="J86" s="452"/>
      <c r="L86" s="451">
        <f>SUM(L87:L87)</f>
        <v>0</v>
      </c>
      <c r="M86" s="451"/>
      <c r="N86" s="451"/>
      <c r="O86" s="452"/>
      <c r="P86" s="451"/>
      <c r="Q86" s="451">
        <f>SUM(Q87:Q87)</f>
        <v>0</v>
      </c>
      <c r="R86" s="451"/>
      <c r="S86" s="451"/>
      <c r="T86" s="452"/>
      <c r="U86" s="451"/>
      <c r="V86" s="451">
        <f>SUM(V87:V87)</f>
        <v>0</v>
      </c>
      <c r="W86" s="451"/>
      <c r="X86" s="451"/>
      <c r="Y86" s="452"/>
      <c r="Z86" s="451"/>
      <c r="AA86" s="451">
        <f>SUM(AA87:AA87)</f>
        <v>0</v>
      </c>
      <c r="AB86" s="451"/>
      <c r="AC86" s="451"/>
      <c r="AD86" s="452"/>
      <c r="AE86" s="451"/>
      <c r="AF86" s="451">
        <f>SUM(AF87:AF87)</f>
        <v>0</v>
      </c>
      <c r="AG86" s="451"/>
      <c r="AH86" s="451"/>
      <c r="AI86" s="452"/>
      <c r="AJ86" s="451"/>
      <c r="AK86" s="451">
        <f>SUM(AK87:AK87)</f>
        <v>0</v>
      </c>
      <c r="AL86" s="451"/>
      <c r="AM86" s="451"/>
      <c r="AN86" s="452"/>
      <c r="AO86" s="451"/>
      <c r="AP86" s="451">
        <f>SUM(AP87:AP87)</f>
        <v>0</v>
      </c>
      <c r="AQ86" s="451"/>
      <c r="AR86" s="451"/>
      <c r="AS86" s="452"/>
      <c r="AT86" s="451"/>
      <c r="AU86" s="451">
        <f>SUM(AU87:AU87)</f>
        <v>0</v>
      </c>
      <c r="AV86" s="451"/>
      <c r="AW86" s="451"/>
      <c r="AX86" s="452"/>
      <c r="AY86" s="451"/>
      <c r="AZ86" s="451">
        <f>SUM(AZ87:AZ87)</f>
        <v>0</v>
      </c>
      <c r="BA86" s="451"/>
      <c r="BB86" s="451"/>
      <c r="BC86" s="452"/>
      <c r="BD86" s="451"/>
      <c r="BE86" s="451">
        <f>SUM(BE87:BE87)</f>
        <v>0</v>
      </c>
      <c r="BF86" s="451"/>
      <c r="BG86" s="451"/>
      <c r="BH86" s="452"/>
      <c r="BI86" s="451"/>
      <c r="BJ86" s="451">
        <f>SUM(BJ87:BJ87)</f>
        <v>0</v>
      </c>
      <c r="BK86" s="451"/>
      <c r="BL86" s="451"/>
      <c r="BM86" s="452"/>
      <c r="BN86" s="451"/>
      <c r="BO86" s="451">
        <f>SUM(BO87:BO87)</f>
        <v>0</v>
      </c>
      <c r="BP86" s="451"/>
      <c r="BQ86" s="451"/>
      <c r="BR86" s="452"/>
      <c r="BT86" s="451">
        <f>SUM(BT87:BT87)</f>
        <v>0</v>
      </c>
      <c r="BU86" s="451"/>
      <c r="BV86" s="451"/>
      <c r="BW86" s="452"/>
      <c r="BY86" s="451">
        <f>SUM(BY87:BY87)</f>
        <v>183582</v>
      </c>
      <c r="BZ86" s="451"/>
      <c r="CA86" s="451"/>
      <c r="CB86" s="452"/>
      <c r="CD86" s="451">
        <f>SUM(CD87:CD87)</f>
        <v>0</v>
      </c>
      <c r="CE86" s="451"/>
      <c r="CF86" s="451"/>
      <c r="CG86" s="452"/>
      <c r="CH86" s="451"/>
      <c r="CI86" s="451">
        <f>SUM(CI87:CI87)</f>
        <v>0</v>
      </c>
      <c r="CJ86" s="451"/>
      <c r="CK86" s="451"/>
      <c r="CL86" s="452"/>
      <c r="CM86" s="451"/>
      <c r="CN86" s="451">
        <f>SUM(CN87:CN87)</f>
        <v>0</v>
      </c>
      <c r="CO86" s="451"/>
      <c r="CP86" s="451"/>
      <c r="CQ86" s="452"/>
      <c r="CR86" s="451"/>
      <c r="CS86" s="451">
        <f>SUM(CS87:CS87)</f>
        <v>0</v>
      </c>
      <c r="CT86" s="451"/>
      <c r="CU86" s="451"/>
      <c r="CV86" s="452"/>
      <c r="CW86" s="451"/>
      <c r="CX86" s="451">
        <f>SUM(CX87:CX87)</f>
        <v>0</v>
      </c>
      <c r="CY86" s="451"/>
      <c r="CZ86" s="451"/>
      <c r="DA86" s="452"/>
      <c r="DB86" s="451"/>
      <c r="DC86" s="451">
        <f>SUM(DC87:DC87)</f>
        <v>119455</v>
      </c>
      <c r="DD86" s="451"/>
      <c r="DE86" s="451"/>
      <c r="DF86" s="452"/>
      <c r="DG86" s="451"/>
      <c r="DH86" s="451">
        <f>SUM(DH87:DH87)</f>
        <v>0</v>
      </c>
      <c r="DI86" s="451"/>
      <c r="DJ86" s="451"/>
      <c r="DK86" s="452"/>
      <c r="DL86" s="451"/>
      <c r="DM86" s="451">
        <f>SUM(DM87:DM87)</f>
        <v>64127</v>
      </c>
      <c r="DN86" s="451"/>
      <c r="DO86" s="451"/>
      <c r="DP86" s="452"/>
      <c r="DQ86" s="451"/>
      <c r="DR86" s="451">
        <f>SUM(DR87:DR87)</f>
        <v>0</v>
      </c>
      <c r="DS86" s="451"/>
      <c r="DT86" s="451"/>
      <c r="DU86" s="452"/>
      <c r="DV86" s="451"/>
      <c r="DW86" s="451">
        <f>SUM(DW87:DW87)</f>
        <v>0</v>
      </c>
      <c r="DX86" s="451"/>
      <c r="DY86" s="451"/>
      <c r="DZ86" s="452"/>
      <c r="EA86" s="451"/>
      <c r="EB86" s="451">
        <f>SUM(EB87:EB87)</f>
        <v>0</v>
      </c>
      <c r="EC86" s="451"/>
      <c r="ED86" s="451"/>
      <c r="EE86" s="452"/>
      <c r="EF86" s="451"/>
      <c r="EG86" s="451">
        <f>SUM(EG87:EG87)</f>
        <v>0</v>
      </c>
      <c r="EH86" s="451"/>
      <c r="EI86" s="451"/>
      <c r="EJ86" s="452"/>
      <c r="EL86" s="451">
        <f>SUM(EL87:EL87)</f>
        <v>183582</v>
      </c>
      <c r="EM86" s="451"/>
      <c r="EO86" s="13"/>
      <c r="EP86" s="14"/>
      <c r="EQ86" s="14"/>
    </row>
    <row r="87" spans="4:147" x14ac:dyDescent="0.2">
      <c r="D87" s="13" t="s">
        <v>347</v>
      </c>
      <c r="E87" s="198"/>
      <c r="F87" s="456"/>
      <c r="G87" s="457">
        <v>0</v>
      </c>
      <c r="H87" s="458"/>
      <c r="I87" s="451"/>
      <c r="J87" s="452"/>
      <c r="K87" s="456"/>
      <c r="L87" s="457">
        <v>0</v>
      </c>
      <c r="M87" s="458"/>
      <c r="N87" s="451"/>
      <c r="O87" s="452"/>
      <c r="P87" s="459"/>
      <c r="Q87" s="457">
        <v>0</v>
      </c>
      <c r="R87" s="458"/>
      <c r="S87" s="451"/>
      <c r="T87" s="452"/>
      <c r="U87" s="459"/>
      <c r="V87" s="457">
        <v>0</v>
      </c>
      <c r="W87" s="458"/>
      <c r="X87" s="451"/>
      <c r="Y87" s="452"/>
      <c r="Z87" s="459"/>
      <c r="AA87" s="457">
        <v>0</v>
      </c>
      <c r="AB87" s="458"/>
      <c r="AC87" s="451"/>
      <c r="AD87" s="452"/>
      <c r="AE87" s="459"/>
      <c r="AF87" s="457">
        <v>0</v>
      </c>
      <c r="AG87" s="458"/>
      <c r="AH87" s="451"/>
      <c r="AI87" s="452"/>
      <c r="AJ87" s="459"/>
      <c r="AK87" s="457">
        <v>0</v>
      </c>
      <c r="AL87" s="458"/>
      <c r="AM87" s="451"/>
      <c r="AN87" s="452"/>
      <c r="AO87" s="459"/>
      <c r="AP87" s="457">
        <v>0</v>
      </c>
      <c r="AQ87" s="458"/>
      <c r="AR87" s="451"/>
      <c r="AS87" s="452"/>
      <c r="AT87" s="459"/>
      <c r="AU87" s="457">
        <v>0</v>
      </c>
      <c r="AV87" s="458"/>
      <c r="AW87" s="451"/>
      <c r="AX87" s="452"/>
      <c r="AY87" s="459"/>
      <c r="AZ87" s="457">
        <v>0</v>
      </c>
      <c r="BA87" s="458"/>
      <c r="BB87" s="451"/>
      <c r="BC87" s="452"/>
      <c r="BD87" s="459"/>
      <c r="BE87" s="457">
        <v>0</v>
      </c>
      <c r="BF87" s="458"/>
      <c r="BG87" s="451"/>
      <c r="BH87" s="452"/>
      <c r="BI87" s="459"/>
      <c r="BJ87" s="457">
        <v>0</v>
      </c>
      <c r="BK87" s="458"/>
      <c r="BL87" s="451"/>
      <c r="BM87" s="452"/>
      <c r="BN87" s="459"/>
      <c r="BO87" s="457">
        <v>0</v>
      </c>
      <c r="BP87" s="458"/>
      <c r="BQ87" s="451"/>
      <c r="BR87" s="452"/>
      <c r="BS87" s="459"/>
      <c r="BT87" s="457">
        <f>SUM(L87:BO87)</f>
        <v>0</v>
      </c>
      <c r="BU87" s="458"/>
      <c r="BV87" s="451"/>
      <c r="BW87" s="452"/>
      <c r="BX87" s="456"/>
      <c r="BY87" s="457">
        <v>183582</v>
      </c>
      <c r="BZ87" s="458"/>
      <c r="CA87" s="451"/>
      <c r="CB87" s="452"/>
      <c r="CC87" s="456"/>
      <c r="CD87" s="457">
        <v>0</v>
      </c>
      <c r="CE87" s="458"/>
      <c r="CF87" s="451"/>
      <c r="CG87" s="452"/>
      <c r="CH87" s="459"/>
      <c r="CI87" s="457">
        <v>0</v>
      </c>
      <c r="CJ87" s="458"/>
      <c r="CK87" s="451"/>
      <c r="CL87" s="452"/>
      <c r="CM87" s="459"/>
      <c r="CN87" s="457">
        <v>0</v>
      </c>
      <c r="CO87" s="458"/>
      <c r="CP87" s="451"/>
      <c r="CQ87" s="452"/>
      <c r="CR87" s="459"/>
      <c r="CS87" s="457">
        <v>0</v>
      </c>
      <c r="CT87" s="458"/>
      <c r="CU87" s="451"/>
      <c r="CV87" s="452"/>
      <c r="CW87" s="459"/>
      <c r="CX87" s="457">
        <v>0</v>
      </c>
      <c r="CY87" s="458"/>
      <c r="CZ87" s="451"/>
      <c r="DA87" s="452"/>
      <c r="DB87" s="459"/>
      <c r="DC87" s="457">
        <v>119455</v>
      </c>
      <c r="DD87" s="458"/>
      <c r="DE87" s="451"/>
      <c r="DF87" s="452"/>
      <c r="DG87" s="459"/>
      <c r="DH87" s="457">
        <v>0</v>
      </c>
      <c r="DI87" s="458"/>
      <c r="DJ87" s="451"/>
      <c r="DK87" s="452"/>
      <c r="DL87" s="459"/>
      <c r="DM87" s="457">
        <v>64127</v>
      </c>
      <c r="DN87" s="458"/>
      <c r="DO87" s="451"/>
      <c r="DP87" s="452"/>
      <c r="DQ87" s="459"/>
      <c r="DR87" s="457">
        <v>0</v>
      </c>
      <c r="DS87" s="458"/>
      <c r="DT87" s="451"/>
      <c r="DU87" s="452"/>
      <c r="DV87" s="459"/>
      <c r="DW87" s="457">
        <v>0</v>
      </c>
      <c r="DX87" s="458"/>
      <c r="DY87" s="451"/>
      <c r="DZ87" s="452"/>
      <c r="EA87" s="459"/>
      <c r="EB87" s="457">
        <v>0</v>
      </c>
      <c r="EC87" s="458"/>
      <c r="ED87" s="451"/>
      <c r="EE87" s="452"/>
      <c r="EF87" s="459"/>
      <c r="EG87" s="457">
        <v>0</v>
      </c>
      <c r="EH87" s="458"/>
      <c r="EI87" s="451"/>
      <c r="EJ87" s="452"/>
      <c r="EK87" s="456"/>
      <c r="EL87" s="457">
        <f>SUM(CD87:DW87)</f>
        <v>183582</v>
      </c>
      <c r="EM87" s="458"/>
      <c r="EO87" s="13"/>
      <c r="EP87" s="14"/>
      <c r="EQ87" s="14"/>
    </row>
    <row r="88" spans="4:147" x14ac:dyDescent="0.2">
      <c r="D88" s="13"/>
      <c r="E88" s="198"/>
      <c r="G88" s="451"/>
      <c r="H88" s="451"/>
      <c r="I88" s="451"/>
      <c r="J88" s="452"/>
      <c r="K88" s="451"/>
      <c r="L88" s="451"/>
      <c r="M88" s="451"/>
      <c r="N88" s="451"/>
      <c r="O88" s="452"/>
      <c r="P88" s="451"/>
      <c r="Q88" s="451"/>
      <c r="R88" s="451"/>
      <c r="S88" s="451"/>
      <c r="T88" s="452"/>
      <c r="U88" s="451"/>
      <c r="V88" s="451"/>
      <c r="W88" s="451"/>
      <c r="X88" s="451"/>
      <c r="Y88" s="452"/>
      <c r="Z88" s="451"/>
      <c r="AA88" s="451"/>
      <c r="AB88" s="451"/>
      <c r="AC88" s="451"/>
      <c r="AD88" s="452"/>
      <c r="AE88" s="451"/>
      <c r="AF88" s="451"/>
      <c r="AG88" s="451"/>
      <c r="AH88" s="451"/>
      <c r="AI88" s="452"/>
      <c r="AJ88" s="451"/>
      <c r="AK88" s="451"/>
      <c r="AL88" s="451"/>
      <c r="AM88" s="451"/>
      <c r="AN88" s="452"/>
      <c r="AO88" s="451"/>
      <c r="AP88" s="451"/>
      <c r="AQ88" s="451"/>
      <c r="AR88" s="451"/>
      <c r="AS88" s="452"/>
      <c r="AT88" s="451"/>
      <c r="AU88" s="451"/>
      <c r="AV88" s="451"/>
      <c r="AW88" s="451"/>
      <c r="AX88" s="452"/>
      <c r="AY88" s="451"/>
      <c r="AZ88" s="451"/>
      <c r="BA88" s="451"/>
      <c r="BB88" s="451"/>
      <c r="BC88" s="452"/>
      <c r="BD88" s="451"/>
      <c r="BE88" s="451"/>
      <c r="BF88" s="451"/>
      <c r="BG88" s="451"/>
      <c r="BH88" s="452"/>
      <c r="BI88" s="451"/>
      <c r="BJ88" s="451"/>
      <c r="BK88" s="451"/>
      <c r="BL88" s="451"/>
      <c r="BM88" s="452"/>
      <c r="BN88" s="451"/>
      <c r="BO88" s="451"/>
      <c r="BP88" s="451"/>
      <c r="BQ88" s="451"/>
      <c r="BR88" s="452"/>
      <c r="BS88" s="451"/>
      <c r="BT88" s="451"/>
      <c r="BU88" s="451"/>
      <c r="BV88" s="451"/>
      <c r="BW88" s="452"/>
      <c r="BX88" s="451"/>
      <c r="BY88" s="451"/>
      <c r="BZ88" s="451"/>
      <c r="CA88" s="451"/>
      <c r="CB88" s="452"/>
      <c r="CC88" s="451"/>
      <c r="CD88" s="451"/>
      <c r="CE88" s="451"/>
      <c r="CF88" s="451"/>
      <c r="CG88" s="452"/>
      <c r="CH88" s="451"/>
      <c r="CI88" s="451"/>
      <c r="CJ88" s="451"/>
      <c r="CK88" s="451"/>
      <c r="CL88" s="452"/>
      <c r="CM88" s="451"/>
      <c r="CN88" s="451"/>
      <c r="CO88" s="451"/>
      <c r="CP88" s="451"/>
      <c r="CQ88" s="452"/>
      <c r="CR88" s="451"/>
      <c r="CS88" s="451"/>
      <c r="CT88" s="451"/>
      <c r="CU88" s="451"/>
      <c r="CV88" s="452"/>
      <c r="CW88" s="451"/>
      <c r="CX88" s="451"/>
      <c r="CY88" s="451"/>
      <c r="CZ88" s="451"/>
      <c r="DA88" s="452"/>
      <c r="DB88" s="451"/>
      <c r="DC88" s="451"/>
      <c r="DD88" s="451"/>
      <c r="DE88" s="451"/>
      <c r="DF88" s="452"/>
      <c r="DG88" s="451"/>
      <c r="DH88" s="451"/>
      <c r="DI88" s="451"/>
      <c r="DJ88" s="451"/>
      <c r="DK88" s="452"/>
      <c r="DL88" s="451"/>
      <c r="DM88" s="451"/>
      <c r="DN88" s="451"/>
      <c r="DO88" s="451"/>
      <c r="DP88" s="452"/>
      <c r="DQ88" s="451"/>
      <c r="DR88" s="451"/>
      <c r="DS88" s="451"/>
      <c r="DT88" s="451"/>
      <c r="DU88" s="452"/>
      <c r="DV88" s="451"/>
      <c r="DW88" s="451"/>
      <c r="DX88" s="451"/>
      <c r="DY88" s="451"/>
      <c r="DZ88" s="452"/>
      <c r="EA88" s="451"/>
      <c r="EB88" s="451"/>
      <c r="EC88" s="451"/>
      <c r="ED88" s="451"/>
      <c r="EE88" s="452"/>
      <c r="EF88" s="451"/>
      <c r="EG88" s="451"/>
      <c r="EH88" s="451"/>
      <c r="EI88" s="451"/>
      <c r="EJ88" s="452"/>
      <c r="EK88" s="451"/>
      <c r="EL88" s="451"/>
      <c r="EO88" s="13"/>
      <c r="EP88" s="14"/>
      <c r="EQ88" s="14"/>
    </row>
    <row r="89" spans="4:147" hidden="1" x14ac:dyDescent="0.2">
      <c r="D89" s="13" t="str">
        <f>[31]domlongtermissues!D312:D312</f>
        <v xml:space="preserve">  R2037  (8.50%  2037/01/31)</v>
      </c>
      <c r="E89" s="198"/>
      <c r="G89" s="451">
        <f>SUM(G90:G90)</f>
        <v>0</v>
      </c>
      <c r="H89" s="451"/>
      <c r="I89" s="451"/>
      <c r="J89" s="452"/>
      <c r="K89" s="451"/>
      <c r="L89" s="451">
        <f>SUM(L90:L90)</f>
        <v>0</v>
      </c>
      <c r="M89" s="451"/>
      <c r="N89" s="451"/>
      <c r="O89" s="452"/>
      <c r="P89" s="451"/>
      <c r="Q89" s="451">
        <f>SUM(Q90:Q90)</f>
        <v>0</v>
      </c>
      <c r="R89" s="451"/>
      <c r="S89" s="451"/>
      <c r="T89" s="452"/>
      <c r="U89" s="451"/>
      <c r="V89" s="451">
        <f>SUM(V90:V90)</f>
        <v>0</v>
      </c>
      <c r="W89" s="451"/>
      <c r="X89" s="451"/>
      <c r="Y89" s="452"/>
      <c r="Z89" s="451"/>
      <c r="AA89" s="451">
        <f>SUM(AA90:AA90)</f>
        <v>0</v>
      </c>
      <c r="AB89" s="451"/>
      <c r="AC89" s="451"/>
      <c r="AD89" s="452"/>
      <c r="AE89" s="451"/>
      <c r="AF89" s="451">
        <f>SUM(AF90:AF90)</f>
        <v>0</v>
      </c>
      <c r="AG89" s="451"/>
      <c r="AH89" s="451"/>
      <c r="AI89" s="452"/>
      <c r="AJ89" s="451"/>
      <c r="AK89" s="451">
        <f>SUM(AK90:AK90)</f>
        <v>0</v>
      </c>
      <c r="AL89" s="451"/>
      <c r="AM89" s="451"/>
      <c r="AN89" s="452"/>
      <c r="AO89" s="451"/>
      <c r="AP89" s="451">
        <f>SUM(AP90:AP90)</f>
        <v>0</v>
      </c>
      <c r="AQ89" s="451"/>
      <c r="AR89" s="451"/>
      <c r="AS89" s="452"/>
      <c r="AT89" s="451"/>
      <c r="AU89" s="451">
        <f>SUM(AU90:AU90)</f>
        <v>0</v>
      </c>
      <c r="AV89" s="451"/>
      <c r="AW89" s="451"/>
      <c r="AX89" s="452"/>
      <c r="AY89" s="451"/>
      <c r="AZ89" s="451">
        <f>SUM(AZ90:AZ90)</f>
        <v>0</v>
      </c>
      <c r="BA89" s="451"/>
      <c r="BB89" s="451"/>
      <c r="BC89" s="452"/>
      <c r="BD89" s="451"/>
      <c r="BE89" s="451">
        <f>SUM(BE90:BE90)</f>
        <v>0</v>
      </c>
      <c r="BF89" s="451"/>
      <c r="BG89" s="451"/>
      <c r="BH89" s="452"/>
      <c r="BI89" s="451"/>
      <c r="BJ89" s="451">
        <f>SUM(BJ90:BJ90)</f>
        <v>0</v>
      </c>
      <c r="BK89" s="451"/>
      <c r="BL89" s="451"/>
      <c r="BM89" s="452"/>
      <c r="BN89" s="451"/>
      <c r="BO89" s="451">
        <f>SUM(BO90:BO90)</f>
        <v>0</v>
      </c>
      <c r="BP89" s="451"/>
      <c r="BQ89" s="451"/>
      <c r="BR89" s="452"/>
      <c r="BS89" s="451"/>
      <c r="BT89" s="451">
        <f>SUM(BT90:BT90)</f>
        <v>0</v>
      </c>
      <c r="BU89" s="451"/>
      <c r="BV89" s="451"/>
      <c r="BW89" s="452"/>
      <c r="BX89" s="451"/>
      <c r="BY89" s="451">
        <f>SUM(BY90:BY90)</f>
        <v>0</v>
      </c>
      <c r="BZ89" s="451"/>
      <c r="CA89" s="451"/>
      <c r="CB89" s="452"/>
      <c r="CC89" s="451"/>
      <c r="CD89" s="451">
        <f>SUM(CD90:CD90)</f>
        <v>0</v>
      </c>
      <c r="CE89" s="451"/>
      <c r="CF89" s="451"/>
      <c r="CG89" s="452"/>
      <c r="CH89" s="451"/>
      <c r="CI89" s="451">
        <f>SUM(CI90:CI90)</f>
        <v>0</v>
      </c>
      <c r="CJ89" s="451"/>
      <c r="CK89" s="451"/>
      <c r="CL89" s="452"/>
      <c r="CM89" s="451"/>
      <c r="CN89" s="451">
        <f>SUM(CN90:CN90)</f>
        <v>0</v>
      </c>
      <c r="CO89" s="451"/>
      <c r="CP89" s="451"/>
      <c r="CQ89" s="452"/>
      <c r="CR89" s="451"/>
      <c r="CS89" s="451">
        <f>SUM(CS90:CS90)</f>
        <v>0</v>
      </c>
      <c r="CT89" s="451"/>
      <c r="CU89" s="451"/>
      <c r="CV89" s="452"/>
      <c r="CW89" s="451"/>
      <c r="CX89" s="451">
        <f>SUM(CX90:CX90)</f>
        <v>0</v>
      </c>
      <c r="CY89" s="451"/>
      <c r="CZ89" s="451"/>
      <c r="DA89" s="452"/>
      <c r="DB89" s="451"/>
      <c r="DC89" s="451">
        <f>SUM(DC90:DC90)</f>
        <v>0</v>
      </c>
      <c r="DD89" s="451"/>
      <c r="DE89" s="451"/>
      <c r="DF89" s="452"/>
      <c r="DG89" s="451"/>
      <c r="DH89" s="451">
        <f>SUM(DH90:DH90)</f>
        <v>0</v>
      </c>
      <c r="DI89" s="451"/>
      <c r="DJ89" s="451"/>
      <c r="DK89" s="452"/>
      <c r="DL89" s="451"/>
      <c r="DM89" s="451">
        <f>SUM(DM90:DM90)</f>
        <v>0</v>
      </c>
      <c r="DN89" s="451"/>
      <c r="DO89" s="451"/>
      <c r="DP89" s="452"/>
      <c r="DQ89" s="451"/>
      <c r="DR89" s="451">
        <f>SUM(DR90:DR90)</f>
        <v>0</v>
      </c>
      <c r="DS89" s="451"/>
      <c r="DT89" s="451"/>
      <c r="DU89" s="452"/>
      <c r="DV89" s="451"/>
      <c r="DW89" s="451">
        <f>SUM(DW90:DW90)</f>
        <v>0</v>
      </c>
      <c r="DX89" s="451"/>
      <c r="DY89" s="451"/>
      <c r="DZ89" s="452"/>
      <c r="EA89" s="451"/>
      <c r="EB89" s="451">
        <f>SUM(EB90:EB90)</f>
        <v>0</v>
      </c>
      <c r="EC89" s="451"/>
      <c r="ED89" s="451"/>
      <c r="EE89" s="452"/>
      <c r="EF89" s="451"/>
      <c r="EG89" s="451">
        <f>SUM(EG90:EG90)</f>
        <v>0</v>
      </c>
      <c r="EH89" s="451"/>
      <c r="EI89" s="451"/>
      <c r="EJ89" s="452"/>
      <c r="EK89" s="451"/>
      <c r="EL89" s="451">
        <f>SUM(EL90:EL90)</f>
        <v>0</v>
      </c>
      <c r="EO89" s="13"/>
      <c r="EP89" s="14"/>
      <c r="EQ89" s="14"/>
    </row>
    <row r="90" spans="4:147" hidden="1" x14ac:dyDescent="0.2">
      <c r="D90" s="13" t="s">
        <v>347</v>
      </c>
      <c r="E90" s="198"/>
      <c r="F90" s="456"/>
      <c r="G90" s="457">
        <v>0</v>
      </c>
      <c r="H90" s="458"/>
      <c r="I90" s="451"/>
      <c r="J90" s="452"/>
      <c r="K90" s="459"/>
      <c r="L90" s="457">
        <v>0</v>
      </c>
      <c r="M90" s="458"/>
      <c r="N90" s="451"/>
      <c r="O90" s="452"/>
      <c r="P90" s="459"/>
      <c r="Q90" s="457">
        <v>0</v>
      </c>
      <c r="R90" s="458"/>
      <c r="S90" s="451"/>
      <c r="T90" s="452"/>
      <c r="U90" s="459"/>
      <c r="V90" s="457">
        <v>0</v>
      </c>
      <c r="W90" s="458"/>
      <c r="X90" s="451"/>
      <c r="Y90" s="452"/>
      <c r="Z90" s="459"/>
      <c r="AA90" s="457">
        <v>0</v>
      </c>
      <c r="AB90" s="458"/>
      <c r="AC90" s="451"/>
      <c r="AD90" s="452"/>
      <c r="AE90" s="459"/>
      <c r="AF90" s="457">
        <v>0</v>
      </c>
      <c r="AG90" s="458"/>
      <c r="AH90" s="451"/>
      <c r="AI90" s="452"/>
      <c r="AJ90" s="459"/>
      <c r="AK90" s="457">
        <v>0</v>
      </c>
      <c r="AL90" s="458"/>
      <c r="AM90" s="451"/>
      <c r="AN90" s="452"/>
      <c r="AO90" s="459"/>
      <c r="AP90" s="457">
        <v>0</v>
      </c>
      <c r="AQ90" s="458"/>
      <c r="AR90" s="451"/>
      <c r="AS90" s="452"/>
      <c r="AT90" s="459"/>
      <c r="AU90" s="457">
        <v>0</v>
      </c>
      <c r="AV90" s="458"/>
      <c r="AW90" s="451"/>
      <c r="AX90" s="452"/>
      <c r="AY90" s="459"/>
      <c r="AZ90" s="457">
        <v>0</v>
      </c>
      <c r="BA90" s="458"/>
      <c r="BB90" s="451"/>
      <c r="BC90" s="452"/>
      <c r="BD90" s="459"/>
      <c r="BE90" s="457">
        <v>0</v>
      </c>
      <c r="BF90" s="458"/>
      <c r="BG90" s="451"/>
      <c r="BH90" s="452"/>
      <c r="BI90" s="459"/>
      <c r="BJ90" s="457">
        <v>0</v>
      </c>
      <c r="BK90" s="458"/>
      <c r="BL90" s="451"/>
      <c r="BM90" s="452"/>
      <c r="BN90" s="459"/>
      <c r="BO90" s="457">
        <v>0</v>
      </c>
      <c r="BP90" s="458"/>
      <c r="BQ90" s="451"/>
      <c r="BR90" s="452"/>
      <c r="BS90" s="459"/>
      <c r="BT90" s="457">
        <f>SUM(L90:BO90)</f>
        <v>0</v>
      </c>
      <c r="BU90" s="458"/>
      <c r="BV90" s="451"/>
      <c r="BW90" s="452"/>
      <c r="BX90" s="459"/>
      <c r="BY90" s="457">
        <v>0</v>
      </c>
      <c r="BZ90" s="458"/>
      <c r="CA90" s="451"/>
      <c r="CB90" s="452"/>
      <c r="CC90" s="459"/>
      <c r="CD90" s="457">
        <v>0</v>
      </c>
      <c r="CE90" s="458"/>
      <c r="CF90" s="451"/>
      <c r="CG90" s="452"/>
      <c r="CH90" s="459"/>
      <c r="CI90" s="457">
        <v>0</v>
      </c>
      <c r="CJ90" s="458"/>
      <c r="CK90" s="451"/>
      <c r="CL90" s="452"/>
      <c r="CM90" s="459"/>
      <c r="CN90" s="457">
        <v>0</v>
      </c>
      <c r="CO90" s="458"/>
      <c r="CP90" s="451"/>
      <c r="CQ90" s="452"/>
      <c r="CR90" s="459"/>
      <c r="CS90" s="457">
        <v>0</v>
      </c>
      <c r="CT90" s="458"/>
      <c r="CU90" s="451"/>
      <c r="CV90" s="452"/>
      <c r="CW90" s="459"/>
      <c r="CX90" s="457">
        <v>0</v>
      </c>
      <c r="CY90" s="458"/>
      <c r="CZ90" s="451"/>
      <c r="DA90" s="452"/>
      <c r="DB90" s="459"/>
      <c r="DC90" s="457">
        <v>0</v>
      </c>
      <c r="DD90" s="458"/>
      <c r="DE90" s="451"/>
      <c r="DF90" s="452"/>
      <c r="DG90" s="459"/>
      <c r="DH90" s="457">
        <v>0</v>
      </c>
      <c r="DI90" s="458"/>
      <c r="DJ90" s="451"/>
      <c r="DK90" s="452"/>
      <c r="DL90" s="459"/>
      <c r="DM90" s="457">
        <v>0</v>
      </c>
      <c r="DN90" s="458"/>
      <c r="DO90" s="451"/>
      <c r="DP90" s="452"/>
      <c r="DQ90" s="459"/>
      <c r="DR90" s="457">
        <v>0</v>
      </c>
      <c r="DS90" s="458"/>
      <c r="DT90" s="451"/>
      <c r="DU90" s="452"/>
      <c r="DV90" s="459"/>
      <c r="DW90" s="457">
        <v>0</v>
      </c>
      <c r="DX90" s="458"/>
      <c r="DY90" s="451"/>
      <c r="DZ90" s="452"/>
      <c r="EA90" s="459"/>
      <c r="EB90" s="457">
        <v>0</v>
      </c>
      <c r="EC90" s="458"/>
      <c r="ED90" s="451"/>
      <c r="EE90" s="452"/>
      <c r="EF90" s="459"/>
      <c r="EG90" s="457">
        <v>0</v>
      </c>
      <c r="EH90" s="458"/>
      <c r="EI90" s="451"/>
      <c r="EJ90" s="452"/>
      <c r="EK90" s="459"/>
      <c r="EL90" s="457">
        <f>SUM(CD90:DM90)</f>
        <v>0</v>
      </c>
      <c r="EM90" s="492"/>
      <c r="EO90" s="13"/>
      <c r="EP90" s="14"/>
      <c r="EQ90" s="14"/>
    </row>
    <row r="91" spans="4:147" hidden="1" x14ac:dyDescent="0.2">
      <c r="D91" s="13"/>
      <c r="E91" s="198"/>
      <c r="G91" s="451"/>
      <c r="H91" s="451"/>
      <c r="I91" s="451"/>
      <c r="J91" s="452"/>
      <c r="K91" s="451"/>
      <c r="L91" s="451"/>
      <c r="M91" s="451"/>
      <c r="N91" s="451"/>
      <c r="O91" s="452"/>
      <c r="P91" s="451"/>
      <c r="Q91" s="451"/>
      <c r="R91" s="451"/>
      <c r="S91" s="451"/>
      <c r="T91" s="452"/>
      <c r="U91" s="451"/>
      <c r="V91" s="451"/>
      <c r="W91" s="451"/>
      <c r="X91" s="451"/>
      <c r="Y91" s="452"/>
      <c r="Z91" s="451"/>
      <c r="AA91" s="451"/>
      <c r="AB91" s="451"/>
      <c r="AC91" s="451"/>
      <c r="AD91" s="452"/>
      <c r="AE91" s="451"/>
      <c r="AF91" s="451"/>
      <c r="AG91" s="451"/>
      <c r="AH91" s="451"/>
      <c r="AI91" s="452"/>
      <c r="AJ91" s="451"/>
      <c r="AK91" s="451"/>
      <c r="AL91" s="451"/>
      <c r="AM91" s="451"/>
      <c r="AN91" s="452"/>
      <c r="AO91" s="451"/>
      <c r="AP91" s="451"/>
      <c r="AQ91" s="451"/>
      <c r="AR91" s="451"/>
      <c r="AS91" s="452"/>
      <c r="AT91" s="451"/>
      <c r="AU91" s="451"/>
      <c r="AV91" s="451"/>
      <c r="AW91" s="451"/>
      <c r="AX91" s="452"/>
      <c r="AY91" s="451"/>
      <c r="AZ91" s="451"/>
      <c r="BA91" s="451"/>
      <c r="BB91" s="451"/>
      <c r="BC91" s="452"/>
      <c r="BD91" s="451"/>
      <c r="BE91" s="451"/>
      <c r="BF91" s="451"/>
      <c r="BG91" s="451"/>
      <c r="BH91" s="452"/>
      <c r="BI91" s="451"/>
      <c r="BJ91" s="451"/>
      <c r="BK91" s="451"/>
      <c r="BL91" s="451"/>
      <c r="BM91" s="452"/>
      <c r="BN91" s="451"/>
      <c r="BO91" s="451"/>
      <c r="BP91" s="451"/>
      <c r="BQ91" s="451"/>
      <c r="BR91" s="452"/>
      <c r="BS91" s="451"/>
      <c r="BT91" s="451"/>
      <c r="BU91" s="451"/>
      <c r="BV91" s="451"/>
      <c r="BW91" s="452"/>
      <c r="BX91" s="451"/>
      <c r="BY91" s="451"/>
      <c r="BZ91" s="451"/>
      <c r="CA91" s="451"/>
      <c r="CB91" s="452"/>
      <c r="CC91" s="451"/>
      <c r="CD91" s="451"/>
      <c r="CE91" s="451"/>
      <c r="CF91" s="451"/>
      <c r="CG91" s="452"/>
      <c r="CH91" s="451"/>
      <c r="CI91" s="451"/>
      <c r="CJ91" s="451"/>
      <c r="CK91" s="451"/>
      <c r="CL91" s="452"/>
      <c r="CM91" s="451"/>
      <c r="CN91" s="451"/>
      <c r="CO91" s="451"/>
      <c r="CP91" s="451"/>
      <c r="CQ91" s="452"/>
      <c r="CR91" s="451"/>
      <c r="CS91" s="451"/>
      <c r="CT91" s="451"/>
      <c r="CU91" s="451"/>
      <c r="CV91" s="452"/>
      <c r="CW91" s="451"/>
      <c r="CX91" s="451"/>
      <c r="CY91" s="451"/>
      <c r="CZ91" s="451"/>
      <c r="DA91" s="452"/>
      <c r="DB91" s="451"/>
      <c r="DC91" s="451"/>
      <c r="DD91" s="451"/>
      <c r="DE91" s="451"/>
      <c r="DF91" s="452"/>
      <c r="DG91" s="451"/>
      <c r="DH91" s="451"/>
      <c r="DI91" s="451"/>
      <c r="DJ91" s="451"/>
      <c r="DK91" s="452"/>
      <c r="DL91" s="451"/>
      <c r="DM91" s="451"/>
      <c r="DN91" s="451"/>
      <c r="DO91" s="451"/>
      <c r="DP91" s="452"/>
      <c r="DQ91" s="451"/>
      <c r="DR91" s="451"/>
      <c r="DS91" s="451"/>
      <c r="DT91" s="451"/>
      <c r="DU91" s="452"/>
      <c r="DV91" s="451"/>
      <c r="DW91" s="451"/>
      <c r="DX91" s="451"/>
      <c r="DY91" s="451"/>
      <c r="DZ91" s="452"/>
      <c r="EA91" s="451"/>
      <c r="EB91" s="451"/>
      <c r="EC91" s="451"/>
      <c r="ED91" s="451"/>
      <c r="EE91" s="452"/>
      <c r="EF91" s="451"/>
      <c r="EG91" s="451"/>
      <c r="EH91" s="451"/>
      <c r="EI91" s="451"/>
      <c r="EJ91" s="452"/>
      <c r="EK91" s="451"/>
      <c r="EL91" s="451"/>
      <c r="EO91" s="13"/>
      <c r="EP91" s="14"/>
      <c r="EQ91" s="14"/>
    </row>
    <row r="92" spans="4:147" hidden="1" x14ac:dyDescent="0.2">
      <c r="D92" s="13" t="str">
        <f>[31]domlongtermissues!D309</f>
        <v xml:space="preserve">  R210 (2.60%  2028/03/31)</v>
      </c>
      <c r="E92" s="198"/>
      <c r="G92" s="451">
        <f>SUM(G93:G93)</f>
        <v>0</v>
      </c>
      <c r="H92" s="451"/>
      <c r="I92" s="451"/>
      <c r="J92" s="452"/>
      <c r="K92" s="451"/>
      <c r="L92" s="451">
        <f>SUM(L93:L93)</f>
        <v>0</v>
      </c>
      <c r="M92" s="451"/>
      <c r="N92" s="451"/>
      <c r="O92" s="452"/>
      <c r="P92" s="451"/>
      <c r="Q92" s="451">
        <f>SUM(Q93:Q93)</f>
        <v>0</v>
      </c>
      <c r="R92" s="451"/>
      <c r="S92" s="451"/>
      <c r="T92" s="452"/>
      <c r="U92" s="451"/>
      <c r="V92" s="451">
        <f>SUM(V93:V93)</f>
        <v>0</v>
      </c>
      <c r="W92" s="451"/>
      <c r="X92" s="451"/>
      <c r="Y92" s="452"/>
      <c r="Z92" s="451"/>
      <c r="AA92" s="451">
        <f>SUM(AA93:AA93)</f>
        <v>0</v>
      </c>
      <c r="AB92" s="451"/>
      <c r="AC92" s="451"/>
      <c r="AD92" s="452"/>
      <c r="AE92" s="451"/>
      <c r="AF92" s="451">
        <f>SUM(AF93:AF93)</f>
        <v>0</v>
      </c>
      <c r="AG92" s="451"/>
      <c r="AH92" s="451"/>
      <c r="AI92" s="452"/>
      <c r="AJ92" s="451"/>
      <c r="AK92" s="451">
        <f>SUM(AK93:AK93)</f>
        <v>0</v>
      </c>
      <c r="AL92" s="451"/>
      <c r="AM92" s="451"/>
      <c r="AN92" s="452"/>
      <c r="AO92" s="451"/>
      <c r="AP92" s="451">
        <f>SUM(AP93:AP93)</f>
        <v>0</v>
      </c>
      <c r="AQ92" s="451"/>
      <c r="AR92" s="451"/>
      <c r="AS92" s="452"/>
      <c r="AT92" s="451"/>
      <c r="AU92" s="451">
        <f>SUM(AU93:AU93)</f>
        <v>0</v>
      </c>
      <c r="AV92" s="451"/>
      <c r="AW92" s="451"/>
      <c r="AX92" s="452"/>
      <c r="AY92" s="451"/>
      <c r="AZ92" s="451">
        <f>SUM(AZ93:AZ93)</f>
        <v>0</v>
      </c>
      <c r="BA92" s="451"/>
      <c r="BB92" s="451"/>
      <c r="BC92" s="452"/>
      <c r="BD92" s="451"/>
      <c r="BE92" s="451">
        <f>SUM(BE93:BE93)</f>
        <v>0</v>
      </c>
      <c r="BF92" s="451"/>
      <c r="BG92" s="451"/>
      <c r="BH92" s="452"/>
      <c r="BI92" s="451"/>
      <c r="BJ92" s="451">
        <f>SUM(BJ93:BJ93)</f>
        <v>0</v>
      </c>
      <c r="BK92" s="451"/>
      <c r="BL92" s="451"/>
      <c r="BM92" s="452"/>
      <c r="BN92" s="451"/>
      <c r="BO92" s="451">
        <f>SUM(BO93:BO93)</f>
        <v>0</v>
      </c>
      <c r="BP92" s="451"/>
      <c r="BQ92" s="451"/>
      <c r="BR92" s="452"/>
      <c r="BS92" s="451"/>
      <c r="BT92" s="451">
        <f>SUM(BT93:BT93)</f>
        <v>0</v>
      </c>
      <c r="BU92" s="451"/>
      <c r="BV92" s="451"/>
      <c r="BW92" s="452"/>
      <c r="BX92" s="451"/>
      <c r="BY92" s="451">
        <f>SUM(BY93:BY93)</f>
        <v>0</v>
      </c>
      <c r="BZ92" s="451"/>
      <c r="CA92" s="451"/>
      <c r="CB92" s="452"/>
      <c r="CC92" s="451"/>
      <c r="CD92" s="451">
        <f>SUM(CD93:CD93)</f>
        <v>0</v>
      </c>
      <c r="CE92" s="451"/>
      <c r="CF92" s="451"/>
      <c r="CG92" s="452"/>
      <c r="CH92" s="451"/>
      <c r="CI92" s="451">
        <f>SUM(CI93:CI93)</f>
        <v>0</v>
      </c>
      <c r="CJ92" s="451"/>
      <c r="CK92" s="451"/>
      <c r="CL92" s="452"/>
      <c r="CM92" s="451"/>
      <c r="CN92" s="451">
        <f>SUM(CN93:CN93)</f>
        <v>0</v>
      </c>
      <c r="CO92" s="451"/>
      <c r="CP92" s="451"/>
      <c r="CQ92" s="452"/>
      <c r="CR92" s="451"/>
      <c r="CS92" s="451">
        <f>SUM(CS93:CS93)</f>
        <v>0</v>
      </c>
      <c r="CT92" s="451"/>
      <c r="CU92" s="451"/>
      <c r="CV92" s="452"/>
      <c r="CW92" s="451"/>
      <c r="CX92" s="451">
        <f>SUM(CX93:CX93)</f>
        <v>0</v>
      </c>
      <c r="CY92" s="451"/>
      <c r="CZ92" s="451"/>
      <c r="DA92" s="452"/>
      <c r="DB92" s="451"/>
      <c r="DC92" s="451">
        <f>SUM(DC93:DC93)</f>
        <v>0</v>
      </c>
      <c r="DD92" s="451"/>
      <c r="DE92" s="451"/>
      <c r="DF92" s="452"/>
      <c r="DG92" s="451"/>
      <c r="DH92" s="451">
        <f>SUM(DH93:DH93)</f>
        <v>0</v>
      </c>
      <c r="DI92" s="451"/>
      <c r="DJ92" s="451"/>
      <c r="DK92" s="452"/>
      <c r="DL92" s="451"/>
      <c r="DM92" s="451">
        <f>SUM(DM93:DM93)</f>
        <v>0</v>
      </c>
      <c r="DN92" s="451"/>
      <c r="DO92" s="451"/>
      <c r="DP92" s="452"/>
      <c r="DQ92" s="451"/>
      <c r="DR92" s="451">
        <f>SUM(DR93:DR93)</f>
        <v>0</v>
      </c>
      <c r="DS92" s="451"/>
      <c r="DT92" s="451"/>
      <c r="DU92" s="452"/>
      <c r="DV92" s="451"/>
      <c r="DW92" s="451">
        <f>SUM(DW93:DW93)</f>
        <v>0</v>
      </c>
      <c r="DX92" s="451"/>
      <c r="DY92" s="451"/>
      <c r="DZ92" s="452"/>
      <c r="EA92" s="451"/>
      <c r="EB92" s="451">
        <f>SUM(EB93:EB93)</f>
        <v>0</v>
      </c>
      <c r="EC92" s="451"/>
      <c r="ED92" s="451"/>
      <c r="EE92" s="452"/>
      <c r="EF92" s="451"/>
      <c r="EG92" s="451">
        <f>SUM(EG93:EG93)</f>
        <v>0</v>
      </c>
      <c r="EH92" s="451"/>
      <c r="EI92" s="451"/>
      <c r="EJ92" s="452"/>
      <c r="EK92" s="451"/>
      <c r="EL92" s="451">
        <f>SUM(EL93:EL93)</f>
        <v>0</v>
      </c>
      <c r="EO92" s="13"/>
      <c r="EP92" s="14"/>
      <c r="EQ92" s="14"/>
    </row>
    <row r="93" spans="4:147" hidden="1" x14ac:dyDescent="0.2">
      <c r="D93" s="13" t="s">
        <v>347</v>
      </c>
      <c r="E93" s="198"/>
      <c r="F93" s="456"/>
      <c r="G93" s="457">
        <v>0</v>
      </c>
      <c r="H93" s="458"/>
      <c r="I93" s="451"/>
      <c r="J93" s="452"/>
      <c r="K93" s="459"/>
      <c r="L93" s="457">
        <v>0</v>
      </c>
      <c r="M93" s="458"/>
      <c r="N93" s="451"/>
      <c r="O93" s="452"/>
      <c r="P93" s="459"/>
      <c r="Q93" s="457">
        <v>0</v>
      </c>
      <c r="R93" s="458"/>
      <c r="S93" s="451"/>
      <c r="T93" s="452"/>
      <c r="U93" s="459"/>
      <c r="V93" s="457">
        <v>0</v>
      </c>
      <c r="W93" s="458"/>
      <c r="X93" s="451"/>
      <c r="Y93" s="452"/>
      <c r="Z93" s="459"/>
      <c r="AA93" s="457">
        <v>0</v>
      </c>
      <c r="AB93" s="458"/>
      <c r="AC93" s="451"/>
      <c r="AD93" s="452"/>
      <c r="AE93" s="459"/>
      <c r="AF93" s="457">
        <v>0</v>
      </c>
      <c r="AG93" s="458"/>
      <c r="AH93" s="451"/>
      <c r="AI93" s="452"/>
      <c r="AJ93" s="459"/>
      <c r="AK93" s="457">
        <v>0</v>
      </c>
      <c r="AL93" s="458"/>
      <c r="AM93" s="451"/>
      <c r="AN93" s="452"/>
      <c r="AO93" s="459"/>
      <c r="AP93" s="457">
        <v>0</v>
      </c>
      <c r="AQ93" s="458"/>
      <c r="AR93" s="451"/>
      <c r="AS93" s="452"/>
      <c r="AT93" s="459"/>
      <c r="AU93" s="457">
        <v>0</v>
      </c>
      <c r="AV93" s="458"/>
      <c r="AW93" s="451"/>
      <c r="AX93" s="452"/>
      <c r="AY93" s="459"/>
      <c r="AZ93" s="457">
        <v>0</v>
      </c>
      <c r="BA93" s="458"/>
      <c r="BB93" s="451"/>
      <c r="BC93" s="452"/>
      <c r="BD93" s="459"/>
      <c r="BE93" s="457">
        <v>0</v>
      </c>
      <c r="BF93" s="458"/>
      <c r="BG93" s="451"/>
      <c r="BH93" s="452"/>
      <c r="BI93" s="459"/>
      <c r="BJ93" s="457">
        <v>0</v>
      </c>
      <c r="BK93" s="458"/>
      <c r="BL93" s="451"/>
      <c r="BM93" s="452"/>
      <c r="BN93" s="459"/>
      <c r="BO93" s="457">
        <v>0</v>
      </c>
      <c r="BP93" s="458"/>
      <c r="BQ93" s="451"/>
      <c r="BR93" s="452"/>
      <c r="BS93" s="459"/>
      <c r="BT93" s="457">
        <f>SUM(L93:BO93)</f>
        <v>0</v>
      </c>
      <c r="BU93" s="458"/>
      <c r="BV93" s="451"/>
      <c r="BW93" s="452"/>
      <c r="BX93" s="459"/>
      <c r="BY93" s="457">
        <v>0</v>
      </c>
      <c r="BZ93" s="458"/>
      <c r="CA93" s="451"/>
      <c r="CB93" s="452"/>
      <c r="CC93" s="459"/>
      <c r="CD93" s="457">
        <v>0</v>
      </c>
      <c r="CE93" s="458"/>
      <c r="CF93" s="451"/>
      <c r="CG93" s="452"/>
      <c r="CH93" s="459"/>
      <c r="CI93" s="457">
        <v>0</v>
      </c>
      <c r="CJ93" s="458"/>
      <c r="CK93" s="451"/>
      <c r="CL93" s="452"/>
      <c r="CM93" s="459"/>
      <c r="CN93" s="457">
        <v>0</v>
      </c>
      <c r="CO93" s="458"/>
      <c r="CP93" s="451"/>
      <c r="CQ93" s="452"/>
      <c r="CR93" s="459"/>
      <c r="CS93" s="457">
        <v>0</v>
      </c>
      <c r="CT93" s="458"/>
      <c r="CU93" s="451"/>
      <c r="CV93" s="452"/>
      <c r="CW93" s="459"/>
      <c r="CX93" s="457">
        <v>0</v>
      </c>
      <c r="CY93" s="458"/>
      <c r="CZ93" s="451"/>
      <c r="DA93" s="452"/>
      <c r="DB93" s="459"/>
      <c r="DC93" s="457">
        <v>0</v>
      </c>
      <c r="DD93" s="458"/>
      <c r="DE93" s="451"/>
      <c r="DF93" s="452"/>
      <c r="DG93" s="459"/>
      <c r="DH93" s="457">
        <v>0</v>
      </c>
      <c r="DI93" s="458"/>
      <c r="DJ93" s="451"/>
      <c r="DK93" s="452"/>
      <c r="DL93" s="459"/>
      <c r="DM93" s="457">
        <v>0</v>
      </c>
      <c r="DN93" s="458"/>
      <c r="DO93" s="451"/>
      <c r="DP93" s="452"/>
      <c r="DQ93" s="459"/>
      <c r="DR93" s="457">
        <v>0</v>
      </c>
      <c r="DS93" s="458"/>
      <c r="DT93" s="451"/>
      <c r="DU93" s="452"/>
      <c r="DV93" s="459"/>
      <c r="DW93" s="457">
        <v>0</v>
      </c>
      <c r="DX93" s="458"/>
      <c r="DY93" s="451"/>
      <c r="DZ93" s="452"/>
      <c r="EA93" s="459"/>
      <c r="EB93" s="457">
        <v>0</v>
      </c>
      <c r="EC93" s="458"/>
      <c r="ED93" s="451"/>
      <c r="EE93" s="452"/>
      <c r="EF93" s="459"/>
      <c r="EG93" s="457">
        <v>0</v>
      </c>
      <c r="EH93" s="458"/>
      <c r="EI93" s="451"/>
      <c r="EJ93" s="452"/>
      <c r="EK93" s="459"/>
      <c r="EL93" s="457">
        <f>SUM(CD93:DM93)</f>
        <v>0</v>
      </c>
      <c r="EM93" s="492"/>
      <c r="EO93" s="13"/>
      <c r="EP93" s="14"/>
      <c r="EQ93" s="14"/>
    </row>
    <row r="94" spans="4:147" hidden="1" x14ac:dyDescent="0.2">
      <c r="D94" s="13"/>
      <c r="E94" s="198"/>
      <c r="G94" s="451"/>
      <c r="H94" s="451"/>
      <c r="I94" s="451"/>
      <c r="J94" s="452"/>
      <c r="K94" s="451"/>
      <c r="L94" s="451"/>
      <c r="M94" s="451"/>
      <c r="N94" s="451"/>
      <c r="O94" s="452"/>
      <c r="P94" s="451"/>
      <c r="Q94" s="451"/>
      <c r="R94" s="451"/>
      <c r="S94" s="451"/>
      <c r="T94" s="452"/>
      <c r="U94" s="451"/>
      <c r="V94" s="451"/>
      <c r="W94" s="451"/>
      <c r="X94" s="451"/>
      <c r="Y94" s="452"/>
      <c r="Z94" s="451"/>
      <c r="AA94" s="451"/>
      <c r="AB94" s="451"/>
      <c r="AC94" s="451"/>
      <c r="AD94" s="452"/>
      <c r="AE94" s="451"/>
      <c r="AF94" s="451"/>
      <c r="AG94" s="451"/>
      <c r="AH94" s="451"/>
      <c r="AI94" s="452"/>
      <c r="AJ94" s="451"/>
      <c r="AK94" s="451"/>
      <c r="AL94" s="451"/>
      <c r="AM94" s="451"/>
      <c r="AN94" s="452"/>
      <c r="AO94" s="451"/>
      <c r="AP94" s="451"/>
      <c r="AQ94" s="451"/>
      <c r="AR94" s="451"/>
      <c r="AS94" s="452"/>
      <c r="AT94" s="451"/>
      <c r="AU94" s="451"/>
      <c r="AV94" s="451"/>
      <c r="AW94" s="451"/>
      <c r="AX94" s="452"/>
      <c r="AY94" s="451"/>
      <c r="AZ94" s="451"/>
      <c r="BA94" s="451"/>
      <c r="BB94" s="451"/>
      <c r="BC94" s="452"/>
      <c r="BD94" s="451"/>
      <c r="BE94" s="451"/>
      <c r="BF94" s="451"/>
      <c r="BG94" s="451"/>
      <c r="BH94" s="452"/>
      <c r="BI94" s="451"/>
      <c r="BJ94" s="451"/>
      <c r="BK94" s="451"/>
      <c r="BL94" s="451"/>
      <c r="BM94" s="452"/>
      <c r="BN94" s="451"/>
      <c r="BO94" s="451"/>
      <c r="BP94" s="451"/>
      <c r="BQ94" s="451"/>
      <c r="BR94" s="452"/>
      <c r="BS94" s="451"/>
      <c r="BT94" s="451"/>
      <c r="BU94" s="451"/>
      <c r="BV94" s="451"/>
      <c r="BW94" s="452"/>
      <c r="BX94" s="451"/>
      <c r="BY94" s="451"/>
      <c r="BZ94" s="451"/>
      <c r="CA94" s="451"/>
      <c r="CB94" s="452"/>
      <c r="CC94" s="451"/>
      <c r="CD94" s="451"/>
      <c r="CE94" s="451"/>
      <c r="CF94" s="451"/>
      <c r="CG94" s="452"/>
      <c r="CH94" s="451"/>
      <c r="CI94" s="451"/>
      <c r="CJ94" s="451"/>
      <c r="CK94" s="451"/>
      <c r="CL94" s="452"/>
      <c r="CM94" s="451"/>
      <c r="CN94" s="451"/>
      <c r="CO94" s="451"/>
      <c r="CP94" s="451"/>
      <c r="CQ94" s="452"/>
      <c r="CR94" s="451"/>
      <c r="CS94" s="451"/>
      <c r="CT94" s="451"/>
      <c r="CU94" s="451"/>
      <c r="CV94" s="452"/>
      <c r="CW94" s="451"/>
      <c r="CX94" s="451"/>
      <c r="CY94" s="451"/>
      <c r="CZ94" s="451"/>
      <c r="DA94" s="452"/>
      <c r="DB94" s="451"/>
      <c r="DC94" s="451"/>
      <c r="DD94" s="451"/>
      <c r="DE94" s="451"/>
      <c r="DF94" s="452"/>
      <c r="DG94" s="451"/>
      <c r="DH94" s="451"/>
      <c r="DI94" s="451"/>
      <c r="DJ94" s="451"/>
      <c r="DK94" s="452"/>
      <c r="DL94" s="451"/>
      <c r="DM94" s="451"/>
      <c r="DN94" s="451"/>
      <c r="DO94" s="451"/>
      <c r="DP94" s="452"/>
      <c r="DQ94" s="451"/>
      <c r="DR94" s="451"/>
      <c r="DS94" s="451"/>
      <c r="DT94" s="451"/>
      <c r="DU94" s="452"/>
      <c r="DV94" s="451"/>
      <c r="DW94" s="451"/>
      <c r="DX94" s="451"/>
      <c r="DY94" s="451"/>
      <c r="DZ94" s="452"/>
      <c r="EA94" s="451"/>
      <c r="EB94" s="451"/>
      <c r="EC94" s="451"/>
      <c r="ED94" s="451"/>
      <c r="EE94" s="452"/>
      <c r="EF94" s="451"/>
      <c r="EG94" s="451"/>
      <c r="EH94" s="451"/>
      <c r="EI94" s="451"/>
      <c r="EJ94" s="452"/>
      <c r="EK94" s="451"/>
      <c r="EL94" s="451"/>
      <c r="EO94" s="13"/>
      <c r="EP94" s="14"/>
      <c r="EQ94" s="14"/>
    </row>
    <row r="95" spans="4:147" ht="12.75" hidden="1" customHeight="1" x14ac:dyDescent="0.2">
      <c r="D95" s="461" t="s">
        <v>412</v>
      </c>
      <c r="E95" s="198"/>
      <c r="G95" s="451">
        <f>SUM(G96:G96)</f>
        <v>0</v>
      </c>
      <c r="H95" s="446"/>
      <c r="I95" s="446"/>
      <c r="J95" s="447"/>
      <c r="K95" s="446"/>
      <c r="L95" s="451">
        <f>SUM(L96:L96)</f>
        <v>0</v>
      </c>
      <c r="M95" s="451"/>
      <c r="N95" s="451"/>
      <c r="O95" s="452"/>
      <c r="P95" s="451"/>
      <c r="Q95" s="451">
        <f>SUM(Q96:Q96)</f>
        <v>0</v>
      </c>
      <c r="R95" s="451"/>
      <c r="S95" s="451"/>
      <c r="T95" s="452"/>
      <c r="U95" s="451"/>
      <c r="V95" s="451">
        <f>SUM(V96:V96)</f>
        <v>0</v>
      </c>
      <c r="W95" s="451"/>
      <c r="X95" s="451"/>
      <c r="Y95" s="452"/>
      <c r="Z95" s="451"/>
      <c r="AA95" s="451">
        <f>SUM(AA96:AA96)</f>
        <v>0</v>
      </c>
      <c r="AB95" s="451"/>
      <c r="AC95" s="451"/>
      <c r="AD95" s="452"/>
      <c r="AE95" s="451"/>
      <c r="AF95" s="451">
        <f>SUM(AF96:AF96)</f>
        <v>0</v>
      </c>
      <c r="AG95" s="451"/>
      <c r="AH95" s="451"/>
      <c r="AI95" s="452"/>
      <c r="AJ95" s="451"/>
      <c r="AK95" s="451">
        <f>SUM(AK96:AK96)</f>
        <v>0</v>
      </c>
      <c r="AL95" s="451"/>
      <c r="AM95" s="451"/>
      <c r="AN95" s="452"/>
      <c r="AO95" s="451"/>
      <c r="AP95" s="451">
        <f>SUM(AP96:AP96)</f>
        <v>0</v>
      </c>
      <c r="AQ95" s="451"/>
      <c r="AR95" s="451"/>
      <c r="AS95" s="452"/>
      <c r="AT95" s="451"/>
      <c r="AU95" s="451">
        <f>SUM(AU96:AU96)</f>
        <v>0</v>
      </c>
      <c r="AV95" s="451"/>
      <c r="AW95" s="451"/>
      <c r="AX95" s="452"/>
      <c r="AY95" s="451"/>
      <c r="AZ95" s="451">
        <f>SUM(AZ96:AZ96)</f>
        <v>0</v>
      </c>
      <c r="BA95" s="451"/>
      <c r="BB95" s="451"/>
      <c r="BC95" s="452"/>
      <c r="BD95" s="451"/>
      <c r="BE95" s="451">
        <f>SUM(BE96:BE96)</f>
        <v>0</v>
      </c>
      <c r="BF95" s="451"/>
      <c r="BG95" s="451"/>
      <c r="BH95" s="452"/>
      <c r="BI95" s="451"/>
      <c r="BJ95" s="451">
        <f>SUM(BJ96:BJ96)</f>
        <v>0</v>
      </c>
      <c r="BK95" s="451"/>
      <c r="BL95" s="451"/>
      <c r="BM95" s="452"/>
      <c r="BN95" s="451"/>
      <c r="BO95" s="451">
        <f>SUM(BO96:BO96)</f>
        <v>0</v>
      </c>
      <c r="BP95" s="451"/>
      <c r="BQ95" s="451"/>
      <c r="BR95" s="452"/>
      <c r="BS95" s="451"/>
      <c r="BT95" s="451">
        <f>SUM(BT96:BT96)</f>
        <v>0</v>
      </c>
      <c r="BU95" s="451"/>
      <c r="BV95" s="451"/>
      <c r="BW95" s="452"/>
      <c r="BX95" s="451"/>
      <c r="BY95" s="451">
        <f>SUM(BY96:BY96)</f>
        <v>0</v>
      </c>
      <c r="BZ95" s="446"/>
      <c r="CA95" s="446"/>
      <c r="CB95" s="447"/>
      <c r="CC95" s="446"/>
      <c r="CD95" s="451">
        <f>SUM(CD96:CD96)</f>
        <v>0</v>
      </c>
      <c r="CE95" s="451"/>
      <c r="CF95" s="451"/>
      <c r="CG95" s="452"/>
      <c r="CH95" s="451"/>
      <c r="CI95" s="451">
        <f>SUM(CI96:CI96)</f>
        <v>0</v>
      </c>
      <c r="CJ95" s="451"/>
      <c r="CK95" s="451"/>
      <c r="CL95" s="452"/>
      <c r="CM95" s="451"/>
      <c r="CN95" s="451">
        <f>SUM(CN96:CN96)</f>
        <v>0</v>
      </c>
      <c r="CO95" s="451"/>
      <c r="CP95" s="451"/>
      <c r="CQ95" s="452"/>
      <c r="CR95" s="451"/>
      <c r="CS95" s="451">
        <f>SUM(CS96:CS96)</f>
        <v>0</v>
      </c>
      <c r="CT95" s="451"/>
      <c r="CU95" s="451"/>
      <c r="CV95" s="452"/>
      <c r="CW95" s="451"/>
      <c r="CX95" s="451">
        <f>SUM(CX96:CX96)</f>
        <v>0</v>
      </c>
      <c r="CY95" s="451"/>
      <c r="CZ95" s="451"/>
      <c r="DA95" s="452"/>
      <c r="DB95" s="451"/>
      <c r="DC95" s="451">
        <f>SUM(DC96:DC96)</f>
        <v>0</v>
      </c>
      <c r="DD95" s="451"/>
      <c r="DE95" s="451"/>
      <c r="DF95" s="452"/>
      <c r="DG95" s="451"/>
      <c r="DH95" s="451">
        <f>SUM(DH96:DH96)</f>
        <v>0</v>
      </c>
      <c r="DI95" s="451"/>
      <c r="DJ95" s="451"/>
      <c r="DK95" s="452"/>
      <c r="DL95" s="451"/>
      <c r="DM95" s="451">
        <f>SUM(DM96:DM96)</f>
        <v>0</v>
      </c>
      <c r="DN95" s="451"/>
      <c r="DO95" s="451"/>
      <c r="DP95" s="452"/>
      <c r="DQ95" s="451"/>
      <c r="DR95" s="451">
        <f>SUM(DR96:DR96)</f>
        <v>0</v>
      </c>
      <c r="DS95" s="451"/>
      <c r="DT95" s="451"/>
      <c r="DU95" s="452"/>
      <c r="DV95" s="451"/>
      <c r="DW95" s="451">
        <f>SUM(DW96:DW96)</f>
        <v>0</v>
      </c>
      <c r="DX95" s="451"/>
      <c r="DY95" s="451"/>
      <c r="DZ95" s="452"/>
      <c r="EA95" s="451"/>
      <c r="EB95" s="451">
        <f>SUM(EB96:EB96)</f>
        <v>0</v>
      </c>
      <c r="EC95" s="451"/>
      <c r="ED95" s="451"/>
      <c r="EE95" s="452"/>
      <c r="EF95" s="451"/>
      <c r="EG95" s="451">
        <f>SUM(EG96:EG96)</f>
        <v>0</v>
      </c>
      <c r="EH95" s="451"/>
      <c r="EI95" s="451"/>
      <c r="EJ95" s="452"/>
      <c r="EK95" s="451"/>
      <c r="EL95" s="451">
        <f>SUM(EL96:EL96)</f>
        <v>0</v>
      </c>
      <c r="EM95" s="451"/>
      <c r="EN95" s="451"/>
      <c r="EO95" s="13"/>
      <c r="EP95" s="14"/>
      <c r="EQ95" s="14"/>
    </row>
    <row r="96" spans="4:147" ht="12.75" hidden="1" customHeight="1" x14ac:dyDescent="0.2">
      <c r="D96" s="13" t="s">
        <v>347</v>
      </c>
      <c r="E96" s="198"/>
      <c r="F96" s="456"/>
      <c r="G96" s="457">
        <v>0</v>
      </c>
      <c r="H96" s="458"/>
      <c r="I96" s="451"/>
      <c r="J96" s="452"/>
      <c r="K96" s="459"/>
      <c r="L96" s="457">
        <v>0</v>
      </c>
      <c r="M96" s="458"/>
      <c r="N96" s="451"/>
      <c r="O96" s="452"/>
      <c r="P96" s="459"/>
      <c r="Q96" s="457">
        <v>0</v>
      </c>
      <c r="R96" s="458"/>
      <c r="S96" s="451"/>
      <c r="T96" s="452"/>
      <c r="U96" s="459"/>
      <c r="V96" s="457">
        <v>0</v>
      </c>
      <c r="W96" s="458"/>
      <c r="X96" s="451"/>
      <c r="Y96" s="452"/>
      <c r="Z96" s="459"/>
      <c r="AA96" s="457">
        <v>0</v>
      </c>
      <c r="AB96" s="458"/>
      <c r="AC96" s="451"/>
      <c r="AD96" s="452"/>
      <c r="AE96" s="459"/>
      <c r="AF96" s="457">
        <v>0</v>
      </c>
      <c r="AG96" s="458"/>
      <c r="AH96" s="451"/>
      <c r="AI96" s="452"/>
      <c r="AJ96" s="459"/>
      <c r="AK96" s="457">
        <v>0</v>
      </c>
      <c r="AL96" s="458"/>
      <c r="AM96" s="451"/>
      <c r="AN96" s="452"/>
      <c r="AO96" s="459"/>
      <c r="AP96" s="457">
        <v>0</v>
      </c>
      <c r="AQ96" s="458"/>
      <c r="AR96" s="451"/>
      <c r="AS96" s="452"/>
      <c r="AT96" s="459"/>
      <c r="AU96" s="457">
        <v>0</v>
      </c>
      <c r="AV96" s="458"/>
      <c r="AW96" s="451"/>
      <c r="AX96" s="452"/>
      <c r="AY96" s="459"/>
      <c r="AZ96" s="457">
        <v>0</v>
      </c>
      <c r="BA96" s="458"/>
      <c r="BB96" s="451"/>
      <c r="BC96" s="452"/>
      <c r="BD96" s="459"/>
      <c r="BE96" s="457">
        <v>0</v>
      </c>
      <c r="BF96" s="458"/>
      <c r="BG96" s="451"/>
      <c r="BH96" s="452"/>
      <c r="BI96" s="459"/>
      <c r="BJ96" s="457">
        <v>0</v>
      </c>
      <c r="BK96" s="458"/>
      <c r="BL96" s="451"/>
      <c r="BM96" s="452"/>
      <c r="BN96" s="459"/>
      <c r="BO96" s="457">
        <v>0</v>
      </c>
      <c r="BP96" s="458"/>
      <c r="BQ96" s="451"/>
      <c r="BR96" s="452"/>
      <c r="BS96" s="459"/>
      <c r="BT96" s="457">
        <f>SUM(L96:BO96)</f>
        <v>0</v>
      </c>
      <c r="BU96" s="458"/>
      <c r="BV96" s="451"/>
      <c r="BW96" s="452"/>
      <c r="BX96" s="459"/>
      <c r="BY96" s="457">
        <v>0</v>
      </c>
      <c r="BZ96" s="458"/>
      <c r="CA96" s="451"/>
      <c r="CB96" s="452"/>
      <c r="CC96" s="459"/>
      <c r="CD96" s="457">
        <v>0</v>
      </c>
      <c r="CE96" s="458"/>
      <c r="CF96" s="451"/>
      <c r="CG96" s="452"/>
      <c r="CH96" s="459"/>
      <c r="CI96" s="457">
        <v>0</v>
      </c>
      <c r="CJ96" s="458"/>
      <c r="CK96" s="451"/>
      <c r="CL96" s="452"/>
      <c r="CM96" s="459"/>
      <c r="CN96" s="457">
        <v>0</v>
      </c>
      <c r="CO96" s="458"/>
      <c r="CP96" s="451"/>
      <c r="CQ96" s="452"/>
      <c r="CR96" s="459"/>
      <c r="CS96" s="457">
        <v>0</v>
      </c>
      <c r="CT96" s="458"/>
      <c r="CU96" s="451"/>
      <c r="CV96" s="452"/>
      <c r="CW96" s="459"/>
      <c r="CX96" s="457">
        <v>0</v>
      </c>
      <c r="CY96" s="458"/>
      <c r="CZ96" s="451"/>
      <c r="DA96" s="452"/>
      <c r="DB96" s="459"/>
      <c r="DC96" s="457">
        <v>0</v>
      </c>
      <c r="DD96" s="458"/>
      <c r="DE96" s="451"/>
      <c r="DF96" s="452"/>
      <c r="DG96" s="459"/>
      <c r="DH96" s="457">
        <v>0</v>
      </c>
      <c r="DI96" s="458"/>
      <c r="DJ96" s="451"/>
      <c r="DK96" s="452"/>
      <c r="DL96" s="459"/>
      <c r="DM96" s="457">
        <v>0</v>
      </c>
      <c r="DN96" s="458"/>
      <c r="DO96" s="451"/>
      <c r="DP96" s="452"/>
      <c r="DQ96" s="459"/>
      <c r="DR96" s="457">
        <v>0</v>
      </c>
      <c r="DS96" s="458"/>
      <c r="DT96" s="451"/>
      <c r="DU96" s="452"/>
      <c r="DV96" s="459"/>
      <c r="DW96" s="457">
        <v>0</v>
      </c>
      <c r="DX96" s="458"/>
      <c r="DY96" s="451"/>
      <c r="DZ96" s="452"/>
      <c r="EA96" s="459"/>
      <c r="EB96" s="457">
        <v>0</v>
      </c>
      <c r="EC96" s="458"/>
      <c r="ED96" s="451"/>
      <c r="EE96" s="452"/>
      <c r="EF96" s="459"/>
      <c r="EG96" s="457">
        <v>0</v>
      </c>
      <c r="EH96" s="458"/>
      <c r="EI96" s="451"/>
      <c r="EJ96" s="452"/>
      <c r="EK96" s="459"/>
      <c r="EL96" s="457">
        <f>SUM(CD96:DM96)</f>
        <v>0</v>
      </c>
      <c r="EM96" s="458"/>
      <c r="EN96" s="451"/>
      <c r="EO96" s="13"/>
      <c r="EP96" s="14"/>
      <c r="EQ96" s="14"/>
    </row>
    <row r="97" spans="4:147" ht="12.75" hidden="1" customHeight="1" x14ac:dyDescent="0.2">
      <c r="D97" s="13"/>
      <c r="E97" s="198"/>
      <c r="G97" s="451"/>
      <c r="H97" s="451"/>
      <c r="I97" s="451"/>
      <c r="J97" s="452"/>
      <c r="K97" s="451"/>
      <c r="L97" s="451"/>
      <c r="M97" s="451"/>
      <c r="N97" s="451"/>
      <c r="O97" s="452"/>
      <c r="P97" s="451"/>
      <c r="Q97" s="451"/>
      <c r="R97" s="451"/>
      <c r="S97" s="451"/>
      <c r="T97" s="452"/>
      <c r="U97" s="451"/>
      <c r="V97" s="451"/>
      <c r="W97" s="451"/>
      <c r="X97" s="451"/>
      <c r="Y97" s="452"/>
      <c r="Z97" s="451"/>
      <c r="AA97" s="451"/>
      <c r="AB97" s="451"/>
      <c r="AC97" s="451"/>
      <c r="AD97" s="452"/>
      <c r="AE97" s="451"/>
      <c r="AF97" s="451"/>
      <c r="AG97" s="451"/>
      <c r="AH97" s="451"/>
      <c r="AI97" s="452"/>
      <c r="AJ97" s="451"/>
      <c r="AK97" s="451"/>
      <c r="AL97" s="451"/>
      <c r="AM97" s="451"/>
      <c r="AN97" s="452"/>
      <c r="AO97" s="451"/>
      <c r="AP97" s="451"/>
      <c r="AQ97" s="451"/>
      <c r="AR97" s="451"/>
      <c r="AS97" s="452"/>
      <c r="AT97" s="451"/>
      <c r="AU97" s="451"/>
      <c r="AV97" s="451"/>
      <c r="AW97" s="451"/>
      <c r="AX97" s="452"/>
      <c r="AY97" s="451"/>
      <c r="AZ97" s="451"/>
      <c r="BA97" s="451"/>
      <c r="BB97" s="451"/>
      <c r="BC97" s="452"/>
      <c r="BD97" s="451"/>
      <c r="BE97" s="451"/>
      <c r="BF97" s="451"/>
      <c r="BG97" s="451"/>
      <c r="BH97" s="452"/>
      <c r="BI97" s="451"/>
      <c r="BJ97" s="451"/>
      <c r="BK97" s="451"/>
      <c r="BL97" s="451"/>
      <c r="BM97" s="452"/>
      <c r="BN97" s="451"/>
      <c r="BO97" s="451"/>
      <c r="BP97" s="451"/>
      <c r="BQ97" s="451"/>
      <c r="BR97" s="452"/>
      <c r="BS97" s="451"/>
      <c r="BT97" s="451"/>
      <c r="BU97" s="451"/>
      <c r="BV97" s="451"/>
      <c r="BW97" s="452"/>
      <c r="BX97" s="451"/>
      <c r="BY97" s="451"/>
      <c r="BZ97" s="451"/>
      <c r="CA97" s="451"/>
      <c r="CB97" s="452"/>
      <c r="CC97" s="451"/>
      <c r="CD97" s="451"/>
      <c r="CE97" s="451"/>
      <c r="CF97" s="451"/>
      <c r="CG97" s="452"/>
      <c r="CH97" s="451"/>
      <c r="CI97" s="451"/>
      <c r="CJ97" s="451"/>
      <c r="CK97" s="451"/>
      <c r="CL97" s="452"/>
      <c r="CM97" s="451"/>
      <c r="CN97" s="451"/>
      <c r="CO97" s="451"/>
      <c r="CP97" s="451"/>
      <c r="CQ97" s="452"/>
      <c r="CR97" s="451"/>
      <c r="CS97" s="451"/>
      <c r="CT97" s="451"/>
      <c r="CU97" s="451"/>
      <c r="CV97" s="452"/>
      <c r="CW97" s="451"/>
      <c r="CX97" s="451"/>
      <c r="CY97" s="451"/>
      <c r="CZ97" s="451"/>
      <c r="DA97" s="452"/>
      <c r="DB97" s="451"/>
      <c r="DC97" s="451"/>
      <c r="DD97" s="451"/>
      <c r="DE97" s="451"/>
      <c r="DF97" s="452"/>
      <c r="DG97" s="451"/>
      <c r="DH97" s="451"/>
      <c r="DI97" s="451"/>
      <c r="DJ97" s="451"/>
      <c r="DK97" s="452"/>
      <c r="DL97" s="451"/>
      <c r="DM97" s="451"/>
      <c r="DN97" s="451"/>
      <c r="DO97" s="451"/>
      <c r="DP97" s="452"/>
      <c r="DQ97" s="451"/>
      <c r="DR97" s="451"/>
      <c r="DS97" s="451"/>
      <c r="DT97" s="451"/>
      <c r="DU97" s="452"/>
      <c r="DV97" s="451"/>
      <c r="DW97" s="451"/>
      <c r="DX97" s="451"/>
      <c r="DY97" s="451"/>
      <c r="DZ97" s="452"/>
      <c r="EA97" s="451"/>
      <c r="EB97" s="451"/>
      <c r="EC97" s="451"/>
      <c r="ED97" s="451"/>
      <c r="EE97" s="452"/>
      <c r="EF97" s="451"/>
      <c r="EG97" s="451"/>
      <c r="EH97" s="451"/>
      <c r="EI97" s="451"/>
      <c r="EJ97" s="452"/>
      <c r="EK97" s="451"/>
      <c r="EL97" s="451"/>
      <c r="EM97" s="451"/>
      <c r="EN97" s="451"/>
      <c r="EO97" s="13"/>
      <c r="EP97" s="14"/>
      <c r="EQ97" s="14"/>
    </row>
    <row r="98" spans="4:147" ht="12.75" customHeight="1" x14ac:dyDescent="0.2">
      <c r="D98" s="461" t="s">
        <v>411</v>
      </c>
      <c r="E98" s="198"/>
      <c r="G98" s="451">
        <f>SUM(G99:G99)</f>
        <v>0</v>
      </c>
      <c r="H98" s="451"/>
      <c r="I98" s="451"/>
      <c r="J98" s="452"/>
      <c r="K98" s="451"/>
      <c r="L98" s="451">
        <f>SUM(L99:L99)</f>
        <v>0</v>
      </c>
      <c r="M98" s="451"/>
      <c r="N98" s="451"/>
      <c r="O98" s="452"/>
      <c r="P98" s="451"/>
      <c r="Q98" s="451">
        <f>SUM(Q99:Q99)</f>
        <v>0</v>
      </c>
      <c r="R98" s="451"/>
      <c r="S98" s="451"/>
      <c r="T98" s="452"/>
      <c r="U98" s="451"/>
      <c r="V98" s="451">
        <f>SUM(V99:V99)</f>
        <v>0</v>
      </c>
      <c r="W98" s="451"/>
      <c r="X98" s="451"/>
      <c r="Y98" s="452"/>
      <c r="Z98" s="451"/>
      <c r="AA98" s="451">
        <f>SUM(AA99:AA99)</f>
        <v>0</v>
      </c>
      <c r="AB98" s="451"/>
      <c r="AC98" s="451"/>
      <c r="AD98" s="452"/>
      <c r="AE98" s="451"/>
      <c r="AF98" s="451">
        <f>SUM(AF99:AF99)</f>
        <v>41191</v>
      </c>
      <c r="AG98" s="451"/>
      <c r="AH98" s="451"/>
      <c r="AI98" s="452"/>
      <c r="AJ98" s="451"/>
      <c r="AK98" s="451">
        <f>SUM(AK99:AK99)</f>
        <v>0</v>
      </c>
      <c r="AL98" s="451"/>
      <c r="AM98" s="451"/>
      <c r="AN98" s="452"/>
      <c r="AO98" s="451"/>
      <c r="AP98" s="451">
        <f>SUM(AP99:AP99)</f>
        <v>0</v>
      </c>
      <c r="AQ98" s="451"/>
      <c r="AR98" s="451"/>
      <c r="AS98" s="452"/>
      <c r="AT98" s="451"/>
      <c r="AU98" s="451">
        <f>SUM(AU99:AU99)</f>
        <v>0</v>
      </c>
      <c r="AV98" s="451"/>
      <c r="AW98" s="451"/>
      <c r="AX98" s="452"/>
      <c r="AY98" s="451"/>
      <c r="AZ98" s="451">
        <f>SUM(AZ99:AZ99)</f>
        <v>0</v>
      </c>
      <c r="BA98" s="451"/>
      <c r="BB98" s="451"/>
      <c r="BC98" s="452"/>
      <c r="BD98" s="451"/>
      <c r="BE98" s="451">
        <f>SUM(BE99:BE99)</f>
        <v>0</v>
      </c>
      <c r="BF98" s="451"/>
      <c r="BG98" s="451"/>
      <c r="BH98" s="452"/>
      <c r="BI98" s="451"/>
      <c r="BJ98" s="451">
        <f>SUM(BJ99:BJ99)</f>
        <v>0</v>
      </c>
      <c r="BK98" s="451"/>
      <c r="BL98" s="451"/>
      <c r="BM98" s="452"/>
      <c r="BN98" s="451"/>
      <c r="BO98" s="451">
        <f>SUM(BO99:BO99)</f>
        <v>0</v>
      </c>
      <c r="BP98" s="451"/>
      <c r="BQ98" s="451"/>
      <c r="BR98" s="452"/>
      <c r="BS98" s="451"/>
      <c r="BT98" s="451">
        <f>SUM(BT99:BT99)</f>
        <v>41191</v>
      </c>
      <c r="BU98" s="451"/>
      <c r="BV98" s="451"/>
      <c r="BW98" s="452"/>
      <c r="BX98" s="451"/>
      <c r="BY98" s="451">
        <f>SUM(BY99:BY99)</f>
        <v>0</v>
      </c>
      <c r="BZ98" s="451"/>
      <c r="CA98" s="451"/>
      <c r="CB98" s="452"/>
      <c r="CC98" s="451"/>
      <c r="CD98" s="451">
        <f>SUM(CD99:CD99)</f>
        <v>0</v>
      </c>
      <c r="CE98" s="451"/>
      <c r="CF98" s="451"/>
      <c r="CG98" s="452"/>
      <c r="CH98" s="451"/>
      <c r="CI98" s="451">
        <f>SUM(CI99:CI99)</f>
        <v>0</v>
      </c>
      <c r="CJ98" s="451"/>
      <c r="CK98" s="451"/>
      <c r="CL98" s="452"/>
      <c r="CM98" s="451"/>
      <c r="CN98" s="451">
        <f>SUM(CN99:CN99)</f>
        <v>0</v>
      </c>
      <c r="CO98" s="451"/>
      <c r="CP98" s="451"/>
      <c r="CQ98" s="452"/>
      <c r="CR98" s="451"/>
      <c r="CS98" s="451">
        <f>SUM(CS99:CS99)</f>
        <v>0</v>
      </c>
      <c r="CT98" s="451"/>
      <c r="CU98" s="451"/>
      <c r="CV98" s="452"/>
      <c r="CW98" s="451"/>
      <c r="CX98" s="451">
        <f>SUM(CX99:CX99)</f>
        <v>0</v>
      </c>
      <c r="CY98" s="451"/>
      <c r="CZ98" s="451"/>
      <c r="DA98" s="452"/>
      <c r="DB98" s="451"/>
      <c r="DC98" s="451">
        <f>SUM(DC99:DC99)</f>
        <v>0</v>
      </c>
      <c r="DD98" s="451"/>
      <c r="DE98" s="451"/>
      <c r="DF98" s="452"/>
      <c r="DG98" s="451"/>
      <c r="DH98" s="451">
        <f>SUM(DH99:DH99)</f>
        <v>0</v>
      </c>
      <c r="DI98" s="451"/>
      <c r="DJ98" s="451"/>
      <c r="DK98" s="452"/>
      <c r="DL98" s="451"/>
      <c r="DM98" s="451">
        <f>SUM(DM99:DM99)</f>
        <v>0</v>
      </c>
      <c r="DN98" s="451"/>
      <c r="DO98" s="451"/>
      <c r="DP98" s="452"/>
      <c r="DQ98" s="451"/>
      <c r="DR98" s="451">
        <f>SUM(DR99:DR99)</f>
        <v>0</v>
      </c>
      <c r="DS98" s="451"/>
      <c r="DT98" s="451"/>
      <c r="DU98" s="452"/>
      <c r="DV98" s="451"/>
      <c r="DW98" s="451">
        <f>SUM(DW99:DW99)</f>
        <v>0</v>
      </c>
      <c r="DX98" s="451"/>
      <c r="DY98" s="451"/>
      <c r="DZ98" s="452"/>
      <c r="EA98" s="451"/>
      <c r="EB98" s="451">
        <f>SUM(EB99:EB99)</f>
        <v>0</v>
      </c>
      <c r="EC98" s="451"/>
      <c r="ED98" s="451"/>
      <c r="EE98" s="452"/>
      <c r="EF98" s="451"/>
      <c r="EG98" s="451">
        <f>SUM(EG99:EG99)</f>
        <v>0</v>
      </c>
      <c r="EH98" s="451"/>
      <c r="EI98" s="451"/>
      <c r="EJ98" s="452"/>
      <c r="EK98" s="451"/>
      <c r="EL98" s="451">
        <f>SUM(EL99:EL99)</f>
        <v>0</v>
      </c>
      <c r="EM98" s="451"/>
      <c r="EN98" s="451"/>
      <c r="EO98" s="13"/>
      <c r="EP98" s="14"/>
      <c r="EQ98" s="14"/>
    </row>
    <row r="99" spans="4:147" ht="12.75" customHeight="1" x14ac:dyDescent="0.2">
      <c r="D99" s="13" t="s">
        <v>347</v>
      </c>
      <c r="E99" s="198"/>
      <c r="F99" s="456"/>
      <c r="G99" s="457">
        <v>0</v>
      </c>
      <c r="H99" s="458"/>
      <c r="I99" s="451"/>
      <c r="J99" s="452"/>
      <c r="K99" s="459"/>
      <c r="L99" s="457">
        <v>0</v>
      </c>
      <c r="M99" s="458"/>
      <c r="N99" s="451"/>
      <c r="O99" s="452"/>
      <c r="P99" s="459"/>
      <c r="Q99" s="457">
        <v>0</v>
      </c>
      <c r="R99" s="458"/>
      <c r="S99" s="451"/>
      <c r="T99" s="452"/>
      <c r="U99" s="459"/>
      <c r="V99" s="457">
        <v>0</v>
      </c>
      <c r="W99" s="458"/>
      <c r="X99" s="451"/>
      <c r="Y99" s="452"/>
      <c r="Z99" s="459"/>
      <c r="AA99" s="457">
        <v>0</v>
      </c>
      <c r="AB99" s="458"/>
      <c r="AC99" s="451"/>
      <c r="AD99" s="452"/>
      <c r="AE99" s="459"/>
      <c r="AF99" s="457">
        <v>41191</v>
      </c>
      <c r="AG99" s="458"/>
      <c r="AH99" s="451"/>
      <c r="AI99" s="452"/>
      <c r="AJ99" s="459"/>
      <c r="AK99" s="457">
        <v>0</v>
      </c>
      <c r="AL99" s="458"/>
      <c r="AM99" s="451"/>
      <c r="AN99" s="452"/>
      <c r="AO99" s="459"/>
      <c r="AP99" s="457">
        <v>0</v>
      </c>
      <c r="AQ99" s="458"/>
      <c r="AR99" s="451"/>
      <c r="AS99" s="452"/>
      <c r="AT99" s="459"/>
      <c r="AU99" s="457">
        <v>0</v>
      </c>
      <c r="AV99" s="458"/>
      <c r="AW99" s="451"/>
      <c r="AX99" s="452"/>
      <c r="AY99" s="459"/>
      <c r="AZ99" s="457">
        <v>0</v>
      </c>
      <c r="BA99" s="458"/>
      <c r="BB99" s="451"/>
      <c r="BC99" s="452"/>
      <c r="BD99" s="459"/>
      <c r="BE99" s="457">
        <v>0</v>
      </c>
      <c r="BF99" s="458"/>
      <c r="BG99" s="451"/>
      <c r="BH99" s="452"/>
      <c r="BI99" s="459"/>
      <c r="BJ99" s="457">
        <v>0</v>
      </c>
      <c r="BK99" s="458"/>
      <c r="BL99" s="451"/>
      <c r="BM99" s="452"/>
      <c r="BN99" s="459"/>
      <c r="BO99" s="457">
        <v>0</v>
      </c>
      <c r="BP99" s="458"/>
      <c r="BQ99" s="451"/>
      <c r="BR99" s="452"/>
      <c r="BS99" s="459"/>
      <c r="BT99" s="457">
        <f>SUM(L99:BO99)</f>
        <v>41191</v>
      </c>
      <c r="BU99" s="458"/>
      <c r="BV99" s="451"/>
      <c r="BW99" s="452"/>
      <c r="BX99" s="459"/>
      <c r="BY99" s="457">
        <v>0</v>
      </c>
      <c r="BZ99" s="458"/>
      <c r="CA99" s="451"/>
      <c r="CB99" s="452"/>
      <c r="CC99" s="459"/>
      <c r="CD99" s="457">
        <v>0</v>
      </c>
      <c r="CE99" s="458"/>
      <c r="CF99" s="451"/>
      <c r="CG99" s="452"/>
      <c r="CH99" s="459"/>
      <c r="CI99" s="457">
        <v>0</v>
      </c>
      <c r="CJ99" s="458"/>
      <c r="CK99" s="451"/>
      <c r="CL99" s="452"/>
      <c r="CM99" s="459"/>
      <c r="CN99" s="457">
        <v>0</v>
      </c>
      <c r="CO99" s="458"/>
      <c r="CP99" s="451"/>
      <c r="CQ99" s="452"/>
      <c r="CR99" s="459"/>
      <c r="CS99" s="457">
        <v>0</v>
      </c>
      <c r="CT99" s="458"/>
      <c r="CU99" s="451"/>
      <c r="CV99" s="452"/>
      <c r="CW99" s="459"/>
      <c r="CX99" s="457">
        <v>0</v>
      </c>
      <c r="CY99" s="458"/>
      <c r="CZ99" s="451"/>
      <c r="DA99" s="452"/>
      <c r="DB99" s="459"/>
      <c r="DC99" s="457">
        <v>0</v>
      </c>
      <c r="DD99" s="458"/>
      <c r="DE99" s="451"/>
      <c r="DF99" s="452"/>
      <c r="DG99" s="459"/>
      <c r="DH99" s="457">
        <v>0</v>
      </c>
      <c r="DI99" s="458"/>
      <c r="DJ99" s="451"/>
      <c r="DK99" s="452"/>
      <c r="DL99" s="459"/>
      <c r="DM99" s="457">
        <v>0</v>
      </c>
      <c r="DN99" s="458"/>
      <c r="DO99" s="451"/>
      <c r="DP99" s="452"/>
      <c r="DQ99" s="459"/>
      <c r="DR99" s="457">
        <v>0</v>
      </c>
      <c r="DS99" s="458"/>
      <c r="DT99" s="451"/>
      <c r="DU99" s="452"/>
      <c r="DV99" s="459"/>
      <c r="DW99" s="457">
        <v>0</v>
      </c>
      <c r="DX99" s="458"/>
      <c r="DY99" s="451"/>
      <c r="DZ99" s="452"/>
      <c r="EA99" s="459"/>
      <c r="EB99" s="457">
        <v>0</v>
      </c>
      <c r="EC99" s="458"/>
      <c r="ED99" s="451"/>
      <c r="EE99" s="452"/>
      <c r="EF99" s="459"/>
      <c r="EG99" s="457">
        <v>0</v>
      </c>
      <c r="EH99" s="458"/>
      <c r="EI99" s="451"/>
      <c r="EJ99" s="452"/>
      <c r="EK99" s="459"/>
      <c r="EL99" s="457">
        <f>SUM(CD99:DW99)</f>
        <v>0</v>
      </c>
      <c r="EM99" s="458"/>
      <c r="EN99" s="451"/>
      <c r="EO99" s="13"/>
      <c r="EP99" s="14"/>
      <c r="EQ99" s="14"/>
    </row>
    <row r="100" spans="4:147" ht="12.75" customHeight="1" x14ac:dyDescent="0.2">
      <c r="D100" s="13"/>
      <c r="E100" s="198"/>
      <c r="G100" s="451"/>
      <c r="H100" s="451"/>
      <c r="I100" s="451"/>
      <c r="J100" s="452"/>
      <c r="K100" s="451"/>
      <c r="L100" s="451"/>
      <c r="M100" s="451"/>
      <c r="N100" s="451"/>
      <c r="O100" s="452"/>
      <c r="P100" s="451"/>
      <c r="Q100" s="451"/>
      <c r="R100" s="451"/>
      <c r="S100" s="451"/>
      <c r="T100" s="452"/>
      <c r="U100" s="451"/>
      <c r="V100" s="451"/>
      <c r="W100" s="451"/>
      <c r="X100" s="451"/>
      <c r="Y100" s="452"/>
      <c r="Z100" s="451"/>
      <c r="AA100" s="451"/>
      <c r="AB100" s="451"/>
      <c r="AC100" s="451"/>
      <c r="AD100" s="452"/>
      <c r="AE100" s="451"/>
      <c r="AF100" s="451"/>
      <c r="AG100" s="451"/>
      <c r="AH100" s="451"/>
      <c r="AI100" s="452"/>
      <c r="AJ100" s="451"/>
      <c r="AK100" s="451"/>
      <c r="AL100" s="451"/>
      <c r="AM100" s="451"/>
      <c r="AN100" s="452"/>
      <c r="AO100" s="451"/>
      <c r="AP100" s="451"/>
      <c r="AQ100" s="451"/>
      <c r="AR100" s="451"/>
      <c r="AS100" s="452"/>
      <c r="AT100" s="451"/>
      <c r="AU100" s="451"/>
      <c r="AV100" s="451"/>
      <c r="AW100" s="451"/>
      <c r="AX100" s="452"/>
      <c r="AY100" s="451"/>
      <c r="AZ100" s="451"/>
      <c r="BA100" s="451"/>
      <c r="BB100" s="451"/>
      <c r="BC100" s="452"/>
      <c r="BD100" s="451"/>
      <c r="BE100" s="451"/>
      <c r="BF100" s="451"/>
      <c r="BG100" s="451"/>
      <c r="BH100" s="452"/>
      <c r="BI100" s="451"/>
      <c r="BJ100" s="451"/>
      <c r="BK100" s="451"/>
      <c r="BL100" s="451"/>
      <c r="BM100" s="452"/>
      <c r="BN100" s="451"/>
      <c r="BO100" s="451"/>
      <c r="BP100" s="451"/>
      <c r="BQ100" s="451"/>
      <c r="BR100" s="452"/>
      <c r="BS100" s="451"/>
      <c r="BT100" s="451"/>
      <c r="BU100" s="451"/>
      <c r="BV100" s="451"/>
      <c r="BW100" s="452"/>
      <c r="BX100" s="451"/>
      <c r="BY100" s="451"/>
      <c r="BZ100" s="451"/>
      <c r="CA100" s="451"/>
      <c r="CB100" s="452"/>
      <c r="CC100" s="451"/>
      <c r="CD100" s="451"/>
      <c r="CE100" s="451"/>
      <c r="CF100" s="451"/>
      <c r="CG100" s="452"/>
      <c r="CH100" s="451"/>
      <c r="CI100" s="451"/>
      <c r="CJ100" s="451"/>
      <c r="CK100" s="451"/>
      <c r="CL100" s="452"/>
      <c r="CM100" s="451"/>
      <c r="CN100" s="451"/>
      <c r="CO100" s="451"/>
      <c r="CP100" s="451"/>
      <c r="CQ100" s="452"/>
      <c r="CR100" s="451"/>
      <c r="CS100" s="451"/>
      <c r="CT100" s="451"/>
      <c r="CU100" s="451"/>
      <c r="CV100" s="452"/>
      <c r="CW100" s="451"/>
      <c r="CX100" s="451"/>
      <c r="CY100" s="451"/>
      <c r="CZ100" s="451"/>
      <c r="DA100" s="452"/>
      <c r="DB100" s="451"/>
      <c r="DC100" s="451"/>
      <c r="DD100" s="451"/>
      <c r="DE100" s="451"/>
      <c r="DF100" s="452"/>
      <c r="DG100" s="451"/>
      <c r="DH100" s="451"/>
      <c r="DI100" s="451"/>
      <c r="DJ100" s="451"/>
      <c r="DK100" s="452"/>
      <c r="DL100" s="451"/>
      <c r="DM100" s="451"/>
      <c r="DN100" s="451"/>
      <c r="DO100" s="451"/>
      <c r="DP100" s="452"/>
      <c r="DQ100" s="451"/>
      <c r="DR100" s="451"/>
      <c r="DS100" s="451"/>
      <c r="DT100" s="451"/>
      <c r="DU100" s="452"/>
      <c r="DV100" s="451"/>
      <c r="DW100" s="451"/>
      <c r="DX100" s="451"/>
      <c r="DY100" s="451"/>
      <c r="DZ100" s="452"/>
      <c r="EA100" s="451"/>
      <c r="EB100" s="451"/>
      <c r="EC100" s="451"/>
      <c r="ED100" s="451"/>
      <c r="EE100" s="452"/>
      <c r="EF100" s="451"/>
      <c r="EG100" s="451"/>
      <c r="EH100" s="451"/>
      <c r="EI100" s="451"/>
      <c r="EJ100" s="452"/>
      <c r="EK100" s="451"/>
      <c r="EL100" s="451"/>
      <c r="EM100" s="451"/>
      <c r="EN100" s="451"/>
      <c r="EO100" s="13"/>
      <c r="EP100" s="14"/>
      <c r="EQ100" s="14"/>
    </row>
    <row r="101" spans="4:147" ht="12.75" customHeight="1" x14ac:dyDescent="0.2">
      <c r="D101" s="461" t="s">
        <v>367</v>
      </c>
      <c r="E101" s="198"/>
      <c r="G101" s="451">
        <f>SUM(G102:G102)</f>
        <v>0</v>
      </c>
      <c r="H101" s="451"/>
      <c r="I101" s="451"/>
      <c r="J101" s="452"/>
      <c r="K101" s="451"/>
      <c r="L101" s="451">
        <f>SUM(L102:L102)</f>
        <v>0</v>
      </c>
      <c r="M101" s="451"/>
      <c r="N101" s="451"/>
      <c r="O101" s="452"/>
      <c r="P101" s="451"/>
      <c r="Q101" s="451">
        <f>SUM(Q102:Q102)</f>
        <v>0</v>
      </c>
      <c r="R101" s="451"/>
      <c r="S101" s="451"/>
      <c r="T101" s="452"/>
      <c r="U101" s="451"/>
      <c r="V101" s="451">
        <f>SUM(V102:V102)</f>
        <v>0</v>
      </c>
      <c r="W101" s="451"/>
      <c r="X101" s="451"/>
      <c r="Y101" s="452"/>
      <c r="Z101" s="451"/>
      <c r="AA101" s="451">
        <f>SUM(AA102:AA102)</f>
        <v>0</v>
      </c>
      <c r="AB101" s="451"/>
      <c r="AC101" s="451"/>
      <c r="AD101" s="452"/>
      <c r="AE101" s="451"/>
      <c r="AF101" s="451">
        <f>SUM(AF102:AF102)</f>
        <v>0</v>
      </c>
      <c r="AG101" s="451"/>
      <c r="AH101" s="451"/>
      <c r="AI101" s="452"/>
      <c r="AJ101" s="451"/>
      <c r="AK101" s="451">
        <f>SUM(AK102:AK102)</f>
        <v>0</v>
      </c>
      <c r="AL101" s="451"/>
      <c r="AM101" s="451"/>
      <c r="AN101" s="452"/>
      <c r="AO101" s="451"/>
      <c r="AP101" s="451">
        <f>SUM(AP102:AP102)</f>
        <v>0</v>
      </c>
      <c r="AQ101" s="451"/>
      <c r="AR101" s="451"/>
      <c r="AS101" s="452"/>
      <c r="AT101" s="451"/>
      <c r="AU101" s="451">
        <f>SUM(AU102:AU102)</f>
        <v>0</v>
      </c>
      <c r="AV101" s="451"/>
      <c r="AW101" s="451"/>
      <c r="AX101" s="452"/>
      <c r="AY101" s="451"/>
      <c r="AZ101" s="451">
        <f>SUM(AZ102:AZ102)</f>
        <v>0</v>
      </c>
      <c r="BA101" s="451"/>
      <c r="BB101" s="451"/>
      <c r="BC101" s="452"/>
      <c r="BD101" s="451"/>
      <c r="BE101" s="451">
        <f>SUM(BE102:BE102)</f>
        <v>0</v>
      </c>
      <c r="BF101" s="451"/>
      <c r="BG101" s="451"/>
      <c r="BH101" s="452"/>
      <c r="BI101" s="451"/>
      <c r="BJ101" s="451">
        <f>SUM(BJ102:BJ102)</f>
        <v>0</v>
      </c>
      <c r="BK101" s="451"/>
      <c r="BL101" s="451"/>
      <c r="BM101" s="452"/>
      <c r="BN101" s="451"/>
      <c r="BO101" s="451">
        <f>SUM(BO102:BO102)</f>
        <v>0</v>
      </c>
      <c r="BP101" s="451"/>
      <c r="BQ101" s="451"/>
      <c r="BR101" s="452"/>
      <c r="BS101" s="451"/>
      <c r="BT101" s="451">
        <f>SUM(BT102:BT102)</f>
        <v>0</v>
      </c>
      <c r="BU101" s="451"/>
      <c r="BV101" s="451"/>
      <c r="BW101" s="452"/>
      <c r="BX101" s="451"/>
      <c r="BY101" s="451">
        <f>SUM(BY102:BY102)</f>
        <v>0</v>
      </c>
      <c r="BZ101" s="451"/>
      <c r="CA101" s="451"/>
      <c r="CB101" s="452"/>
      <c r="CC101" s="451"/>
      <c r="CD101" s="451">
        <f>SUM(CD102:CD102)</f>
        <v>0</v>
      </c>
      <c r="CE101" s="451"/>
      <c r="CF101" s="451"/>
      <c r="CG101" s="452"/>
      <c r="CH101" s="451"/>
      <c r="CI101" s="451">
        <f>SUM(CI102:CI102)</f>
        <v>0</v>
      </c>
      <c r="CJ101" s="451"/>
      <c r="CK101" s="451"/>
      <c r="CL101" s="452"/>
      <c r="CM101" s="451"/>
      <c r="CN101" s="451">
        <f>SUM(CN102:CN102)</f>
        <v>0</v>
      </c>
      <c r="CO101" s="451"/>
      <c r="CP101" s="451"/>
      <c r="CQ101" s="452"/>
      <c r="CR101" s="451"/>
      <c r="CS101" s="451">
        <f>SUM(CS102:CS102)</f>
        <v>0</v>
      </c>
      <c r="CT101" s="451"/>
      <c r="CU101" s="451"/>
      <c r="CV101" s="452"/>
      <c r="CW101" s="451"/>
      <c r="CX101" s="451">
        <f>SUM(CX102:CX102)</f>
        <v>0</v>
      </c>
      <c r="CY101" s="451"/>
      <c r="CZ101" s="451"/>
      <c r="DA101" s="452"/>
      <c r="DB101" s="451"/>
      <c r="DC101" s="451">
        <f>SUM(DC102:DC102)</f>
        <v>0</v>
      </c>
      <c r="DD101" s="451"/>
      <c r="DE101" s="451"/>
      <c r="DF101" s="452"/>
      <c r="DG101" s="451"/>
      <c r="DH101" s="451">
        <f>SUM(DH102:DH102)</f>
        <v>0</v>
      </c>
      <c r="DI101" s="451"/>
      <c r="DJ101" s="451"/>
      <c r="DK101" s="452"/>
      <c r="DL101" s="451"/>
      <c r="DM101" s="451">
        <f>SUM(DM102:DM102)</f>
        <v>0</v>
      </c>
      <c r="DN101" s="451"/>
      <c r="DO101" s="451"/>
      <c r="DP101" s="452"/>
      <c r="DQ101" s="451"/>
      <c r="DR101" s="451">
        <f>SUM(DR102:DR102)</f>
        <v>0</v>
      </c>
      <c r="DS101" s="451"/>
      <c r="DT101" s="451"/>
      <c r="DU101" s="452"/>
      <c r="DV101" s="451"/>
      <c r="DW101" s="451">
        <f>SUM(DW102:DW102)</f>
        <v>0</v>
      </c>
      <c r="DX101" s="451"/>
      <c r="DY101" s="451"/>
      <c r="DZ101" s="452"/>
      <c r="EA101" s="451"/>
      <c r="EB101" s="451">
        <f>SUM(EB102:EB102)</f>
        <v>0</v>
      </c>
      <c r="EC101" s="451"/>
      <c r="ED101" s="451"/>
      <c r="EE101" s="452"/>
      <c r="EF101" s="451"/>
      <c r="EG101" s="451">
        <f>SUM(EG102:EG102)</f>
        <v>0</v>
      </c>
      <c r="EH101" s="451"/>
      <c r="EI101" s="451"/>
      <c r="EJ101" s="452"/>
      <c r="EK101" s="451"/>
      <c r="EL101" s="451">
        <f>SUM(EL102:EL102)</f>
        <v>0</v>
      </c>
      <c r="EM101" s="451"/>
      <c r="EN101" s="451"/>
      <c r="EO101" s="13"/>
      <c r="EP101" s="14"/>
      <c r="EQ101" s="14"/>
    </row>
    <row r="102" spans="4:147" ht="12.75" customHeight="1" x14ac:dyDescent="0.2">
      <c r="D102" s="13" t="s">
        <v>347</v>
      </c>
      <c r="E102" s="198"/>
      <c r="F102" s="456"/>
      <c r="G102" s="457">
        <v>0</v>
      </c>
      <c r="H102" s="458"/>
      <c r="I102" s="451"/>
      <c r="J102" s="452"/>
      <c r="K102" s="459"/>
      <c r="L102" s="457">
        <v>0</v>
      </c>
      <c r="M102" s="458"/>
      <c r="N102" s="451"/>
      <c r="O102" s="452"/>
      <c r="P102" s="459"/>
      <c r="Q102" s="457">
        <v>0</v>
      </c>
      <c r="R102" s="458"/>
      <c r="S102" s="451"/>
      <c r="T102" s="452"/>
      <c r="U102" s="459"/>
      <c r="V102" s="457">
        <v>0</v>
      </c>
      <c r="W102" s="458"/>
      <c r="X102" s="451"/>
      <c r="Y102" s="452"/>
      <c r="Z102" s="459"/>
      <c r="AA102" s="457">
        <v>0</v>
      </c>
      <c r="AB102" s="458"/>
      <c r="AC102" s="451"/>
      <c r="AD102" s="452"/>
      <c r="AE102" s="459"/>
      <c r="AF102" s="457">
        <v>0</v>
      </c>
      <c r="AG102" s="458"/>
      <c r="AH102" s="451"/>
      <c r="AI102" s="452"/>
      <c r="AJ102" s="459"/>
      <c r="AK102" s="457">
        <v>0</v>
      </c>
      <c r="AL102" s="458"/>
      <c r="AM102" s="451"/>
      <c r="AN102" s="452"/>
      <c r="AO102" s="459"/>
      <c r="AP102" s="457">
        <v>0</v>
      </c>
      <c r="AQ102" s="458"/>
      <c r="AR102" s="451"/>
      <c r="AS102" s="452"/>
      <c r="AT102" s="459"/>
      <c r="AU102" s="457">
        <v>0</v>
      </c>
      <c r="AV102" s="458"/>
      <c r="AW102" s="451"/>
      <c r="AX102" s="452"/>
      <c r="AY102" s="459"/>
      <c r="AZ102" s="457">
        <v>0</v>
      </c>
      <c r="BA102" s="458"/>
      <c r="BB102" s="451"/>
      <c r="BC102" s="452"/>
      <c r="BD102" s="459"/>
      <c r="BE102" s="457">
        <v>0</v>
      </c>
      <c r="BF102" s="458"/>
      <c r="BG102" s="451"/>
      <c r="BH102" s="452"/>
      <c r="BI102" s="459"/>
      <c r="BJ102" s="457">
        <v>0</v>
      </c>
      <c r="BK102" s="458"/>
      <c r="BL102" s="451"/>
      <c r="BM102" s="452"/>
      <c r="BN102" s="459"/>
      <c r="BO102" s="457">
        <v>0</v>
      </c>
      <c r="BP102" s="458"/>
      <c r="BQ102" s="451"/>
      <c r="BR102" s="452"/>
      <c r="BS102" s="459"/>
      <c r="BT102" s="457">
        <f>SUM(L102:BO102)</f>
        <v>0</v>
      </c>
      <c r="BU102" s="458"/>
      <c r="BV102" s="451"/>
      <c r="BW102" s="452"/>
      <c r="BX102" s="459"/>
      <c r="BY102" s="457">
        <v>0</v>
      </c>
      <c r="BZ102" s="458"/>
      <c r="CA102" s="451"/>
      <c r="CB102" s="452"/>
      <c r="CC102" s="459"/>
      <c r="CD102" s="457">
        <v>0</v>
      </c>
      <c r="CE102" s="458"/>
      <c r="CF102" s="451"/>
      <c r="CG102" s="452"/>
      <c r="CH102" s="459"/>
      <c r="CI102" s="457">
        <v>0</v>
      </c>
      <c r="CJ102" s="458"/>
      <c r="CK102" s="451"/>
      <c r="CL102" s="452"/>
      <c r="CM102" s="459"/>
      <c r="CN102" s="457">
        <v>0</v>
      </c>
      <c r="CO102" s="458"/>
      <c r="CP102" s="451"/>
      <c r="CQ102" s="452"/>
      <c r="CR102" s="459"/>
      <c r="CS102" s="457">
        <v>0</v>
      </c>
      <c r="CT102" s="458"/>
      <c r="CU102" s="451"/>
      <c r="CV102" s="452"/>
      <c r="CW102" s="459"/>
      <c r="CX102" s="457">
        <v>0</v>
      </c>
      <c r="CY102" s="458"/>
      <c r="CZ102" s="451"/>
      <c r="DA102" s="452"/>
      <c r="DB102" s="459"/>
      <c r="DC102" s="457">
        <v>0</v>
      </c>
      <c r="DD102" s="458"/>
      <c r="DE102" s="451"/>
      <c r="DF102" s="452"/>
      <c r="DG102" s="459"/>
      <c r="DH102" s="457">
        <v>0</v>
      </c>
      <c r="DI102" s="458"/>
      <c r="DJ102" s="451"/>
      <c r="DK102" s="452"/>
      <c r="DL102" s="459"/>
      <c r="DM102" s="457">
        <v>0</v>
      </c>
      <c r="DN102" s="458"/>
      <c r="DO102" s="451"/>
      <c r="DP102" s="452"/>
      <c r="DQ102" s="459"/>
      <c r="DR102" s="457">
        <v>0</v>
      </c>
      <c r="DS102" s="458"/>
      <c r="DT102" s="451"/>
      <c r="DU102" s="452"/>
      <c r="DV102" s="459"/>
      <c r="DW102" s="457">
        <v>0</v>
      </c>
      <c r="DX102" s="458"/>
      <c r="DY102" s="451"/>
      <c r="DZ102" s="452"/>
      <c r="EA102" s="459"/>
      <c r="EB102" s="457">
        <v>0</v>
      </c>
      <c r="EC102" s="458"/>
      <c r="ED102" s="451"/>
      <c r="EE102" s="452"/>
      <c r="EF102" s="459"/>
      <c r="EG102" s="457">
        <v>0</v>
      </c>
      <c r="EH102" s="458"/>
      <c r="EI102" s="451"/>
      <c r="EJ102" s="452"/>
      <c r="EK102" s="459"/>
      <c r="EL102" s="457">
        <f>SUM(CD102:DW102)</f>
        <v>0</v>
      </c>
      <c r="EM102" s="458"/>
      <c r="EN102" s="451"/>
      <c r="EO102" s="13"/>
      <c r="EP102" s="14"/>
      <c r="EQ102" s="14"/>
    </row>
    <row r="103" spans="4:147" ht="12.75" customHeight="1" x14ac:dyDescent="0.2">
      <c r="D103" s="13"/>
      <c r="E103" s="198"/>
      <c r="G103" s="451"/>
      <c r="H103" s="451"/>
      <c r="I103" s="451"/>
      <c r="J103" s="452"/>
      <c r="K103" s="451"/>
      <c r="L103" s="451"/>
      <c r="M103" s="451"/>
      <c r="N103" s="451"/>
      <c r="O103" s="452"/>
      <c r="P103" s="451"/>
      <c r="Q103" s="451"/>
      <c r="R103" s="451"/>
      <c r="S103" s="451"/>
      <c r="T103" s="452"/>
      <c r="U103" s="451"/>
      <c r="V103" s="451"/>
      <c r="W103" s="451"/>
      <c r="X103" s="451"/>
      <c r="Y103" s="452"/>
      <c r="Z103" s="451"/>
      <c r="AA103" s="451"/>
      <c r="AB103" s="451"/>
      <c r="AC103" s="451"/>
      <c r="AD103" s="452"/>
      <c r="AE103" s="451"/>
      <c r="AF103" s="451"/>
      <c r="AG103" s="451"/>
      <c r="AH103" s="451"/>
      <c r="AI103" s="452"/>
      <c r="AJ103" s="451"/>
      <c r="AK103" s="451"/>
      <c r="AL103" s="451"/>
      <c r="AM103" s="451"/>
      <c r="AN103" s="452"/>
      <c r="AO103" s="451"/>
      <c r="AP103" s="451"/>
      <c r="AQ103" s="451"/>
      <c r="AR103" s="451"/>
      <c r="AS103" s="452"/>
      <c r="AT103" s="451"/>
      <c r="AU103" s="451"/>
      <c r="AV103" s="451"/>
      <c r="AW103" s="451"/>
      <c r="AX103" s="452"/>
      <c r="AY103" s="451"/>
      <c r="AZ103" s="451"/>
      <c r="BA103" s="451"/>
      <c r="BB103" s="451"/>
      <c r="BC103" s="452"/>
      <c r="BD103" s="451"/>
      <c r="BE103" s="451"/>
      <c r="BF103" s="451"/>
      <c r="BG103" s="451"/>
      <c r="BH103" s="452"/>
      <c r="BI103" s="451"/>
      <c r="BJ103" s="451"/>
      <c r="BK103" s="451"/>
      <c r="BL103" s="451"/>
      <c r="BM103" s="452"/>
      <c r="BN103" s="451"/>
      <c r="BO103" s="451"/>
      <c r="BP103" s="451"/>
      <c r="BQ103" s="451"/>
      <c r="BR103" s="452"/>
      <c r="BS103" s="451"/>
      <c r="BT103" s="451"/>
      <c r="BU103" s="451"/>
      <c r="BV103" s="451"/>
      <c r="BW103" s="452"/>
      <c r="BX103" s="451"/>
      <c r="BY103" s="451"/>
      <c r="BZ103" s="451"/>
      <c r="CA103" s="451"/>
      <c r="CB103" s="452"/>
      <c r="CC103" s="451"/>
      <c r="CD103" s="451"/>
      <c r="CE103" s="451"/>
      <c r="CF103" s="451"/>
      <c r="CG103" s="452"/>
      <c r="CH103" s="451"/>
      <c r="CI103" s="451"/>
      <c r="CJ103" s="451"/>
      <c r="CK103" s="451"/>
      <c r="CL103" s="452"/>
      <c r="CM103" s="451"/>
      <c r="CN103" s="451"/>
      <c r="CO103" s="451"/>
      <c r="CP103" s="451"/>
      <c r="CQ103" s="452"/>
      <c r="CR103" s="451"/>
      <c r="CS103" s="451"/>
      <c r="CT103" s="451"/>
      <c r="CU103" s="451"/>
      <c r="CV103" s="452"/>
      <c r="CW103" s="451"/>
      <c r="CX103" s="451"/>
      <c r="CY103" s="451"/>
      <c r="CZ103" s="451"/>
      <c r="DA103" s="452"/>
      <c r="DB103" s="451"/>
      <c r="DC103" s="451"/>
      <c r="DD103" s="451"/>
      <c r="DE103" s="451"/>
      <c r="DF103" s="452"/>
      <c r="DG103" s="451"/>
      <c r="DH103" s="451"/>
      <c r="DI103" s="451"/>
      <c r="DJ103" s="451"/>
      <c r="DK103" s="452"/>
      <c r="DL103" s="451"/>
      <c r="DM103" s="451"/>
      <c r="DN103" s="451"/>
      <c r="DO103" s="451"/>
      <c r="DP103" s="452"/>
      <c r="DQ103" s="451"/>
      <c r="DR103" s="451"/>
      <c r="DS103" s="451"/>
      <c r="DT103" s="451"/>
      <c r="DU103" s="452"/>
      <c r="DV103" s="451"/>
      <c r="DW103" s="451"/>
      <c r="DX103" s="451"/>
      <c r="DY103" s="451"/>
      <c r="DZ103" s="452"/>
      <c r="EA103" s="451"/>
      <c r="EB103" s="451"/>
      <c r="EC103" s="451"/>
      <c r="ED103" s="451"/>
      <c r="EE103" s="452"/>
      <c r="EF103" s="451"/>
      <c r="EG103" s="451"/>
      <c r="EH103" s="451"/>
      <c r="EI103" s="451"/>
      <c r="EJ103" s="452"/>
      <c r="EK103" s="451"/>
      <c r="EL103" s="451"/>
      <c r="EM103" s="451"/>
      <c r="EN103" s="451"/>
      <c r="EO103" s="13"/>
      <c r="EP103" s="14"/>
      <c r="EQ103" s="14"/>
    </row>
    <row r="104" spans="4:147" x14ac:dyDescent="0.2">
      <c r="D104" s="13" t="s">
        <v>368</v>
      </c>
      <c r="E104" s="198"/>
      <c r="G104" s="451">
        <f>SUM(G105:G105)</f>
        <v>0</v>
      </c>
      <c r="H104" s="451"/>
      <c r="I104" s="451"/>
      <c r="J104" s="452"/>
      <c r="L104" s="451">
        <f>SUM(L105:L105)</f>
        <v>0</v>
      </c>
      <c r="M104" s="451"/>
      <c r="N104" s="451"/>
      <c r="O104" s="452"/>
      <c r="P104" s="451"/>
      <c r="Q104" s="451">
        <f>SUM(Q105:Q105)</f>
        <v>0</v>
      </c>
      <c r="R104" s="451"/>
      <c r="S104" s="451"/>
      <c r="T104" s="452"/>
      <c r="U104" s="451"/>
      <c r="V104" s="451">
        <f>SUM(V105:V105)</f>
        <v>0</v>
      </c>
      <c r="W104" s="451"/>
      <c r="X104" s="451"/>
      <c r="Y104" s="452"/>
      <c r="Z104" s="451"/>
      <c r="AA104" s="451">
        <f>SUM(AA105:AA105)</f>
        <v>0</v>
      </c>
      <c r="AB104" s="451"/>
      <c r="AC104" s="451"/>
      <c r="AD104" s="452"/>
      <c r="AE104" s="451"/>
      <c r="AF104" s="451">
        <f>SUM(AF105:AF105)</f>
        <v>0</v>
      </c>
      <c r="AG104" s="451"/>
      <c r="AH104" s="451"/>
      <c r="AI104" s="452"/>
      <c r="AJ104" s="451"/>
      <c r="AK104" s="451">
        <f>SUM(AK105:AK105)</f>
        <v>0</v>
      </c>
      <c r="AL104" s="451"/>
      <c r="AM104" s="451"/>
      <c r="AN104" s="452"/>
      <c r="AO104" s="451"/>
      <c r="AP104" s="451">
        <f>SUM(AP105:AP105)</f>
        <v>0</v>
      </c>
      <c r="AQ104" s="451"/>
      <c r="AR104" s="451"/>
      <c r="AS104" s="452"/>
      <c r="AT104" s="451"/>
      <c r="AU104" s="451">
        <f>SUM(AU105:AU105)</f>
        <v>0</v>
      </c>
      <c r="AV104" s="451"/>
      <c r="AW104" s="451"/>
      <c r="AX104" s="452"/>
      <c r="AY104" s="451"/>
      <c r="AZ104" s="451">
        <f>SUM(AZ105:AZ105)</f>
        <v>0</v>
      </c>
      <c r="BA104" s="451"/>
      <c r="BB104" s="451"/>
      <c r="BC104" s="452"/>
      <c r="BD104" s="451"/>
      <c r="BE104" s="451">
        <f>SUM(BE105:BE105)</f>
        <v>0</v>
      </c>
      <c r="BF104" s="451"/>
      <c r="BG104" s="451"/>
      <c r="BH104" s="452"/>
      <c r="BI104" s="451"/>
      <c r="BJ104" s="451">
        <f>SUM(BJ105:BJ105)</f>
        <v>0</v>
      </c>
      <c r="BK104" s="451"/>
      <c r="BL104" s="451"/>
      <c r="BM104" s="452"/>
      <c r="BN104" s="451"/>
      <c r="BO104" s="451">
        <f>SUM(BO105:BO105)</f>
        <v>0</v>
      </c>
      <c r="BP104" s="451"/>
      <c r="BQ104" s="451"/>
      <c r="BR104" s="452"/>
      <c r="BT104" s="451">
        <f>SUM(BT105:BT105)</f>
        <v>0</v>
      </c>
      <c r="BU104" s="451"/>
      <c r="BV104" s="451"/>
      <c r="BW104" s="452"/>
      <c r="BY104" s="451">
        <f>SUM(BY105:BY105)</f>
        <v>266052</v>
      </c>
      <c r="BZ104" s="451"/>
      <c r="CA104" s="451"/>
      <c r="CB104" s="452"/>
      <c r="CD104" s="451">
        <f>SUM(CD105:CD105)</f>
        <v>0</v>
      </c>
      <c r="CE104" s="451"/>
      <c r="CF104" s="451"/>
      <c r="CG104" s="452"/>
      <c r="CH104" s="451"/>
      <c r="CI104" s="451">
        <f>SUM(CI105:CI105)</f>
        <v>0</v>
      </c>
      <c r="CJ104" s="451"/>
      <c r="CK104" s="451"/>
      <c r="CL104" s="452"/>
      <c r="CM104" s="451"/>
      <c r="CN104" s="451">
        <f>SUM(CN105:CN105)</f>
        <v>0</v>
      </c>
      <c r="CO104" s="451"/>
      <c r="CP104" s="451"/>
      <c r="CQ104" s="452"/>
      <c r="CR104" s="451"/>
      <c r="CS104" s="451">
        <f>SUM(CS105:CS105)</f>
        <v>0</v>
      </c>
      <c r="CT104" s="451"/>
      <c r="CU104" s="451"/>
      <c r="CV104" s="452"/>
      <c r="CW104" s="451"/>
      <c r="CX104" s="451">
        <f>SUM(CX105:CX105)</f>
        <v>266052</v>
      </c>
      <c r="CY104" s="451"/>
      <c r="CZ104" s="451"/>
      <c r="DA104" s="452"/>
      <c r="DB104" s="451"/>
      <c r="DC104" s="451">
        <f>SUM(DC105:DC105)</f>
        <v>0</v>
      </c>
      <c r="DD104" s="451"/>
      <c r="DE104" s="451"/>
      <c r="DF104" s="452"/>
      <c r="DG104" s="451"/>
      <c r="DH104" s="451">
        <f>SUM(DH105:DH105)</f>
        <v>0</v>
      </c>
      <c r="DI104" s="451"/>
      <c r="DJ104" s="451"/>
      <c r="DK104" s="452"/>
      <c r="DL104" s="451"/>
      <c r="DM104" s="451">
        <f>SUM(DM105:DM105)</f>
        <v>0</v>
      </c>
      <c r="DN104" s="451"/>
      <c r="DO104" s="451"/>
      <c r="DP104" s="452"/>
      <c r="DQ104" s="451"/>
      <c r="DR104" s="451">
        <f>SUM(DR105:DR105)</f>
        <v>0</v>
      </c>
      <c r="DS104" s="451"/>
      <c r="DT104" s="451"/>
      <c r="DU104" s="452"/>
      <c r="DV104" s="451"/>
      <c r="DW104" s="451">
        <f>SUM(DW105:DW105)</f>
        <v>0</v>
      </c>
      <c r="DX104" s="451"/>
      <c r="DY104" s="451"/>
      <c r="DZ104" s="452"/>
      <c r="EA104" s="451"/>
      <c r="EB104" s="451">
        <f>SUM(EB105:EB105)</f>
        <v>0</v>
      </c>
      <c r="EC104" s="451"/>
      <c r="ED104" s="451"/>
      <c r="EE104" s="452"/>
      <c r="EF104" s="451"/>
      <c r="EG104" s="451">
        <f>SUM(EG105:EG105)</f>
        <v>0</v>
      </c>
      <c r="EH104" s="451"/>
      <c r="EI104" s="451"/>
      <c r="EJ104" s="452"/>
      <c r="EL104" s="451">
        <f>SUM(EL105:EL105)</f>
        <v>266052</v>
      </c>
      <c r="EM104" s="451"/>
      <c r="EO104" s="13"/>
      <c r="EP104" s="14"/>
      <c r="EQ104" s="14"/>
    </row>
    <row r="105" spans="4:147" x14ac:dyDescent="0.2">
      <c r="D105" s="13" t="s">
        <v>347</v>
      </c>
      <c r="E105" s="198"/>
      <c r="F105" s="456"/>
      <c r="G105" s="457">
        <v>0</v>
      </c>
      <c r="H105" s="458"/>
      <c r="I105" s="451"/>
      <c r="J105" s="452"/>
      <c r="K105" s="456"/>
      <c r="L105" s="457">
        <v>0</v>
      </c>
      <c r="M105" s="458"/>
      <c r="N105" s="451"/>
      <c r="O105" s="452"/>
      <c r="P105" s="459"/>
      <c r="Q105" s="457">
        <v>0</v>
      </c>
      <c r="R105" s="458"/>
      <c r="S105" s="451"/>
      <c r="T105" s="452"/>
      <c r="U105" s="459"/>
      <c r="V105" s="457">
        <v>0</v>
      </c>
      <c r="W105" s="458"/>
      <c r="X105" s="451"/>
      <c r="Y105" s="452"/>
      <c r="Z105" s="459"/>
      <c r="AA105" s="457">
        <v>0</v>
      </c>
      <c r="AB105" s="458"/>
      <c r="AC105" s="451"/>
      <c r="AD105" s="452"/>
      <c r="AE105" s="459"/>
      <c r="AF105" s="457">
        <v>0</v>
      </c>
      <c r="AG105" s="458"/>
      <c r="AH105" s="451"/>
      <c r="AI105" s="452"/>
      <c r="AJ105" s="459"/>
      <c r="AK105" s="457">
        <v>0</v>
      </c>
      <c r="AL105" s="458"/>
      <c r="AM105" s="451"/>
      <c r="AN105" s="452"/>
      <c r="AO105" s="459"/>
      <c r="AP105" s="457">
        <v>0</v>
      </c>
      <c r="AQ105" s="458"/>
      <c r="AR105" s="451"/>
      <c r="AS105" s="452"/>
      <c r="AT105" s="459"/>
      <c r="AU105" s="457">
        <v>0</v>
      </c>
      <c r="AV105" s="458"/>
      <c r="AW105" s="451"/>
      <c r="AX105" s="452"/>
      <c r="AY105" s="459"/>
      <c r="AZ105" s="457">
        <v>0</v>
      </c>
      <c r="BA105" s="458"/>
      <c r="BB105" s="451"/>
      <c r="BC105" s="452"/>
      <c r="BD105" s="459"/>
      <c r="BE105" s="457">
        <v>0</v>
      </c>
      <c r="BF105" s="458"/>
      <c r="BG105" s="451"/>
      <c r="BH105" s="452"/>
      <c r="BI105" s="459"/>
      <c r="BJ105" s="457">
        <v>0</v>
      </c>
      <c r="BK105" s="458"/>
      <c r="BL105" s="451"/>
      <c r="BM105" s="452"/>
      <c r="BN105" s="459"/>
      <c r="BO105" s="457">
        <v>0</v>
      </c>
      <c r="BP105" s="458"/>
      <c r="BQ105" s="451"/>
      <c r="BR105" s="452"/>
      <c r="BS105" s="459"/>
      <c r="BT105" s="457">
        <f>SUM(L105:BO105)</f>
        <v>0</v>
      </c>
      <c r="BU105" s="458"/>
      <c r="BV105" s="451"/>
      <c r="BW105" s="452"/>
      <c r="BX105" s="456"/>
      <c r="BY105" s="457">
        <v>266052</v>
      </c>
      <c r="BZ105" s="458"/>
      <c r="CA105" s="451"/>
      <c r="CB105" s="452"/>
      <c r="CC105" s="456"/>
      <c r="CD105" s="457">
        <v>0</v>
      </c>
      <c r="CE105" s="458"/>
      <c r="CF105" s="451"/>
      <c r="CG105" s="452"/>
      <c r="CH105" s="459"/>
      <c r="CI105" s="457">
        <v>0</v>
      </c>
      <c r="CJ105" s="458"/>
      <c r="CK105" s="451"/>
      <c r="CL105" s="452"/>
      <c r="CM105" s="459"/>
      <c r="CN105" s="457">
        <v>0</v>
      </c>
      <c r="CO105" s="458"/>
      <c r="CP105" s="451"/>
      <c r="CQ105" s="452"/>
      <c r="CR105" s="459"/>
      <c r="CS105" s="457">
        <v>0</v>
      </c>
      <c r="CT105" s="458"/>
      <c r="CU105" s="451"/>
      <c r="CV105" s="452"/>
      <c r="CW105" s="459"/>
      <c r="CX105" s="457">
        <v>266052</v>
      </c>
      <c r="CY105" s="458"/>
      <c r="CZ105" s="451"/>
      <c r="DA105" s="452"/>
      <c r="DB105" s="459"/>
      <c r="DC105" s="457">
        <v>0</v>
      </c>
      <c r="DD105" s="458"/>
      <c r="DE105" s="451"/>
      <c r="DF105" s="452"/>
      <c r="DG105" s="459"/>
      <c r="DH105" s="457">
        <v>0</v>
      </c>
      <c r="DI105" s="458"/>
      <c r="DJ105" s="451"/>
      <c r="DK105" s="452"/>
      <c r="DL105" s="459"/>
      <c r="DM105" s="457">
        <v>0</v>
      </c>
      <c r="DN105" s="458"/>
      <c r="DO105" s="451"/>
      <c r="DP105" s="452"/>
      <c r="DQ105" s="459"/>
      <c r="DR105" s="457">
        <v>0</v>
      </c>
      <c r="DS105" s="458"/>
      <c r="DT105" s="451"/>
      <c r="DU105" s="452"/>
      <c r="DV105" s="459"/>
      <c r="DW105" s="457">
        <v>0</v>
      </c>
      <c r="DX105" s="458"/>
      <c r="DY105" s="451"/>
      <c r="DZ105" s="452"/>
      <c r="EA105" s="459"/>
      <c r="EB105" s="457">
        <v>0</v>
      </c>
      <c r="EC105" s="458"/>
      <c r="ED105" s="451"/>
      <c r="EE105" s="452"/>
      <c r="EF105" s="459"/>
      <c r="EG105" s="457">
        <v>0</v>
      </c>
      <c r="EH105" s="458"/>
      <c r="EI105" s="451"/>
      <c r="EJ105" s="452"/>
      <c r="EK105" s="456"/>
      <c r="EL105" s="457">
        <f>SUM(CD105:DW105)</f>
        <v>266052</v>
      </c>
      <c r="EM105" s="458"/>
      <c r="EO105" s="13"/>
      <c r="EP105" s="14"/>
      <c r="EQ105" s="14"/>
    </row>
    <row r="106" spans="4:147" ht="12.75" customHeight="1" x14ac:dyDescent="0.2">
      <c r="D106" s="13"/>
      <c r="E106" s="198"/>
      <c r="G106" s="451"/>
      <c r="H106" s="451"/>
      <c r="I106" s="451"/>
      <c r="J106" s="452"/>
      <c r="K106" s="451"/>
      <c r="L106" s="451"/>
      <c r="M106" s="451"/>
      <c r="N106" s="451"/>
      <c r="O106" s="452"/>
      <c r="P106" s="451"/>
      <c r="Q106" s="451"/>
      <c r="R106" s="451"/>
      <c r="S106" s="451"/>
      <c r="T106" s="452"/>
      <c r="U106" s="451"/>
      <c r="V106" s="451"/>
      <c r="W106" s="451"/>
      <c r="X106" s="451"/>
      <c r="Y106" s="452"/>
      <c r="Z106" s="451"/>
      <c r="AA106" s="451"/>
      <c r="AB106" s="451"/>
      <c r="AC106" s="451"/>
      <c r="AD106" s="452"/>
      <c r="AE106" s="451"/>
      <c r="AF106" s="451"/>
      <c r="AG106" s="451"/>
      <c r="AH106" s="451"/>
      <c r="AI106" s="452"/>
      <c r="AJ106" s="451"/>
      <c r="AK106" s="451"/>
      <c r="AL106" s="451"/>
      <c r="AM106" s="451"/>
      <c r="AN106" s="452"/>
      <c r="AO106" s="451"/>
      <c r="AP106" s="451"/>
      <c r="AQ106" s="451"/>
      <c r="AR106" s="451"/>
      <c r="AS106" s="452"/>
      <c r="AT106" s="451"/>
      <c r="AU106" s="451"/>
      <c r="AV106" s="451"/>
      <c r="AW106" s="451"/>
      <c r="AX106" s="452"/>
      <c r="AY106" s="451"/>
      <c r="AZ106" s="451"/>
      <c r="BA106" s="451"/>
      <c r="BB106" s="451"/>
      <c r="BC106" s="452"/>
      <c r="BD106" s="451"/>
      <c r="BE106" s="451"/>
      <c r="BF106" s="451"/>
      <c r="BG106" s="451"/>
      <c r="BH106" s="452"/>
      <c r="BI106" s="451"/>
      <c r="BJ106" s="451"/>
      <c r="BK106" s="451"/>
      <c r="BL106" s="451"/>
      <c r="BM106" s="452"/>
      <c r="BN106" s="451"/>
      <c r="BO106" s="451"/>
      <c r="BP106" s="451"/>
      <c r="BQ106" s="451"/>
      <c r="BR106" s="452"/>
      <c r="BS106" s="451"/>
      <c r="BT106" s="451"/>
      <c r="BU106" s="451"/>
      <c r="BV106" s="451"/>
      <c r="BW106" s="452"/>
      <c r="BX106" s="451"/>
      <c r="BY106" s="451"/>
      <c r="BZ106" s="451"/>
      <c r="CA106" s="451"/>
      <c r="CB106" s="452"/>
      <c r="CC106" s="451"/>
      <c r="CD106" s="451"/>
      <c r="CE106" s="451"/>
      <c r="CF106" s="451"/>
      <c r="CG106" s="452"/>
      <c r="CH106" s="451"/>
      <c r="CI106" s="451"/>
      <c r="CJ106" s="451"/>
      <c r="CK106" s="451"/>
      <c r="CL106" s="452"/>
      <c r="CM106" s="451"/>
      <c r="CN106" s="451"/>
      <c r="CO106" s="451"/>
      <c r="CP106" s="451"/>
      <c r="CQ106" s="452"/>
      <c r="CR106" s="451"/>
      <c r="CS106" s="451"/>
      <c r="CT106" s="451"/>
      <c r="CU106" s="451"/>
      <c r="CV106" s="452"/>
      <c r="CW106" s="451"/>
      <c r="CX106" s="451"/>
      <c r="CY106" s="451"/>
      <c r="CZ106" s="451"/>
      <c r="DA106" s="452"/>
      <c r="DB106" s="451"/>
      <c r="DC106" s="451"/>
      <c r="DD106" s="451"/>
      <c r="DE106" s="451"/>
      <c r="DF106" s="452"/>
      <c r="DG106" s="451"/>
      <c r="DH106" s="451"/>
      <c r="DI106" s="451"/>
      <c r="DJ106" s="451"/>
      <c r="DK106" s="452"/>
      <c r="DL106" s="451"/>
      <c r="DM106" s="451"/>
      <c r="DN106" s="451"/>
      <c r="DO106" s="451"/>
      <c r="DP106" s="452"/>
      <c r="DQ106" s="451"/>
      <c r="DR106" s="451"/>
      <c r="DS106" s="451"/>
      <c r="DT106" s="451"/>
      <c r="DU106" s="452"/>
      <c r="DV106" s="451"/>
      <c r="DW106" s="451"/>
      <c r="DX106" s="451"/>
      <c r="DY106" s="451"/>
      <c r="DZ106" s="452"/>
      <c r="EA106" s="451"/>
      <c r="EB106" s="451"/>
      <c r="EC106" s="451"/>
      <c r="ED106" s="451"/>
      <c r="EE106" s="452"/>
      <c r="EF106" s="451"/>
      <c r="EG106" s="451"/>
      <c r="EH106" s="451"/>
      <c r="EI106" s="451"/>
      <c r="EJ106" s="452"/>
      <c r="EK106" s="451"/>
      <c r="EL106" s="451"/>
      <c r="EO106" s="13"/>
      <c r="EP106" s="14"/>
      <c r="EQ106" s="14"/>
    </row>
    <row r="107" spans="4:147" ht="12.75" customHeight="1" x14ac:dyDescent="0.2">
      <c r="D107" s="13" t="str">
        <f>[31]domlongtermissues!D338</f>
        <v xml:space="preserve">  R209  (6.25%  2036/03/31)</v>
      </c>
      <c r="E107" s="198"/>
      <c r="G107" s="451">
        <f>SUM(G108:G108)</f>
        <v>0</v>
      </c>
      <c r="H107" s="451"/>
      <c r="I107" s="451"/>
      <c r="J107" s="452"/>
      <c r="K107" s="451"/>
      <c r="L107" s="451">
        <f>SUM(L108:L108)</f>
        <v>0</v>
      </c>
      <c r="M107" s="451"/>
      <c r="N107" s="451"/>
      <c r="O107" s="452"/>
      <c r="P107" s="451"/>
      <c r="Q107" s="451">
        <f>SUM(Q108:Q108)</f>
        <v>0</v>
      </c>
      <c r="R107" s="451"/>
      <c r="S107" s="451"/>
      <c r="T107" s="452"/>
      <c r="U107" s="451"/>
      <c r="V107" s="451">
        <f>SUM(V108:V108)</f>
        <v>0</v>
      </c>
      <c r="W107" s="451"/>
      <c r="X107" s="451"/>
      <c r="Y107" s="452"/>
      <c r="Z107" s="451"/>
      <c r="AA107" s="451">
        <f>SUM(AA108:AA108)</f>
        <v>0</v>
      </c>
      <c r="AB107" s="451"/>
      <c r="AC107" s="451"/>
      <c r="AD107" s="452"/>
      <c r="AE107" s="451"/>
      <c r="AF107" s="451">
        <f>SUM(AF108:AF108)</f>
        <v>0</v>
      </c>
      <c r="AG107" s="451"/>
      <c r="AH107" s="451"/>
      <c r="AI107" s="452"/>
      <c r="AJ107" s="451"/>
      <c r="AK107" s="451">
        <f>SUM(AK108:AK108)</f>
        <v>18552</v>
      </c>
      <c r="AL107" s="451"/>
      <c r="AM107" s="451"/>
      <c r="AN107" s="452"/>
      <c r="AO107" s="451"/>
      <c r="AP107" s="451">
        <f>SUM(AP108:AP108)</f>
        <v>0</v>
      </c>
      <c r="AQ107" s="451"/>
      <c r="AR107" s="451"/>
      <c r="AS107" s="452"/>
      <c r="AT107" s="451"/>
      <c r="AU107" s="451">
        <f>SUM(AU108:AU108)</f>
        <v>0</v>
      </c>
      <c r="AV107" s="451"/>
      <c r="AW107" s="451"/>
      <c r="AX107" s="452"/>
      <c r="AY107" s="451"/>
      <c r="AZ107" s="451">
        <f>SUM(AZ108:AZ108)</f>
        <v>0</v>
      </c>
      <c r="BA107" s="451"/>
      <c r="BB107" s="451"/>
      <c r="BC107" s="452"/>
      <c r="BD107" s="451"/>
      <c r="BE107" s="451">
        <f>SUM(BE108:BE108)</f>
        <v>0</v>
      </c>
      <c r="BF107" s="451"/>
      <c r="BG107" s="451"/>
      <c r="BH107" s="452"/>
      <c r="BI107" s="451"/>
      <c r="BJ107" s="451">
        <f>SUM(BJ108:BJ108)</f>
        <v>0</v>
      </c>
      <c r="BK107" s="451"/>
      <c r="BL107" s="451"/>
      <c r="BM107" s="452"/>
      <c r="BN107" s="451"/>
      <c r="BO107" s="451">
        <f>SUM(BO108:BO108)</f>
        <v>0</v>
      </c>
      <c r="BP107" s="451"/>
      <c r="BQ107" s="451"/>
      <c r="BR107" s="452"/>
      <c r="BS107" s="451"/>
      <c r="BT107" s="451">
        <f>SUM(BT108:BT108)</f>
        <v>18552</v>
      </c>
      <c r="BU107" s="451"/>
      <c r="BV107" s="451"/>
      <c r="BW107" s="452"/>
      <c r="BX107" s="451"/>
      <c r="BY107" s="451">
        <f>SUM(BY108:BY108)</f>
        <v>0</v>
      </c>
      <c r="BZ107" s="451"/>
      <c r="CA107" s="451"/>
      <c r="CB107" s="452"/>
      <c r="CC107" s="451"/>
      <c r="CD107" s="451">
        <f>SUM(CD108:CD108)</f>
        <v>0</v>
      </c>
      <c r="CE107" s="451"/>
      <c r="CF107" s="451"/>
      <c r="CG107" s="452"/>
      <c r="CH107" s="451"/>
      <c r="CI107" s="451">
        <f>SUM(CI108:CI108)</f>
        <v>0</v>
      </c>
      <c r="CJ107" s="451"/>
      <c r="CK107" s="451"/>
      <c r="CL107" s="452"/>
      <c r="CM107" s="451"/>
      <c r="CN107" s="451">
        <f>SUM(CN108:CN108)</f>
        <v>0</v>
      </c>
      <c r="CO107" s="451"/>
      <c r="CP107" s="451"/>
      <c r="CQ107" s="452"/>
      <c r="CR107" s="451"/>
      <c r="CS107" s="451">
        <f>SUM(CS108:CS108)</f>
        <v>0</v>
      </c>
      <c r="CT107" s="451"/>
      <c r="CU107" s="451"/>
      <c r="CV107" s="452"/>
      <c r="CW107" s="451"/>
      <c r="CX107" s="451">
        <f>SUM(CX108:CX108)</f>
        <v>0</v>
      </c>
      <c r="CY107" s="451"/>
      <c r="CZ107" s="451"/>
      <c r="DA107" s="452"/>
      <c r="DB107" s="451"/>
      <c r="DC107" s="451">
        <f>SUM(DC108:DC108)</f>
        <v>0</v>
      </c>
      <c r="DD107" s="451"/>
      <c r="DE107" s="451"/>
      <c r="DF107" s="452"/>
      <c r="DG107" s="451"/>
      <c r="DH107" s="451">
        <f>SUM(DH108:DH108)</f>
        <v>0</v>
      </c>
      <c r="DI107" s="451"/>
      <c r="DJ107" s="451"/>
      <c r="DK107" s="452"/>
      <c r="DL107" s="451"/>
      <c r="DM107" s="451">
        <f>SUM(DM108:DM108)</f>
        <v>0</v>
      </c>
      <c r="DN107" s="451"/>
      <c r="DO107" s="451"/>
      <c r="DP107" s="452"/>
      <c r="DQ107" s="451"/>
      <c r="DR107" s="451">
        <f>SUM(DR108:DR108)</f>
        <v>0</v>
      </c>
      <c r="DS107" s="451"/>
      <c r="DT107" s="451"/>
      <c r="DU107" s="452"/>
      <c r="DV107" s="451"/>
      <c r="DW107" s="451">
        <f>SUM(DW108:DW108)</f>
        <v>0</v>
      </c>
      <c r="DX107" s="451"/>
      <c r="DY107" s="451"/>
      <c r="DZ107" s="452"/>
      <c r="EA107" s="451"/>
      <c r="EB107" s="451">
        <f>SUM(EB108:EB108)</f>
        <v>0</v>
      </c>
      <c r="EC107" s="451"/>
      <c r="ED107" s="451"/>
      <c r="EE107" s="452"/>
      <c r="EF107" s="451"/>
      <c r="EG107" s="451">
        <f>SUM(EG108:EG108)</f>
        <v>0</v>
      </c>
      <c r="EH107" s="451"/>
      <c r="EI107" s="451"/>
      <c r="EJ107" s="452"/>
      <c r="EK107" s="451"/>
      <c r="EL107" s="451">
        <f>SUM(EL108:EL108)</f>
        <v>0</v>
      </c>
      <c r="EO107" s="13"/>
      <c r="EP107" s="14"/>
      <c r="EQ107" s="14"/>
    </row>
    <row r="108" spans="4:147" ht="12.75" customHeight="1" x14ac:dyDescent="0.2">
      <c r="D108" s="13" t="s">
        <v>347</v>
      </c>
      <c r="E108" s="198"/>
      <c r="F108" s="456"/>
      <c r="G108" s="457">
        <v>0</v>
      </c>
      <c r="H108" s="458"/>
      <c r="I108" s="451"/>
      <c r="J108" s="452"/>
      <c r="K108" s="456"/>
      <c r="L108" s="457">
        <v>0</v>
      </c>
      <c r="M108" s="458"/>
      <c r="N108" s="451"/>
      <c r="O108" s="452"/>
      <c r="P108" s="456"/>
      <c r="Q108" s="457">
        <v>0</v>
      </c>
      <c r="R108" s="458"/>
      <c r="S108" s="451"/>
      <c r="T108" s="452"/>
      <c r="U108" s="456"/>
      <c r="V108" s="457">
        <v>0</v>
      </c>
      <c r="W108" s="458"/>
      <c r="X108" s="451"/>
      <c r="Y108" s="452"/>
      <c r="Z108" s="456"/>
      <c r="AA108" s="457">
        <v>0</v>
      </c>
      <c r="AB108" s="458"/>
      <c r="AC108" s="451"/>
      <c r="AD108" s="452"/>
      <c r="AE108" s="456"/>
      <c r="AF108" s="457">
        <v>0</v>
      </c>
      <c r="AG108" s="458"/>
      <c r="AH108" s="451"/>
      <c r="AI108" s="452"/>
      <c r="AJ108" s="456"/>
      <c r="AK108" s="457">
        <v>18552</v>
      </c>
      <c r="AL108" s="458"/>
      <c r="AM108" s="455"/>
      <c r="AN108" s="462"/>
      <c r="AO108" s="456"/>
      <c r="AP108" s="457">
        <v>0</v>
      </c>
      <c r="AQ108" s="458"/>
      <c r="AR108" s="451"/>
      <c r="AS108" s="452"/>
      <c r="AT108" s="456"/>
      <c r="AU108" s="457">
        <v>0</v>
      </c>
      <c r="AV108" s="458"/>
      <c r="AW108" s="451"/>
      <c r="AX108" s="452"/>
      <c r="AY108" s="456"/>
      <c r="AZ108" s="457">
        <v>0</v>
      </c>
      <c r="BA108" s="458"/>
      <c r="BB108" s="451"/>
      <c r="BC108" s="452"/>
      <c r="BD108" s="456"/>
      <c r="BE108" s="457">
        <v>0</v>
      </c>
      <c r="BF108" s="458"/>
      <c r="BG108" s="451"/>
      <c r="BH108" s="452"/>
      <c r="BI108" s="456"/>
      <c r="BJ108" s="457">
        <v>0</v>
      </c>
      <c r="BK108" s="458"/>
      <c r="BL108" s="451"/>
      <c r="BM108" s="452"/>
      <c r="BN108" s="456"/>
      <c r="BO108" s="457">
        <v>0</v>
      </c>
      <c r="BP108" s="458"/>
      <c r="BQ108" s="451"/>
      <c r="BR108" s="452"/>
      <c r="BS108" s="456"/>
      <c r="BT108" s="457">
        <f>SUM(L108:BO108)</f>
        <v>18552</v>
      </c>
      <c r="BU108" s="458"/>
      <c r="BV108" s="451"/>
      <c r="BW108" s="452"/>
      <c r="BX108" s="456"/>
      <c r="BY108" s="457">
        <v>0</v>
      </c>
      <c r="BZ108" s="458"/>
      <c r="CA108" s="451"/>
      <c r="CB108" s="452"/>
      <c r="CC108" s="456"/>
      <c r="CD108" s="457">
        <v>0</v>
      </c>
      <c r="CE108" s="458"/>
      <c r="CF108" s="451"/>
      <c r="CG108" s="452"/>
      <c r="CH108" s="456"/>
      <c r="CI108" s="457">
        <v>0</v>
      </c>
      <c r="CJ108" s="458"/>
      <c r="CK108" s="451"/>
      <c r="CL108" s="452"/>
      <c r="CM108" s="456"/>
      <c r="CN108" s="457">
        <v>0</v>
      </c>
      <c r="CO108" s="458"/>
      <c r="CP108" s="451"/>
      <c r="CQ108" s="452"/>
      <c r="CR108" s="456"/>
      <c r="CS108" s="457">
        <v>0</v>
      </c>
      <c r="CT108" s="458"/>
      <c r="CU108" s="451"/>
      <c r="CV108" s="452"/>
      <c r="CW108" s="456"/>
      <c r="CX108" s="457">
        <v>0</v>
      </c>
      <c r="CY108" s="458"/>
      <c r="CZ108" s="451"/>
      <c r="DA108" s="452"/>
      <c r="DB108" s="456"/>
      <c r="DC108" s="457">
        <v>0</v>
      </c>
      <c r="DD108" s="458"/>
      <c r="DE108" s="455"/>
      <c r="DF108" s="462"/>
      <c r="DG108" s="456"/>
      <c r="DH108" s="457">
        <v>0</v>
      </c>
      <c r="DI108" s="458"/>
      <c r="DJ108" s="451"/>
      <c r="DK108" s="452"/>
      <c r="DL108" s="456"/>
      <c r="DM108" s="457">
        <v>0</v>
      </c>
      <c r="DN108" s="458"/>
      <c r="DO108" s="451"/>
      <c r="DP108" s="452"/>
      <c r="DQ108" s="456"/>
      <c r="DR108" s="457">
        <v>0</v>
      </c>
      <c r="DS108" s="458"/>
      <c r="DT108" s="451"/>
      <c r="DU108" s="452"/>
      <c r="DV108" s="456"/>
      <c r="DW108" s="457">
        <v>0</v>
      </c>
      <c r="DX108" s="458"/>
      <c r="DY108" s="451"/>
      <c r="DZ108" s="452"/>
      <c r="EA108" s="456"/>
      <c r="EB108" s="457">
        <v>0</v>
      </c>
      <c r="EC108" s="458"/>
      <c r="ED108" s="451"/>
      <c r="EE108" s="452"/>
      <c r="EF108" s="456"/>
      <c r="EG108" s="457">
        <v>0</v>
      </c>
      <c r="EH108" s="458"/>
      <c r="EI108" s="451"/>
      <c r="EJ108" s="452"/>
      <c r="EK108" s="456"/>
      <c r="EL108" s="457">
        <f>SUM(CD108:DW108)</f>
        <v>0</v>
      </c>
      <c r="EM108" s="458"/>
      <c r="EO108" s="13"/>
      <c r="EP108" s="14"/>
      <c r="EQ108" s="14"/>
    </row>
    <row r="109" spans="4:147" x14ac:dyDescent="0.2">
      <c r="D109" s="13"/>
      <c r="E109" s="198"/>
      <c r="G109" s="451"/>
      <c r="H109" s="451"/>
      <c r="I109" s="451"/>
      <c r="J109" s="452"/>
      <c r="L109" s="451"/>
      <c r="M109" s="451"/>
      <c r="N109" s="451"/>
      <c r="O109" s="452"/>
      <c r="Q109" s="451"/>
      <c r="R109" s="451"/>
      <c r="S109" s="451"/>
      <c r="T109" s="452"/>
      <c r="V109" s="451"/>
      <c r="W109" s="451"/>
      <c r="X109" s="451"/>
      <c r="Y109" s="452"/>
      <c r="AA109" s="451"/>
      <c r="AB109" s="451"/>
      <c r="AC109" s="451"/>
      <c r="AD109" s="452"/>
      <c r="AF109" s="451"/>
      <c r="AG109" s="451"/>
      <c r="AH109" s="451"/>
      <c r="AI109" s="452"/>
      <c r="AK109" s="451"/>
      <c r="AL109" s="451"/>
      <c r="AM109" s="451"/>
      <c r="AN109" s="452"/>
      <c r="AP109" s="451"/>
      <c r="AQ109" s="451"/>
      <c r="AR109" s="451"/>
      <c r="AS109" s="452"/>
      <c r="AU109" s="451"/>
      <c r="AV109" s="451"/>
      <c r="AW109" s="451"/>
      <c r="AX109" s="452"/>
      <c r="AZ109" s="451"/>
      <c r="BA109" s="451"/>
      <c r="BB109" s="451"/>
      <c r="BC109" s="452"/>
      <c r="BE109" s="451"/>
      <c r="BF109" s="451"/>
      <c r="BG109" s="451"/>
      <c r="BH109" s="452"/>
      <c r="BJ109" s="451"/>
      <c r="BK109" s="451"/>
      <c r="BL109" s="451"/>
      <c r="BM109" s="452"/>
      <c r="BO109" s="451"/>
      <c r="BP109" s="451"/>
      <c r="BQ109" s="451"/>
      <c r="BR109" s="452"/>
      <c r="BT109" s="451"/>
      <c r="BU109" s="451"/>
      <c r="BV109" s="451"/>
      <c r="BW109" s="452"/>
      <c r="BY109" s="451"/>
      <c r="BZ109" s="451"/>
      <c r="CA109" s="451"/>
      <c r="CB109" s="452"/>
      <c r="CD109" s="451"/>
      <c r="CE109" s="451"/>
      <c r="CF109" s="451"/>
      <c r="CG109" s="452"/>
      <c r="CI109" s="451"/>
      <c r="CJ109" s="451"/>
      <c r="CK109" s="451"/>
      <c r="CL109" s="452"/>
      <c r="CN109" s="451"/>
      <c r="CO109" s="451"/>
      <c r="CP109" s="451"/>
      <c r="CQ109" s="452"/>
      <c r="CS109" s="451"/>
      <c r="CT109" s="451"/>
      <c r="CU109" s="451"/>
      <c r="CV109" s="452"/>
      <c r="CX109" s="451"/>
      <c r="CY109" s="451"/>
      <c r="CZ109" s="451"/>
      <c r="DA109" s="452"/>
      <c r="DC109" s="451"/>
      <c r="DD109" s="451"/>
      <c r="DE109" s="451"/>
      <c r="DF109" s="452"/>
      <c r="DH109" s="451"/>
      <c r="DI109" s="451"/>
      <c r="DJ109" s="451"/>
      <c r="DK109" s="452"/>
      <c r="DM109" s="451"/>
      <c r="DN109" s="451"/>
      <c r="DO109" s="451"/>
      <c r="DP109" s="452"/>
      <c r="DR109" s="451"/>
      <c r="DS109" s="451"/>
      <c r="DT109" s="451"/>
      <c r="DU109" s="452"/>
      <c r="DW109" s="451"/>
      <c r="DX109" s="451"/>
      <c r="DY109" s="451"/>
      <c r="DZ109" s="452"/>
      <c r="EB109" s="451"/>
      <c r="EC109" s="451"/>
      <c r="ED109" s="451"/>
      <c r="EE109" s="452"/>
      <c r="EG109" s="451"/>
      <c r="EH109" s="451"/>
      <c r="EI109" s="451"/>
      <c r="EJ109" s="452"/>
      <c r="EL109" s="451"/>
      <c r="EM109" s="451"/>
      <c r="EO109" s="13"/>
      <c r="EP109" s="14"/>
      <c r="EQ109" s="14"/>
    </row>
    <row r="110" spans="4:147" x14ac:dyDescent="0.2">
      <c r="D110" s="13" t="s">
        <v>377</v>
      </c>
      <c r="E110" s="198"/>
      <c r="G110" s="451">
        <f>SUM(G111:G111)</f>
        <v>0</v>
      </c>
      <c r="H110" s="451"/>
      <c r="I110" s="451"/>
      <c r="J110" s="452"/>
      <c r="K110" s="451"/>
      <c r="L110" s="451">
        <f>SUM(L111:L111)</f>
        <v>0</v>
      </c>
      <c r="M110" s="451"/>
      <c r="N110" s="451"/>
      <c r="O110" s="452"/>
      <c r="P110" s="451"/>
      <c r="Q110" s="451">
        <f>SUM(Q111:Q111)</f>
        <v>0</v>
      </c>
      <c r="R110" s="451"/>
      <c r="S110" s="451"/>
      <c r="T110" s="452"/>
      <c r="U110" s="451"/>
      <c r="V110" s="451">
        <f>SUM(V111:V111)</f>
        <v>0</v>
      </c>
      <c r="W110" s="451"/>
      <c r="X110" s="451"/>
      <c r="Y110" s="452"/>
      <c r="Z110" s="451"/>
      <c r="AA110" s="451">
        <f>SUM(AA111:AA111)</f>
        <v>0</v>
      </c>
      <c r="AB110" s="451"/>
      <c r="AC110" s="451"/>
      <c r="AD110" s="452"/>
      <c r="AE110" s="451"/>
      <c r="AF110" s="451">
        <f>SUM(AF111:AF111)</f>
        <v>0</v>
      </c>
      <c r="AG110" s="451"/>
      <c r="AH110" s="451"/>
      <c r="AI110" s="452"/>
      <c r="AJ110" s="451"/>
      <c r="AK110" s="451">
        <f>SUM(AK111:AK111)</f>
        <v>0</v>
      </c>
      <c r="AL110" s="451"/>
      <c r="AM110" s="451"/>
      <c r="AN110" s="452"/>
      <c r="AO110" s="451"/>
      <c r="AP110" s="451">
        <f>SUM(AP111:AP111)</f>
        <v>0</v>
      </c>
      <c r="AQ110" s="451"/>
      <c r="AR110" s="451"/>
      <c r="AS110" s="452"/>
      <c r="AT110" s="451"/>
      <c r="AU110" s="451">
        <f>SUM(AU111:AU111)</f>
        <v>0</v>
      </c>
      <c r="AV110" s="451"/>
      <c r="AW110" s="451"/>
      <c r="AX110" s="452"/>
      <c r="AY110" s="451"/>
      <c r="AZ110" s="451">
        <f>SUM(AZ111:AZ111)</f>
        <v>0</v>
      </c>
      <c r="BA110" s="451"/>
      <c r="BB110" s="451"/>
      <c r="BC110" s="452"/>
      <c r="BD110" s="451"/>
      <c r="BE110" s="451">
        <f>SUM(BE111:BE111)</f>
        <v>0</v>
      </c>
      <c r="BF110" s="451"/>
      <c r="BG110" s="451"/>
      <c r="BH110" s="452"/>
      <c r="BI110" s="451"/>
      <c r="BJ110" s="451">
        <f>SUM(BJ111:BJ111)</f>
        <v>0</v>
      </c>
      <c r="BK110" s="451"/>
      <c r="BL110" s="451"/>
      <c r="BM110" s="452"/>
      <c r="BN110" s="451"/>
      <c r="BO110" s="451">
        <f>SUM(BO111:BO111)</f>
        <v>0</v>
      </c>
      <c r="BP110" s="451"/>
      <c r="BQ110" s="451"/>
      <c r="BR110" s="452"/>
      <c r="BT110" s="451">
        <f>SUM(BT111:BT111)</f>
        <v>0</v>
      </c>
      <c r="BU110" s="451"/>
      <c r="BV110" s="451"/>
      <c r="BW110" s="452"/>
      <c r="BY110" s="451">
        <f>SUM(BY111:BY111)</f>
        <v>0</v>
      </c>
      <c r="BZ110" s="451"/>
      <c r="CA110" s="451"/>
      <c r="CB110" s="452"/>
      <c r="CC110" s="451"/>
      <c r="CD110" s="451">
        <f>SUM(CD111:CD111)</f>
        <v>0</v>
      </c>
      <c r="CE110" s="451"/>
      <c r="CF110" s="451"/>
      <c r="CG110" s="452"/>
      <c r="CH110" s="451"/>
      <c r="CI110" s="451">
        <f>SUM(CI111:CI111)</f>
        <v>0</v>
      </c>
      <c r="CJ110" s="451"/>
      <c r="CK110" s="451"/>
      <c r="CL110" s="452"/>
      <c r="CM110" s="451"/>
      <c r="CN110" s="451">
        <f>SUM(CN111:CN111)</f>
        <v>0</v>
      </c>
      <c r="CO110" s="451"/>
      <c r="CP110" s="451"/>
      <c r="CQ110" s="452"/>
      <c r="CR110" s="451"/>
      <c r="CS110" s="451">
        <f>SUM(CS111:CS111)</f>
        <v>0</v>
      </c>
      <c r="CT110" s="451"/>
      <c r="CU110" s="451"/>
      <c r="CV110" s="452"/>
      <c r="CW110" s="451"/>
      <c r="CX110" s="451">
        <f>SUM(CX111:CX111)</f>
        <v>0</v>
      </c>
      <c r="CY110" s="451"/>
      <c r="CZ110" s="451"/>
      <c r="DA110" s="452"/>
      <c r="DB110" s="451"/>
      <c r="DC110" s="451">
        <f>SUM(DC111:DC111)</f>
        <v>0</v>
      </c>
      <c r="DD110" s="451"/>
      <c r="DE110" s="451"/>
      <c r="DF110" s="452"/>
      <c r="DG110" s="451"/>
      <c r="DH110" s="451">
        <f>SUM(DH111:DH111)</f>
        <v>0</v>
      </c>
      <c r="DI110" s="451"/>
      <c r="DJ110" s="451"/>
      <c r="DK110" s="452"/>
      <c r="DL110" s="451"/>
      <c r="DM110" s="451">
        <f>SUM(DM111:DM111)</f>
        <v>0</v>
      </c>
      <c r="DN110" s="451"/>
      <c r="DO110" s="451"/>
      <c r="DP110" s="452"/>
      <c r="DQ110" s="451"/>
      <c r="DR110" s="451">
        <f>SUM(DR111:DR111)</f>
        <v>0</v>
      </c>
      <c r="DS110" s="451"/>
      <c r="DT110" s="451"/>
      <c r="DU110" s="452"/>
      <c r="DV110" s="451"/>
      <c r="DW110" s="451">
        <f>SUM(DW111:DW111)</f>
        <v>0</v>
      </c>
      <c r="DX110" s="451"/>
      <c r="DY110" s="451"/>
      <c r="DZ110" s="452"/>
      <c r="EA110" s="451"/>
      <c r="EB110" s="451">
        <f>SUM(EB111:EB111)</f>
        <v>0</v>
      </c>
      <c r="EC110" s="451"/>
      <c r="ED110" s="451"/>
      <c r="EE110" s="452"/>
      <c r="EF110" s="451"/>
      <c r="EG110" s="451">
        <f>SUM(EG111:EG111)</f>
        <v>0</v>
      </c>
      <c r="EH110" s="451"/>
      <c r="EI110" s="451"/>
      <c r="EJ110" s="452"/>
      <c r="EL110" s="451">
        <f>SUM(EL111:EL111)</f>
        <v>0</v>
      </c>
      <c r="EM110" s="451"/>
      <c r="EO110" s="13"/>
      <c r="EP110" s="14"/>
      <c r="EQ110" s="14"/>
    </row>
    <row r="111" spans="4:147" x14ac:dyDescent="0.2">
      <c r="D111" s="13" t="s">
        <v>347</v>
      </c>
      <c r="E111" s="198"/>
      <c r="F111" s="456"/>
      <c r="G111" s="457">
        <v>0</v>
      </c>
      <c r="H111" s="458"/>
      <c r="I111" s="451"/>
      <c r="J111" s="452"/>
      <c r="K111" s="456"/>
      <c r="L111" s="457">
        <v>0</v>
      </c>
      <c r="M111" s="458"/>
      <c r="N111" s="451"/>
      <c r="O111" s="452"/>
      <c r="P111" s="459"/>
      <c r="Q111" s="457">
        <v>0</v>
      </c>
      <c r="R111" s="458"/>
      <c r="S111" s="451"/>
      <c r="T111" s="452"/>
      <c r="U111" s="459"/>
      <c r="V111" s="457">
        <v>0</v>
      </c>
      <c r="W111" s="458"/>
      <c r="X111" s="451"/>
      <c r="Y111" s="452"/>
      <c r="Z111" s="459"/>
      <c r="AA111" s="457">
        <v>0</v>
      </c>
      <c r="AB111" s="458"/>
      <c r="AC111" s="451"/>
      <c r="AD111" s="452"/>
      <c r="AE111" s="459"/>
      <c r="AF111" s="457">
        <v>0</v>
      </c>
      <c r="AG111" s="458"/>
      <c r="AH111" s="451"/>
      <c r="AI111" s="452"/>
      <c r="AJ111" s="459"/>
      <c r="AK111" s="457">
        <v>0</v>
      </c>
      <c r="AL111" s="458"/>
      <c r="AM111" s="451"/>
      <c r="AN111" s="452"/>
      <c r="AO111" s="459"/>
      <c r="AP111" s="457">
        <v>0</v>
      </c>
      <c r="AQ111" s="458"/>
      <c r="AR111" s="451"/>
      <c r="AS111" s="452"/>
      <c r="AT111" s="459"/>
      <c r="AU111" s="457">
        <v>0</v>
      </c>
      <c r="AV111" s="458"/>
      <c r="AW111" s="451"/>
      <c r="AX111" s="452"/>
      <c r="AY111" s="459"/>
      <c r="AZ111" s="457">
        <v>0</v>
      </c>
      <c r="BA111" s="458"/>
      <c r="BB111" s="451"/>
      <c r="BC111" s="452"/>
      <c r="BD111" s="459"/>
      <c r="BE111" s="457">
        <v>0</v>
      </c>
      <c r="BF111" s="458"/>
      <c r="BG111" s="451"/>
      <c r="BH111" s="452"/>
      <c r="BI111" s="459"/>
      <c r="BJ111" s="457">
        <v>0</v>
      </c>
      <c r="BK111" s="458"/>
      <c r="BL111" s="451"/>
      <c r="BM111" s="452"/>
      <c r="BN111" s="459"/>
      <c r="BO111" s="457">
        <v>0</v>
      </c>
      <c r="BP111" s="458"/>
      <c r="BQ111" s="451"/>
      <c r="BR111" s="452"/>
      <c r="BS111" s="456"/>
      <c r="BT111" s="457">
        <f>SUM(L111:BO111)</f>
        <v>0</v>
      </c>
      <c r="BU111" s="458"/>
      <c r="BV111" s="451"/>
      <c r="BW111" s="452"/>
      <c r="BX111" s="456"/>
      <c r="BY111" s="457">
        <v>0</v>
      </c>
      <c r="BZ111" s="458"/>
      <c r="CA111" s="451"/>
      <c r="CB111" s="452"/>
      <c r="CC111" s="456"/>
      <c r="CD111" s="457">
        <v>0</v>
      </c>
      <c r="CE111" s="458"/>
      <c r="CF111" s="451"/>
      <c r="CG111" s="452"/>
      <c r="CH111" s="459"/>
      <c r="CI111" s="457">
        <v>0</v>
      </c>
      <c r="CJ111" s="458"/>
      <c r="CK111" s="451"/>
      <c r="CL111" s="452"/>
      <c r="CM111" s="459"/>
      <c r="CN111" s="457">
        <v>0</v>
      </c>
      <c r="CO111" s="458"/>
      <c r="CP111" s="451"/>
      <c r="CQ111" s="452"/>
      <c r="CR111" s="459"/>
      <c r="CS111" s="457">
        <v>0</v>
      </c>
      <c r="CT111" s="458"/>
      <c r="CU111" s="451"/>
      <c r="CV111" s="452"/>
      <c r="CW111" s="459"/>
      <c r="CX111" s="457">
        <v>0</v>
      </c>
      <c r="CY111" s="458"/>
      <c r="CZ111" s="451"/>
      <c r="DA111" s="452"/>
      <c r="DB111" s="459"/>
      <c r="DC111" s="457">
        <v>0</v>
      </c>
      <c r="DD111" s="458"/>
      <c r="DE111" s="451"/>
      <c r="DF111" s="452"/>
      <c r="DG111" s="459"/>
      <c r="DH111" s="457">
        <v>0</v>
      </c>
      <c r="DI111" s="458"/>
      <c r="DJ111" s="451"/>
      <c r="DK111" s="452"/>
      <c r="DL111" s="459"/>
      <c r="DM111" s="457">
        <v>0</v>
      </c>
      <c r="DN111" s="458"/>
      <c r="DO111" s="451"/>
      <c r="DP111" s="452"/>
      <c r="DQ111" s="459"/>
      <c r="DR111" s="457">
        <v>0</v>
      </c>
      <c r="DS111" s="458"/>
      <c r="DT111" s="451"/>
      <c r="DU111" s="452"/>
      <c r="DV111" s="459"/>
      <c r="DW111" s="457">
        <v>0</v>
      </c>
      <c r="DX111" s="458"/>
      <c r="DY111" s="451"/>
      <c r="DZ111" s="452"/>
      <c r="EA111" s="459"/>
      <c r="EB111" s="457">
        <v>0</v>
      </c>
      <c r="EC111" s="458"/>
      <c r="ED111" s="451"/>
      <c r="EE111" s="452"/>
      <c r="EF111" s="459"/>
      <c r="EG111" s="457">
        <v>0</v>
      </c>
      <c r="EH111" s="458"/>
      <c r="EI111" s="451"/>
      <c r="EJ111" s="452"/>
      <c r="EK111" s="456"/>
      <c r="EL111" s="457">
        <f>SUM(CD111:DW111)</f>
        <v>0</v>
      </c>
      <c r="EM111" s="458"/>
      <c r="EO111" s="13"/>
      <c r="EP111" s="14"/>
      <c r="EQ111" s="14"/>
    </row>
    <row r="112" spans="4:147" x14ac:dyDescent="0.2">
      <c r="D112" s="13"/>
      <c r="E112" s="198"/>
      <c r="G112" s="451"/>
      <c r="H112" s="451"/>
      <c r="I112" s="451"/>
      <c r="J112" s="452"/>
      <c r="L112" s="451"/>
      <c r="M112" s="451"/>
      <c r="N112" s="451"/>
      <c r="O112" s="452"/>
      <c r="Q112" s="451"/>
      <c r="R112" s="451"/>
      <c r="S112" s="451"/>
      <c r="T112" s="452"/>
      <c r="V112" s="451"/>
      <c r="W112" s="451"/>
      <c r="X112" s="451"/>
      <c r="Y112" s="452"/>
      <c r="AA112" s="451"/>
      <c r="AB112" s="451"/>
      <c r="AC112" s="451"/>
      <c r="AD112" s="452"/>
      <c r="AF112" s="451"/>
      <c r="AG112" s="451"/>
      <c r="AH112" s="451"/>
      <c r="AI112" s="452"/>
      <c r="AK112" s="451"/>
      <c r="AL112" s="451"/>
      <c r="AM112" s="451"/>
      <c r="AN112" s="452"/>
      <c r="AP112" s="451"/>
      <c r="AQ112" s="451"/>
      <c r="AR112" s="451"/>
      <c r="AS112" s="452"/>
      <c r="AU112" s="451"/>
      <c r="AV112" s="451"/>
      <c r="AW112" s="451"/>
      <c r="AX112" s="452"/>
      <c r="AZ112" s="451"/>
      <c r="BA112" s="451"/>
      <c r="BB112" s="451"/>
      <c r="BC112" s="452"/>
      <c r="BE112" s="451"/>
      <c r="BF112" s="451"/>
      <c r="BG112" s="451"/>
      <c r="BH112" s="452"/>
      <c r="BJ112" s="451"/>
      <c r="BK112" s="451"/>
      <c r="BL112" s="451"/>
      <c r="BM112" s="452"/>
      <c r="BO112" s="451"/>
      <c r="BP112" s="451"/>
      <c r="BQ112" s="451"/>
      <c r="BR112" s="452"/>
      <c r="BT112" s="451"/>
      <c r="BU112" s="451"/>
      <c r="BV112" s="451"/>
      <c r="BW112" s="452"/>
      <c r="BY112" s="451"/>
      <c r="BZ112" s="451"/>
      <c r="CA112" s="451"/>
      <c r="CB112" s="452"/>
      <c r="CD112" s="451"/>
      <c r="CE112" s="451"/>
      <c r="CF112" s="451"/>
      <c r="CG112" s="452"/>
      <c r="CI112" s="451"/>
      <c r="CJ112" s="451"/>
      <c r="CK112" s="451"/>
      <c r="CL112" s="452"/>
      <c r="CN112" s="451"/>
      <c r="CO112" s="451"/>
      <c r="CP112" s="451"/>
      <c r="CQ112" s="452"/>
      <c r="CS112" s="451"/>
      <c r="CT112" s="451"/>
      <c r="CU112" s="451"/>
      <c r="CV112" s="452"/>
      <c r="CX112" s="451"/>
      <c r="CY112" s="451"/>
      <c r="CZ112" s="451"/>
      <c r="DA112" s="452"/>
      <c r="DC112" s="451"/>
      <c r="DD112" s="451"/>
      <c r="DE112" s="451"/>
      <c r="DF112" s="452"/>
      <c r="DH112" s="451"/>
      <c r="DI112" s="451"/>
      <c r="DJ112" s="451"/>
      <c r="DK112" s="452"/>
      <c r="DM112" s="451"/>
      <c r="DN112" s="451"/>
      <c r="DO112" s="451"/>
      <c r="DP112" s="452"/>
      <c r="DR112" s="451"/>
      <c r="DS112" s="451"/>
      <c r="DT112" s="451"/>
      <c r="DU112" s="452"/>
      <c r="DW112" s="451"/>
      <c r="DX112" s="451"/>
      <c r="DY112" s="451"/>
      <c r="DZ112" s="452"/>
      <c r="EB112" s="451"/>
      <c r="EC112" s="451"/>
      <c r="ED112" s="451"/>
      <c r="EE112" s="452"/>
      <c r="EG112" s="451"/>
      <c r="EH112" s="451"/>
      <c r="EI112" s="451"/>
      <c r="EJ112" s="452"/>
      <c r="EL112" s="451"/>
      <c r="EM112" s="451"/>
      <c r="EO112" s="13"/>
      <c r="EP112" s="14"/>
      <c r="EQ112" s="14"/>
    </row>
    <row r="113" spans="4:147" hidden="1" x14ac:dyDescent="0.2">
      <c r="D113" s="13" t="s">
        <v>373</v>
      </c>
      <c r="E113" s="198"/>
      <c r="G113" s="451">
        <f>SUM(G114:G114)</f>
        <v>0</v>
      </c>
      <c r="H113" s="451"/>
      <c r="I113" s="451"/>
      <c r="J113" s="452"/>
      <c r="K113" s="451"/>
      <c r="L113" s="451">
        <f>SUM(L114:L114)</f>
        <v>0</v>
      </c>
      <c r="M113" s="451"/>
      <c r="N113" s="451"/>
      <c r="O113" s="452"/>
      <c r="P113" s="451"/>
      <c r="Q113" s="451">
        <f>SUM(Q114:Q114)</f>
        <v>0</v>
      </c>
      <c r="R113" s="451"/>
      <c r="S113" s="451"/>
      <c r="T113" s="452"/>
      <c r="U113" s="451"/>
      <c r="V113" s="451">
        <f>SUM(V114:V114)</f>
        <v>0</v>
      </c>
      <c r="W113" s="451"/>
      <c r="X113" s="451"/>
      <c r="Y113" s="452"/>
      <c r="Z113" s="451"/>
      <c r="AA113" s="451">
        <f>SUM(AA114:AA114)</f>
        <v>0</v>
      </c>
      <c r="AB113" s="451"/>
      <c r="AC113" s="451"/>
      <c r="AD113" s="452"/>
      <c r="AE113" s="451"/>
      <c r="AF113" s="451">
        <f>SUM(AF114:AF114)</f>
        <v>0</v>
      </c>
      <c r="AG113" s="451"/>
      <c r="AH113" s="451"/>
      <c r="AI113" s="452"/>
      <c r="AJ113" s="451"/>
      <c r="AK113" s="451">
        <f>SUM(AK114:AK114)</f>
        <v>0</v>
      </c>
      <c r="AL113" s="451"/>
      <c r="AM113" s="451"/>
      <c r="AN113" s="452"/>
      <c r="AO113" s="451"/>
      <c r="AP113" s="451">
        <f>SUM(AP114:AP114)</f>
        <v>0</v>
      </c>
      <c r="AQ113" s="451"/>
      <c r="AR113" s="451"/>
      <c r="AS113" s="452"/>
      <c r="AT113" s="451"/>
      <c r="AU113" s="451">
        <f>SUM(AU114:AU114)</f>
        <v>0</v>
      </c>
      <c r="AV113" s="451"/>
      <c r="AW113" s="451"/>
      <c r="AX113" s="452"/>
      <c r="AY113" s="451"/>
      <c r="AZ113" s="451">
        <f>SUM(AZ114:AZ114)</f>
        <v>0</v>
      </c>
      <c r="BA113" s="451"/>
      <c r="BB113" s="451"/>
      <c r="BC113" s="452"/>
      <c r="BD113" s="451"/>
      <c r="BE113" s="451">
        <f>SUM(BE114:BE114)</f>
        <v>0</v>
      </c>
      <c r="BF113" s="451"/>
      <c r="BG113" s="451"/>
      <c r="BH113" s="452"/>
      <c r="BI113" s="451"/>
      <c r="BJ113" s="451">
        <f>SUM(BJ114:BJ114)</f>
        <v>0</v>
      </c>
      <c r="BK113" s="451"/>
      <c r="BL113" s="451"/>
      <c r="BM113" s="452"/>
      <c r="BN113" s="451"/>
      <c r="BO113" s="451">
        <f>SUM(BO114:BO114)</f>
        <v>0</v>
      </c>
      <c r="BP113" s="451"/>
      <c r="BQ113" s="451"/>
      <c r="BR113" s="452"/>
      <c r="BT113" s="451">
        <f>SUM(BT114:BT114)</f>
        <v>0</v>
      </c>
      <c r="BU113" s="451"/>
      <c r="BV113" s="451"/>
      <c r="BW113" s="452"/>
      <c r="BY113" s="451">
        <f>SUM(BY114:BY114)</f>
        <v>0</v>
      </c>
      <c r="BZ113" s="451"/>
      <c r="CA113" s="451"/>
      <c r="CB113" s="452"/>
      <c r="CC113" s="451"/>
      <c r="CD113" s="451">
        <f>SUM(CD114:CD114)</f>
        <v>0</v>
      </c>
      <c r="CE113" s="451"/>
      <c r="CF113" s="451"/>
      <c r="CG113" s="452"/>
      <c r="CH113" s="451"/>
      <c r="CI113" s="451">
        <f>SUM(CI114:CI114)</f>
        <v>0</v>
      </c>
      <c r="CJ113" s="451"/>
      <c r="CK113" s="451"/>
      <c r="CL113" s="452"/>
      <c r="CM113" s="451"/>
      <c r="CN113" s="451">
        <f>SUM(CN114:CN114)</f>
        <v>0</v>
      </c>
      <c r="CO113" s="451"/>
      <c r="CP113" s="451"/>
      <c r="CQ113" s="452"/>
      <c r="CR113" s="451"/>
      <c r="CS113" s="451">
        <f>SUM(CS114:CS114)</f>
        <v>0</v>
      </c>
      <c r="CT113" s="451"/>
      <c r="CU113" s="451"/>
      <c r="CV113" s="452"/>
      <c r="CW113" s="451"/>
      <c r="CX113" s="451">
        <f>SUM(CX114:CX114)</f>
        <v>0</v>
      </c>
      <c r="CY113" s="451"/>
      <c r="CZ113" s="451"/>
      <c r="DA113" s="452"/>
      <c r="DB113" s="451"/>
      <c r="DC113" s="451">
        <f>SUM(DC114:DC114)</f>
        <v>0</v>
      </c>
      <c r="DD113" s="451"/>
      <c r="DE113" s="451"/>
      <c r="DF113" s="452"/>
      <c r="DG113" s="451"/>
      <c r="DH113" s="451">
        <f>SUM(DH114:DH114)</f>
        <v>0</v>
      </c>
      <c r="DI113" s="451"/>
      <c r="DJ113" s="451"/>
      <c r="DK113" s="452"/>
      <c r="DL113" s="451"/>
      <c r="DM113" s="451">
        <f>SUM(DM114:DM114)</f>
        <v>0</v>
      </c>
      <c r="DN113" s="451"/>
      <c r="DO113" s="451"/>
      <c r="DP113" s="452"/>
      <c r="DQ113" s="451"/>
      <c r="DR113" s="451">
        <f>SUM(DR114:DR114)</f>
        <v>0</v>
      </c>
      <c r="DS113" s="451"/>
      <c r="DT113" s="451"/>
      <c r="DU113" s="452"/>
      <c r="DV113" s="451"/>
      <c r="DW113" s="451">
        <f>SUM(DW114:DW114)</f>
        <v>0</v>
      </c>
      <c r="DX113" s="451"/>
      <c r="DY113" s="451"/>
      <c r="DZ113" s="452"/>
      <c r="EA113" s="451"/>
      <c r="EB113" s="451">
        <f>SUM(EB114:EB114)</f>
        <v>0</v>
      </c>
      <c r="EC113" s="451"/>
      <c r="ED113" s="451"/>
      <c r="EE113" s="452"/>
      <c r="EF113" s="451"/>
      <c r="EG113" s="451">
        <f>SUM(EG114:EG114)</f>
        <v>0</v>
      </c>
      <c r="EH113" s="451"/>
      <c r="EI113" s="451"/>
      <c r="EJ113" s="452"/>
      <c r="EL113" s="451">
        <f>SUM(EL114:EL114)</f>
        <v>0</v>
      </c>
      <c r="EM113" s="451"/>
      <c r="EO113" s="13"/>
      <c r="EP113" s="14"/>
      <c r="EQ113" s="14"/>
    </row>
    <row r="114" spans="4:147" hidden="1" x14ac:dyDescent="0.2">
      <c r="D114" s="13" t="s">
        <v>347</v>
      </c>
      <c r="E114" s="198"/>
      <c r="F114" s="456"/>
      <c r="G114" s="457">
        <v>0</v>
      </c>
      <c r="H114" s="458"/>
      <c r="I114" s="451"/>
      <c r="J114" s="452"/>
      <c r="K114" s="456"/>
      <c r="L114" s="457">
        <v>0</v>
      </c>
      <c r="M114" s="458"/>
      <c r="N114" s="451"/>
      <c r="O114" s="452"/>
      <c r="P114" s="459"/>
      <c r="Q114" s="457">
        <v>0</v>
      </c>
      <c r="R114" s="458"/>
      <c r="S114" s="451"/>
      <c r="T114" s="452"/>
      <c r="U114" s="459"/>
      <c r="V114" s="457">
        <v>0</v>
      </c>
      <c r="W114" s="458"/>
      <c r="X114" s="451"/>
      <c r="Y114" s="452"/>
      <c r="Z114" s="459"/>
      <c r="AA114" s="457">
        <v>0</v>
      </c>
      <c r="AB114" s="458"/>
      <c r="AC114" s="451"/>
      <c r="AD114" s="452"/>
      <c r="AE114" s="459"/>
      <c r="AF114" s="457">
        <v>0</v>
      </c>
      <c r="AG114" s="458"/>
      <c r="AH114" s="451"/>
      <c r="AI114" s="452"/>
      <c r="AJ114" s="459"/>
      <c r="AK114" s="457">
        <v>0</v>
      </c>
      <c r="AL114" s="458"/>
      <c r="AM114" s="451"/>
      <c r="AN114" s="452"/>
      <c r="AO114" s="459"/>
      <c r="AP114" s="457">
        <v>0</v>
      </c>
      <c r="AQ114" s="458"/>
      <c r="AR114" s="451"/>
      <c r="AS114" s="452"/>
      <c r="AT114" s="459"/>
      <c r="AU114" s="457">
        <v>0</v>
      </c>
      <c r="AV114" s="458"/>
      <c r="AW114" s="451"/>
      <c r="AX114" s="452"/>
      <c r="AY114" s="459"/>
      <c r="AZ114" s="457">
        <v>0</v>
      </c>
      <c r="BA114" s="458"/>
      <c r="BB114" s="451"/>
      <c r="BC114" s="452"/>
      <c r="BD114" s="459"/>
      <c r="BE114" s="457">
        <v>0</v>
      </c>
      <c r="BF114" s="458"/>
      <c r="BG114" s="451"/>
      <c r="BH114" s="452"/>
      <c r="BI114" s="459"/>
      <c r="BJ114" s="457">
        <v>0</v>
      </c>
      <c r="BK114" s="458"/>
      <c r="BL114" s="451"/>
      <c r="BM114" s="452"/>
      <c r="BN114" s="459"/>
      <c r="BO114" s="457">
        <v>0</v>
      </c>
      <c r="BP114" s="458"/>
      <c r="BQ114" s="451"/>
      <c r="BR114" s="452"/>
      <c r="BS114" s="456"/>
      <c r="BT114" s="457">
        <f>SUM(L114:BO114)</f>
        <v>0</v>
      </c>
      <c r="BU114" s="458"/>
      <c r="BV114" s="451"/>
      <c r="BW114" s="452"/>
      <c r="BX114" s="456"/>
      <c r="BY114" s="457">
        <f>SUM(Q114:BT114)</f>
        <v>0</v>
      </c>
      <c r="BZ114" s="458"/>
      <c r="CA114" s="451"/>
      <c r="CB114" s="452"/>
      <c r="CC114" s="456"/>
      <c r="CD114" s="457">
        <v>0</v>
      </c>
      <c r="CE114" s="458"/>
      <c r="CF114" s="451"/>
      <c r="CG114" s="452"/>
      <c r="CH114" s="459"/>
      <c r="CI114" s="457">
        <v>0</v>
      </c>
      <c r="CJ114" s="458"/>
      <c r="CK114" s="451"/>
      <c r="CL114" s="452"/>
      <c r="CM114" s="459"/>
      <c r="CN114" s="457">
        <v>0</v>
      </c>
      <c r="CO114" s="458"/>
      <c r="CP114" s="451"/>
      <c r="CQ114" s="452"/>
      <c r="CR114" s="459"/>
      <c r="CS114" s="457">
        <v>0</v>
      </c>
      <c r="CT114" s="458"/>
      <c r="CU114" s="451"/>
      <c r="CV114" s="452"/>
      <c r="CW114" s="459"/>
      <c r="CX114" s="457">
        <v>0</v>
      </c>
      <c r="CY114" s="458"/>
      <c r="CZ114" s="451"/>
      <c r="DA114" s="452"/>
      <c r="DB114" s="459"/>
      <c r="DC114" s="457">
        <v>0</v>
      </c>
      <c r="DD114" s="458"/>
      <c r="DE114" s="451"/>
      <c r="DF114" s="452"/>
      <c r="DG114" s="459"/>
      <c r="DH114" s="457">
        <v>0</v>
      </c>
      <c r="DI114" s="458"/>
      <c r="DJ114" s="451"/>
      <c r="DK114" s="452"/>
      <c r="DL114" s="459"/>
      <c r="DM114" s="457">
        <v>0</v>
      </c>
      <c r="DN114" s="458"/>
      <c r="DO114" s="451"/>
      <c r="DP114" s="452"/>
      <c r="DQ114" s="459"/>
      <c r="DR114" s="457">
        <v>0</v>
      </c>
      <c r="DS114" s="458"/>
      <c r="DT114" s="451"/>
      <c r="DU114" s="452"/>
      <c r="DV114" s="459"/>
      <c r="DW114" s="457">
        <v>0</v>
      </c>
      <c r="DX114" s="458"/>
      <c r="DY114" s="451"/>
      <c r="DZ114" s="452"/>
      <c r="EA114" s="459"/>
      <c r="EB114" s="457">
        <v>0</v>
      </c>
      <c r="EC114" s="458"/>
      <c r="ED114" s="451"/>
      <c r="EE114" s="452"/>
      <c r="EF114" s="459"/>
      <c r="EG114" s="457">
        <v>0</v>
      </c>
      <c r="EH114" s="458"/>
      <c r="EI114" s="451"/>
      <c r="EJ114" s="452"/>
      <c r="EK114" s="456"/>
      <c r="EL114" s="457">
        <f>SUM(CD114:EG114)</f>
        <v>0</v>
      </c>
      <c r="EM114" s="458"/>
      <c r="EO114" s="13"/>
      <c r="EP114" s="14"/>
      <c r="EQ114" s="14"/>
    </row>
    <row r="115" spans="4:147" hidden="1" x14ac:dyDescent="0.2">
      <c r="D115" s="13"/>
      <c r="E115" s="198"/>
      <c r="G115" s="451"/>
      <c r="H115" s="451"/>
      <c r="I115" s="451"/>
      <c r="J115" s="452"/>
      <c r="L115" s="451"/>
      <c r="M115" s="451"/>
      <c r="N115" s="451"/>
      <c r="O115" s="452"/>
      <c r="Q115" s="451"/>
      <c r="R115" s="451"/>
      <c r="S115" s="451"/>
      <c r="T115" s="452"/>
      <c r="V115" s="451"/>
      <c r="W115" s="451"/>
      <c r="X115" s="451"/>
      <c r="Y115" s="452"/>
      <c r="AA115" s="451"/>
      <c r="AB115" s="451"/>
      <c r="AC115" s="451"/>
      <c r="AD115" s="452"/>
      <c r="AF115" s="451"/>
      <c r="AG115" s="451"/>
      <c r="AH115" s="451"/>
      <c r="AI115" s="452"/>
      <c r="AK115" s="451"/>
      <c r="AL115" s="451"/>
      <c r="AM115" s="451"/>
      <c r="AN115" s="452"/>
      <c r="AP115" s="451"/>
      <c r="AQ115" s="451"/>
      <c r="AR115" s="451"/>
      <c r="AS115" s="452"/>
      <c r="AU115" s="451"/>
      <c r="AV115" s="451"/>
      <c r="AW115" s="451"/>
      <c r="AX115" s="452"/>
      <c r="AZ115" s="451"/>
      <c r="BA115" s="451"/>
      <c r="BB115" s="451"/>
      <c r="BC115" s="452"/>
      <c r="BE115" s="451"/>
      <c r="BF115" s="451"/>
      <c r="BG115" s="451"/>
      <c r="BH115" s="452"/>
      <c r="BJ115" s="451"/>
      <c r="BK115" s="451"/>
      <c r="BL115" s="451"/>
      <c r="BM115" s="452"/>
      <c r="BO115" s="451"/>
      <c r="BP115" s="451"/>
      <c r="BQ115" s="451"/>
      <c r="BR115" s="452"/>
      <c r="BT115" s="451"/>
      <c r="BU115" s="451"/>
      <c r="BV115" s="451"/>
      <c r="BW115" s="452"/>
      <c r="BY115" s="451"/>
      <c r="BZ115" s="451"/>
      <c r="CA115" s="451"/>
      <c r="CB115" s="452"/>
      <c r="CD115" s="451"/>
      <c r="CE115" s="451"/>
      <c r="CF115" s="451"/>
      <c r="CG115" s="452"/>
      <c r="CI115" s="451"/>
      <c r="CJ115" s="451"/>
      <c r="CK115" s="451"/>
      <c r="CL115" s="452"/>
      <c r="CN115" s="451"/>
      <c r="CO115" s="451"/>
      <c r="CP115" s="451"/>
      <c r="CQ115" s="452"/>
      <c r="CS115" s="451"/>
      <c r="CT115" s="451"/>
      <c r="CU115" s="451"/>
      <c r="CV115" s="452"/>
      <c r="CX115" s="451"/>
      <c r="CY115" s="451"/>
      <c r="CZ115" s="451"/>
      <c r="DA115" s="452"/>
      <c r="DC115" s="451"/>
      <c r="DD115" s="451"/>
      <c r="DE115" s="451"/>
      <c r="DF115" s="452"/>
      <c r="DH115" s="451"/>
      <c r="DI115" s="451"/>
      <c r="DJ115" s="451"/>
      <c r="DK115" s="452"/>
      <c r="DM115" s="451"/>
      <c r="DN115" s="451"/>
      <c r="DO115" s="451"/>
      <c r="DP115" s="452"/>
      <c r="DR115" s="451"/>
      <c r="DS115" s="451"/>
      <c r="DT115" s="451"/>
      <c r="DU115" s="452"/>
      <c r="DW115" s="451"/>
      <c r="DX115" s="451"/>
      <c r="DY115" s="451"/>
      <c r="DZ115" s="452"/>
      <c r="EB115" s="451"/>
      <c r="EC115" s="451"/>
      <c r="ED115" s="451"/>
      <c r="EE115" s="452"/>
      <c r="EG115" s="451"/>
      <c r="EH115" s="451"/>
      <c r="EI115" s="451"/>
      <c r="EJ115" s="452"/>
      <c r="EL115" s="451"/>
      <c r="EM115" s="451"/>
      <c r="EO115" s="13"/>
      <c r="EP115" s="14"/>
      <c r="EQ115" s="14"/>
    </row>
    <row r="116" spans="4:147" x14ac:dyDescent="0.2">
      <c r="D116" s="13" t="s">
        <v>413</v>
      </c>
      <c r="E116" s="198"/>
      <c r="G116" s="451">
        <f>SUM(G117:G117)</f>
        <v>0</v>
      </c>
      <c r="H116" s="451"/>
      <c r="I116" s="451"/>
      <c r="J116" s="452"/>
      <c r="K116" s="451"/>
      <c r="L116" s="451">
        <f>SUM(L117:L117)</f>
        <v>0</v>
      </c>
      <c r="M116" s="451"/>
      <c r="N116" s="451"/>
      <c r="O116" s="452"/>
      <c r="P116" s="451"/>
      <c r="Q116" s="451">
        <f>SUM(Q117:Q117)</f>
        <v>0</v>
      </c>
      <c r="R116" s="451"/>
      <c r="S116" s="451"/>
      <c r="T116" s="452"/>
      <c r="U116" s="451"/>
      <c r="V116" s="451">
        <f>SUM(V117:V117)</f>
        <v>0</v>
      </c>
      <c r="W116" s="451"/>
      <c r="X116" s="451"/>
      <c r="Y116" s="452"/>
      <c r="Z116" s="451"/>
      <c r="AA116" s="451">
        <f>SUM(AA117:AA117)</f>
        <v>0</v>
      </c>
      <c r="AB116" s="451"/>
      <c r="AC116" s="451"/>
      <c r="AD116" s="452"/>
      <c r="AE116" s="451"/>
      <c r="AF116" s="451">
        <f>SUM(AF117:AF117)</f>
        <v>0</v>
      </c>
      <c r="AG116" s="451"/>
      <c r="AH116" s="451"/>
      <c r="AI116" s="452"/>
      <c r="AJ116" s="451"/>
      <c r="AK116" s="451">
        <f>SUM(AK117:AK117)</f>
        <v>0</v>
      </c>
      <c r="AL116" s="451"/>
      <c r="AM116" s="451"/>
      <c r="AN116" s="452"/>
      <c r="AO116" s="451"/>
      <c r="AP116" s="451">
        <f>SUM(AP117:AP117)</f>
        <v>0</v>
      </c>
      <c r="AQ116" s="451"/>
      <c r="AR116" s="451"/>
      <c r="AS116" s="452"/>
      <c r="AT116" s="451"/>
      <c r="AU116" s="451">
        <f>SUM(AU117:AU117)</f>
        <v>0</v>
      </c>
      <c r="AV116" s="451"/>
      <c r="AW116" s="451"/>
      <c r="AX116" s="452"/>
      <c r="AY116" s="451"/>
      <c r="AZ116" s="451">
        <f>SUM(AZ117:AZ117)</f>
        <v>0</v>
      </c>
      <c r="BA116" s="451"/>
      <c r="BB116" s="451"/>
      <c r="BC116" s="452"/>
      <c r="BD116" s="451"/>
      <c r="BE116" s="451">
        <f>SUM(BE117:BE117)</f>
        <v>0</v>
      </c>
      <c r="BF116" s="451"/>
      <c r="BG116" s="451"/>
      <c r="BH116" s="452"/>
      <c r="BI116" s="451"/>
      <c r="BJ116" s="451">
        <f>SUM(BJ117:BJ117)</f>
        <v>0</v>
      </c>
      <c r="BK116" s="451"/>
      <c r="BL116" s="451"/>
      <c r="BM116" s="452"/>
      <c r="BN116" s="451"/>
      <c r="BO116" s="451">
        <f>SUM(BO117:BO117)</f>
        <v>0</v>
      </c>
      <c r="BP116" s="451"/>
      <c r="BQ116" s="451"/>
      <c r="BR116" s="452"/>
      <c r="BT116" s="451">
        <f>SUM(BT117:BT117)</f>
        <v>0</v>
      </c>
      <c r="BU116" s="451"/>
      <c r="BV116" s="451"/>
      <c r="BW116" s="452"/>
      <c r="BY116" s="451">
        <f>SUM(BY117:BY117)</f>
        <v>470894</v>
      </c>
      <c r="BZ116" s="451"/>
      <c r="CA116" s="451"/>
      <c r="CB116" s="452"/>
      <c r="CC116" s="451"/>
      <c r="CD116" s="451">
        <f>SUM(CD117:CD117)</f>
        <v>0</v>
      </c>
      <c r="CE116" s="451"/>
      <c r="CF116" s="451"/>
      <c r="CG116" s="452"/>
      <c r="CH116" s="451"/>
      <c r="CI116" s="451">
        <f>SUM(CI117:CI117)</f>
        <v>0</v>
      </c>
      <c r="CJ116" s="451"/>
      <c r="CK116" s="451"/>
      <c r="CL116" s="452"/>
      <c r="CM116" s="451"/>
      <c r="CN116" s="451">
        <f>SUM(CN117:CN117)</f>
        <v>0</v>
      </c>
      <c r="CO116" s="451"/>
      <c r="CP116" s="451"/>
      <c r="CQ116" s="452"/>
      <c r="CR116" s="451"/>
      <c r="CS116" s="451">
        <f>SUM(CS117:CS117)</f>
        <v>0</v>
      </c>
      <c r="CT116" s="451"/>
      <c r="CU116" s="451"/>
      <c r="CV116" s="452"/>
      <c r="CW116" s="451"/>
      <c r="CX116" s="451">
        <f>SUM(CX117:CX117)</f>
        <v>23165</v>
      </c>
      <c r="CY116" s="451"/>
      <c r="CZ116" s="451"/>
      <c r="DA116" s="452"/>
      <c r="DB116" s="451"/>
      <c r="DC116" s="451">
        <f>SUM(DC117:DC117)</f>
        <v>0</v>
      </c>
      <c r="DD116" s="451"/>
      <c r="DE116" s="451"/>
      <c r="DF116" s="452"/>
      <c r="DG116" s="451"/>
      <c r="DH116" s="451">
        <f>SUM(DH117:DH117)</f>
        <v>0</v>
      </c>
      <c r="DI116" s="451"/>
      <c r="DJ116" s="451"/>
      <c r="DK116" s="452"/>
      <c r="DL116" s="451"/>
      <c r="DM116" s="451">
        <f>SUM(DM117:DM117)</f>
        <v>0</v>
      </c>
      <c r="DN116" s="451"/>
      <c r="DO116" s="451"/>
      <c r="DP116" s="452"/>
      <c r="DQ116" s="451"/>
      <c r="DR116" s="451">
        <f>SUM(DR117:DR117)</f>
        <v>0</v>
      </c>
      <c r="DS116" s="451"/>
      <c r="DT116" s="451"/>
      <c r="DU116" s="452"/>
      <c r="DV116" s="451"/>
      <c r="DW116" s="451">
        <f>SUM(DW117:DW117)</f>
        <v>0</v>
      </c>
      <c r="DX116" s="451"/>
      <c r="DY116" s="451"/>
      <c r="DZ116" s="452"/>
      <c r="EA116" s="451"/>
      <c r="EB116" s="451">
        <f>SUM(EB117:EB117)</f>
        <v>0</v>
      </c>
      <c r="EC116" s="451"/>
      <c r="ED116" s="451"/>
      <c r="EE116" s="452"/>
      <c r="EF116" s="451"/>
      <c r="EG116" s="451">
        <f>SUM(EG117:EG117)</f>
        <v>447729</v>
      </c>
      <c r="EH116" s="451"/>
      <c r="EI116" s="451"/>
      <c r="EJ116" s="452"/>
      <c r="EL116" s="451">
        <f>SUM(EL117:EL117)</f>
        <v>23165</v>
      </c>
      <c r="EM116" s="451"/>
      <c r="EO116" s="13"/>
      <c r="EP116" s="14"/>
      <c r="EQ116" s="14"/>
    </row>
    <row r="117" spans="4:147" x14ac:dyDescent="0.2">
      <c r="D117" s="13" t="s">
        <v>347</v>
      </c>
      <c r="E117" s="198"/>
      <c r="F117" s="456"/>
      <c r="G117" s="457">
        <v>0</v>
      </c>
      <c r="H117" s="458"/>
      <c r="I117" s="451"/>
      <c r="J117" s="452"/>
      <c r="K117" s="456"/>
      <c r="L117" s="457">
        <v>0</v>
      </c>
      <c r="M117" s="458"/>
      <c r="N117" s="451"/>
      <c r="O117" s="452"/>
      <c r="P117" s="459"/>
      <c r="Q117" s="457">
        <v>0</v>
      </c>
      <c r="R117" s="458"/>
      <c r="S117" s="451"/>
      <c r="T117" s="452"/>
      <c r="U117" s="459"/>
      <c r="V117" s="457">
        <v>0</v>
      </c>
      <c r="W117" s="458"/>
      <c r="X117" s="451"/>
      <c r="Y117" s="452"/>
      <c r="Z117" s="459"/>
      <c r="AA117" s="457">
        <v>0</v>
      </c>
      <c r="AB117" s="458"/>
      <c r="AC117" s="451"/>
      <c r="AD117" s="452"/>
      <c r="AE117" s="459"/>
      <c r="AF117" s="457">
        <v>0</v>
      </c>
      <c r="AG117" s="458"/>
      <c r="AH117" s="451"/>
      <c r="AI117" s="452"/>
      <c r="AJ117" s="459"/>
      <c r="AK117" s="457">
        <v>0</v>
      </c>
      <c r="AL117" s="458"/>
      <c r="AM117" s="451"/>
      <c r="AN117" s="452"/>
      <c r="AO117" s="459"/>
      <c r="AP117" s="457">
        <v>0</v>
      </c>
      <c r="AQ117" s="458"/>
      <c r="AR117" s="451"/>
      <c r="AS117" s="452"/>
      <c r="AT117" s="459"/>
      <c r="AU117" s="457">
        <v>0</v>
      </c>
      <c r="AV117" s="458"/>
      <c r="AW117" s="451"/>
      <c r="AX117" s="452"/>
      <c r="AY117" s="459"/>
      <c r="AZ117" s="457">
        <v>0</v>
      </c>
      <c r="BA117" s="458"/>
      <c r="BB117" s="451"/>
      <c r="BC117" s="452"/>
      <c r="BD117" s="459"/>
      <c r="BE117" s="457">
        <v>0</v>
      </c>
      <c r="BF117" s="458"/>
      <c r="BG117" s="451"/>
      <c r="BH117" s="452"/>
      <c r="BI117" s="459"/>
      <c r="BJ117" s="457">
        <v>0</v>
      </c>
      <c r="BK117" s="458"/>
      <c r="BL117" s="451"/>
      <c r="BM117" s="452"/>
      <c r="BN117" s="459"/>
      <c r="BO117" s="457">
        <v>0</v>
      </c>
      <c r="BP117" s="458"/>
      <c r="BQ117" s="451"/>
      <c r="BR117" s="452"/>
      <c r="BS117" s="456"/>
      <c r="BT117" s="457">
        <f>SUM(L117:BO117)</f>
        <v>0</v>
      </c>
      <c r="BU117" s="458"/>
      <c r="BV117" s="451"/>
      <c r="BW117" s="452"/>
      <c r="BX117" s="456"/>
      <c r="BY117" s="457">
        <v>470894</v>
      </c>
      <c r="BZ117" s="458"/>
      <c r="CA117" s="451"/>
      <c r="CB117" s="452"/>
      <c r="CC117" s="456"/>
      <c r="CD117" s="457">
        <v>0</v>
      </c>
      <c r="CE117" s="458"/>
      <c r="CF117" s="451"/>
      <c r="CG117" s="452"/>
      <c r="CH117" s="459"/>
      <c r="CI117" s="457">
        <v>0</v>
      </c>
      <c r="CJ117" s="458"/>
      <c r="CK117" s="451"/>
      <c r="CL117" s="452"/>
      <c r="CM117" s="459"/>
      <c r="CN117" s="457">
        <v>0</v>
      </c>
      <c r="CO117" s="458"/>
      <c r="CP117" s="451"/>
      <c r="CQ117" s="452"/>
      <c r="CR117" s="459"/>
      <c r="CS117" s="457">
        <v>0</v>
      </c>
      <c r="CT117" s="458"/>
      <c r="CU117" s="451"/>
      <c r="CV117" s="452"/>
      <c r="CW117" s="459"/>
      <c r="CX117" s="457">
        <v>23165</v>
      </c>
      <c r="CY117" s="458"/>
      <c r="CZ117" s="451"/>
      <c r="DA117" s="452"/>
      <c r="DB117" s="459"/>
      <c r="DC117" s="457">
        <v>0</v>
      </c>
      <c r="DD117" s="458"/>
      <c r="DE117" s="451"/>
      <c r="DF117" s="452"/>
      <c r="DG117" s="459"/>
      <c r="DH117" s="457">
        <v>0</v>
      </c>
      <c r="DI117" s="458"/>
      <c r="DJ117" s="451"/>
      <c r="DK117" s="452"/>
      <c r="DL117" s="459"/>
      <c r="DM117" s="457">
        <v>0</v>
      </c>
      <c r="DN117" s="458"/>
      <c r="DO117" s="451"/>
      <c r="DP117" s="452"/>
      <c r="DQ117" s="459"/>
      <c r="DR117" s="457">
        <v>0</v>
      </c>
      <c r="DS117" s="458"/>
      <c r="DT117" s="451"/>
      <c r="DU117" s="452"/>
      <c r="DV117" s="459"/>
      <c r="DW117" s="457">
        <v>0</v>
      </c>
      <c r="DX117" s="458"/>
      <c r="DY117" s="451"/>
      <c r="DZ117" s="452"/>
      <c r="EA117" s="459"/>
      <c r="EB117" s="457">
        <v>0</v>
      </c>
      <c r="EC117" s="458"/>
      <c r="ED117" s="451"/>
      <c r="EE117" s="452"/>
      <c r="EF117" s="459"/>
      <c r="EG117" s="457">
        <v>447729</v>
      </c>
      <c r="EH117" s="458"/>
      <c r="EI117" s="451"/>
      <c r="EJ117" s="452"/>
      <c r="EK117" s="456"/>
      <c r="EL117" s="457">
        <f>SUM(CD117:DW117)</f>
        <v>23165</v>
      </c>
      <c r="EM117" s="458"/>
      <c r="EO117" s="13"/>
      <c r="EP117" s="14"/>
      <c r="EQ117" s="14"/>
    </row>
    <row r="118" spans="4:147" x14ac:dyDescent="0.2">
      <c r="D118" s="13"/>
      <c r="E118" s="198"/>
      <c r="G118" s="451"/>
      <c r="H118" s="451"/>
      <c r="I118" s="451"/>
      <c r="J118" s="452"/>
      <c r="L118" s="451"/>
      <c r="M118" s="451"/>
      <c r="N118" s="451"/>
      <c r="O118" s="452"/>
      <c r="Q118" s="451"/>
      <c r="R118" s="451"/>
      <c r="S118" s="451"/>
      <c r="T118" s="452"/>
      <c r="V118" s="451"/>
      <c r="W118" s="451"/>
      <c r="X118" s="451"/>
      <c r="Y118" s="452"/>
      <c r="AA118" s="451"/>
      <c r="AB118" s="451"/>
      <c r="AC118" s="451"/>
      <c r="AD118" s="452"/>
      <c r="AF118" s="451"/>
      <c r="AG118" s="451"/>
      <c r="AH118" s="451"/>
      <c r="AI118" s="452"/>
      <c r="AK118" s="451"/>
      <c r="AL118" s="451"/>
      <c r="AM118" s="451"/>
      <c r="AN118" s="452"/>
      <c r="AP118" s="451"/>
      <c r="AQ118" s="451"/>
      <c r="AR118" s="451"/>
      <c r="AS118" s="452"/>
      <c r="AU118" s="451"/>
      <c r="AV118" s="451"/>
      <c r="AW118" s="451"/>
      <c r="AX118" s="452"/>
      <c r="AZ118" s="451"/>
      <c r="BA118" s="451"/>
      <c r="BB118" s="451"/>
      <c r="BC118" s="452"/>
      <c r="BE118" s="451"/>
      <c r="BF118" s="451"/>
      <c r="BG118" s="451"/>
      <c r="BH118" s="452"/>
      <c r="BJ118" s="451"/>
      <c r="BK118" s="451"/>
      <c r="BL118" s="451"/>
      <c r="BM118" s="452"/>
      <c r="BO118" s="451"/>
      <c r="BP118" s="451"/>
      <c r="BQ118" s="451"/>
      <c r="BR118" s="452"/>
      <c r="BT118" s="451"/>
      <c r="BU118" s="451"/>
      <c r="BV118" s="451"/>
      <c r="BW118" s="452"/>
      <c r="BY118" s="451"/>
      <c r="BZ118" s="451"/>
      <c r="CA118" s="451"/>
      <c r="CB118" s="452"/>
      <c r="CD118" s="451"/>
      <c r="CE118" s="451"/>
      <c r="CF118" s="451"/>
      <c r="CG118" s="452"/>
      <c r="CI118" s="451"/>
      <c r="CJ118" s="451"/>
      <c r="CK118" s="451"/>
      <c r="CL118" s="452"/>
      <c r="CN118" s="451"/>
      <c r="CO118" s="451"/>
      <c r="CP118" s="451"/>
      <c r="CQ118" s="452"/>
      <c r="CS118" s="451"/>
      <c r="CT118" s="451"/>
      <c r="CU118" s="451"/>
      <c r="CV118" s="452"/>
      <c r="CX118" s="451"/>
      <c r="CY118" s="451"/>
      <c r="CZ118" s="451"/>
      <c r="DA118" s="452"/>
      <c r="DC118" s="451"/>
      <c r="DD118" s="451"/>
      <c r="DE118" s="451"/>
      <c r="DF118" s="452"/>
      <c r="DH118" s="451"/>
      <c r="DI118" s="451"/>
      <c r="DJ118" s="451"/>
      <c r="DK118" s="452"/>
      <c r="DM118" s="451"/>
      <c r="DN118" s="451"/>
      <c r="DO118" s="451"/>
      <c r="DP118" s="452"/>
      <c r="DR118" s="451"/>
      <c r="DS118" s="451"/>
      <c r="DT118" s="451"/>
      <c r="DU118" s="452"/>
      <c r="DW118" s="451"/>
      <c r="DX118" s="451"/>
      <c r="DY118" s="451"/>
      <c r="DZ118" s="452"/>
      <c r="EB118" s="451"/>
      <c r="EC118" s="451"/>
      <c r="ED118" s="451"/>
      <c r="EE118" s="452"/>
      <c r="EG118" s="451"/>
      <c r="EH118" s="451"/>
      <c r="EI118" s="451"/>
      <c r="EJ118" s="452"/>
      <c r="EL118" s="451"/>
      <c r="EM118" s="451"/>
      <c r="EO118" s="13"/>
      <c r="EP118" s="14"/>
      <c r="EQ118" s="14"/>
    </row>
    <row r="119" spans="4:147" x14ac:dyDescent="0.2">
      <c r="D119" s="13" t="s">
        <v>375</v>
      </c>
      <c r="E119" s="198"/>
      <c r="G119" s="451">
        <f>SUM(G120:G120)</f>
        <v>0</v>
      </c>
      <c r="H119" s="451"/>
      <c r="I119" s="451"/>
      <c r="J119" s="452"/>
      <c r="K119" s="451"/>
      <c r="L119" s="451">
        <f>SUM(L120:L120)</f>
        <v>0</v>
      </c>
      <c r="M119" s="451"/>
      <c r="N119" s="451"/>
      <c r="O119" s="452"/>
      <c r="P119" s="451"/>
      <c r="Q119" s="451">
        <f>SUM(Q120:Q120)</f>
        <v>0</v>
      </c>
      <c r="R119" s="451"/>
      <c r="S119" s="451"/>
      <c r="T119" s="452"/>
      <c r="U119" s="451"/>
      <c r="V119" s="451">
        <f>SUM(V120:V120)</f>
        <v>0</v>
      </c>
      <c r="W119" s="451"/>
      <c r="X119" s="451"/>
      <c r="Y119" s="452"/>
      <c r="Z119" s="451"/>
      <c r="AA119" s="451">
        <f>SUM(AA120:AA120)</f>
        <v>0</v>
      </c>
      <c r="AB119" s="451"/>
      <c r="AC119" s="451"/>
      <c r="AD119" s="452"/>
      <c r="AE119" s="451"/>
      <c r="AF119" s="451">
        <f>SUM(AF120:AF120)</f>
        <v>0</v>
      </c>
      <c r="AG119" s="451"/>
      <c r="AH119" s="451"/>
      <c r="AI119" s="452"/>
      <c r="AJ119" s="451"/>
      <c r="AK119" s="451">
        <f>SUM(AK120:AK120)</f>
        <v>0</v>
      </c>
      <c r="AL119" s="451"/>
      <c r="AM119" s="451"/>
      <c r="AN119" s="452"/>
      <c r="AO119" s="451"/>
      <c r="AP119" s="451">
        <f>SUM(AP120:AP120)</f>
        <v>0</v>
      </c>
      <c r="AQ119" s="451"/>
      <c r="AR119" s="451"/>
      <c r="AS119" s="452"/>
      <c r="AT119" s="451"/>
      <c r="AU119" s="451">
        <f>SUM(AU120:AU120)</f>
        <v>0</v>
      </c>
      <c r="AV119" s="451"/>
      <c r="AW119" s="451"/>
      <c r="AX119" s="452"/>
      <c r="AY119" s="451"/>
      <c r="AZ119" s="451">
        <f>SUM(AZ120:AZ120)</f>
        <v>0</v>
      </c>
      <c r="BA119" s="451"/>
      <c r="BB119" s="451"/>
      <c r="BC119" s="452"/>
      <c r="BD119" s="451"/>
      <c r="BE119" s="451">
        <f>SUM(BE120:BE120)</f>
        <v>0</v>
      </c>
      <c r="BF119" s="451"/>
      <c r="BG119" s="451"/>
      <c r="BH119" s="452"/>
      <c r="BI119" s="451"/>
      <c r="BJ119" s="451">
        <f>SUM(BJ120:BJ120)</f>
        <v>0</v>
      </c>
      <c r="BK119" s="451"/>
      <c r="BL119" s="451"/>
      <c r="BM119" s="452"/>
      <c r="BN119" s="451"/>
      <c r="BO119" s="451">
        <f>SUM(BO120:BO120)</f>
        <v>0</v>
      </c>
      <c r="BP119" s="451"/>
      <c r="BQ119" s="451"/>
      <c r="BR119" s="452"/>
      <c r="BT119" s="451">
        <f>SUM(BT120:BT120)</f>
        <v>0</v>
      </c>
      <c r="BU119" s="451"/>
      <c r="BV119" s="451"/>
      <c r="BW119" s="452"/>
      <c r="BY119" s="451">
        <f>SUM(BY120:BY120)</f>
        <v>30810</v>
      </c>
      <c r="BZ119" s="451"/>
      <c r="CA119" s="451"/>
      <c r="CB119" s="452"/>
      <c r="CC119" s="451"/>
      <c r="CD119" s="451">
        <f>SUM(CD120:CD120)</f>
        <v>0</v>
      </c>
      <c r="CE119" s="451"/>
      <c r="CF119" s="451"/>
      <c r="CG119" s="452"/>
      <c r="CH119" s="451"/>
      <c r="CI119" s="451">
        <f>SUM(CI120:CI120)</f>
        <v>0</v>
      </c>
      <c r="CJ119" s="451"/>
      <c r="CK119" s="451"/>
      <c r="CL119" s="452"/>
      <c r="CM119" s="451"/>
      <c r="CN119" s="451">
        <f>SUM(CN120:CN120)</f>
        <v>0</v>
      </c>
      <c r="CO119" s="451"/>
      <c r="CP119" s="451"/>
      <c r="CQ119" s="452"/>
      <c r="CR119" s="451"/>
      <c r="CS119" s="451">
        <f>SUM(CS120:CS120)</f>
        <v>0</v>
      </c>
      <c r="CT119" s="451"/>
      <c r="CU119" s="451"/>
      <c r="CV119" s="452"/>
      <c r="CW119" s="451"/>
      <c r="CX119" s="451">
        <f>SUM(CX120:CX120)</f>
        <v>0</v>
      </c>
      <c r="CY119" s="451"/>
      <c r="CZ119" s="451"/>
      <c r="DA119" s="452"/>
      <c r="DB119" s="451"/>
      <c r="DC119" s="451">
        <f>SUM(DC120:DC120)</f>
        <v>0</v>
      </c>
      <c r="DD119" s="451"/>
      <c r="DE119" s="451"/>
      <c r="DF119" s="452"/>
      <c r="DG119" s="451"/>
      <c r="DH119" s="451">
        <f>SUM(DH120:DH120)</f>
        <v>0</v>
      </c>
      <c r="DI119" s="451"/>
      <c r="DJ119" s="451"/>
      <c r="DK119" s="452"/>
      <c r="DL119" s="451"/>
      <c r="DM119" s="451">
        <f>SUM(DM120:DM120)</f>
        <v>0</v>
      </c>
      <c r="DN119" s="451"/>
      <c r="DO119" s="451"/>
      <c r="DP119" s="452"/>
      <c r="DQ119" s="451"/>
      <c r="DR119" s="451">
        <f>SUM(DR120:DR120)</f>
        <v>0</v>
      </c>
      <c r="DS119" s="451"/>
      <c r="DT119" s="451"/>
      <c r="DU119" s="452"/>
      <c r="DV119" s="451"/>
      <c r="DW119" s="451">
        <f>SUM(DW120:DW120)</f>
        <v>0</v>
      </c>
      <c r="DX119" s="451"/>
      <c r="DY119" s="451"/>
      <c r="DZ119" s="452"/>
      <c r="EA119" s="451"/>
      <c r="EB119" s="451">
        <f>SUM(EB120:EB120)</f>
        <v>0</v>
      </c>
      <c r="EC119" s="451"/>
      <c r="ED119" s="451"/>
      <c r="EE119" s="452"/>
      <c r="EF119" s="451"/>
      <c r="EG119" s="451">
        <f>SUM(EG120:EG120)</f>
        <v>30810</v>
      </c>
      <c r="EH119" s="451"/>
      <c r="EI119" s="451"/>
      <c r="EJ119" s="452"/>
      <c r="EL119" s="451">
        <f>SUM(EL120:EL120)</f>
        <v>0</v>
      </c>
      <c r="EM119" s="451"/>
      <c r="EO119" s="13"/>
      <c r="EP119" s="14"/>
      <c r="EQ119" s="14"/>
    </row>
    <row r="120" spans="4:147" x14ac:dyDescent="0.2">
      <c r="D120" s="13" t="s">
        <v>347</v>
      </c>
      <c r="E120" s="198"/>
      <c r="F120" s="456"/>
      <c r="G120" s="457">
        <v>0</v>
      </c>
      <c r="H120" s="458"/>
      <c r="I120" s="451"/>
      <c r="J120" s="452"/>
      <c r="K120" s="456"/>
      <c r="L120" s="457">
        <v>0</v>
      </c>
      <c r="M120" s="458"/>
      <c r="N120" s="451"/>
      <c r="O120" s="452"/>
      <c r="P120" s="459"/>
      <c r="Q120" s="457">
        <v>0</v>
      </c>
      <c r="R120" s="458"/>
      <c r="S120" s="451"/>
      <c r="T120" s="452"/>
      <c r="U120" s="459"/>
      <c r="V120" s="457">
        <v>0</v>
      </c>
      <c r="W120" s="458"/>
      <c r="X120" s="451"/>
      <c r="Y120" s="452"/>
      <c r="Z120" s="459"/>
      <c r="AA120" s="457">
        <v>0</v>
      </c>
      <c r="AB120" s="458"/>
      <c r="AC120" s="451"/>
      <c r="AD120" s="452"/>
      <c r="AE120" s="459"/>
      <c r="AF120" s="457">
        <v>0</v>
      </c>
      <c r="AG120" s="458"/>
      <c r="AH120" s="451"/>
      <c r="AI120" s="452"/>
      <c r="AJ120" s="459"/>
      <c r="AK120" s="457">
        <v>0</v>
      </c>
      <c r="AL120" s="458"/>
      <c r="AM120" s="451"/>
      <c r="AN120" s="452"/>
      <c r="AO120" s="459"/>
      <c r="AP120" s="457">
        <v>0</v>
      </c>
      <c r="AQ120" s="458"/>
      <c r="AR120" s="451"/>
      <c r="AS120" s="452"/>
      <c r="AT120" s="459"/>
      <c r="AU120" s="457">
        <v>0</v>
      </c>
      <c r="AV120" s="458"/>
      <c r="AW120" s="451"/>
      <c r="AX120" s="452"/>
      <c r="AY120" s="459"/>
      <c r="AZ120" s="457">
        <v>0</v>
      </c>
      <c r="BA120" s="458"/>
      <c r="BB120" s="451"/>
      <c r="BC120" s="452"/>
      <c r="BD120" s="459"/>
      <c r="BE120" s="457">
        <v>0</v>
      </c>
      <c r="BF120" s="458"/>
      <c r="BG120" s="451"/>
      <c r="BH120" s="452"/>
      <c r="BI120" s="459"/>
      <c r="BJ120" s="457">
        <v>0</v>
      </c>
      <c r="BK120" s="458"/>
      <c r="BL120" s="451"/>
      <c r="BM120" s="452"/>
      <c r="BN120" s="459"/>
      <c r="BO120" s="457">
        <v>0</v>
      </c>
      <c r="BP120" s="458"/>
      <c r="BQ120" s="451"/>
      <c r="BR120" s="452"/>
      <c r="BS120" s="456"/>
      <c r="BT120" s="457">
        <f>SUM(L120:BO120)</f>
        <v>0</v>
      </c>
      <c r="BU120" s="458"/>
      <c r="BV120" s="451"/>
      <c r="BW120" s="452"/>
      <c r="BX120" s="456"/>
      <c r="BY120" s="457">
        <v>30810</v>
      </c>
      <c r="BZ120" s="458"/>
      <c r="CA120" s="451"/>
      <c r="CB120" s="452"/>
      <c r="CC120" s="456"/>
      <c r="CD120" s="457">
        <v>0</v>
      </c>
      <c r="CE120" s="458"/>
      <c r="CF120" s="451"/>
      <c r="CG120" s="452"/>
      <c r="CH120" s="459"/>
      <c r="CI120" s="457">
        <v>0</v>
      </c>
      <c r="CJ120" s="458"/>
      <c r="CK120" s="451"/>
      <c r="CL120" s="452"/>
      <c r="CM120" s="459"/>
      <c r="CN120" s="457">
        <v>0</v>
      </c>
      <c r="CO120" s="458"/>
      <c r="CP120" s="451"/>
      <c r="CQ120" s="452"/>
      <c r="CR120" s="459"/>
      <c r="CS120" s="457">
        <v>0</v>
      </c>
      <c r="CT120" s="458"/>
      <c r="CU120" s="451"/>
      <c r="CV120" s="452"/>
      <c r="CW120" s="459"/>
      <c r="CX120" s="457">
        <v>0</v>
      </c>
      <c r="CY120" s="458"/>
      <c r="CZ120" s="451"/>
      <c r="DA120" s="452"/>
      <c r="DB120" s="459"/>
      <c r="DC120" s="457">
        <v>0</v>
      </c>
      <c r="DD120" s="458"/>
      <c r="DE120" s="451"/>
      <c r="DF120" s="452"/>
      <c r="DG120" s="459"/>
      <c r="DH120" s="457">
        <v>0</v>
      </c>
      <c r="DI120" s="458"/>
      <c r="DJ120" s="451"/>
      <c r="DK120" s="452"/>
      <c r="DL120" s="459"/>
      <c r="DM120" s="457">
        <v>0</v>
      </c>
      <c r="DN120" s="458"/>
      <c r="DO120" s="451"/>
      <c r="DP120" s="452"/>
      <c r="DQ120" s="459"/>
      <c r="DR120" s="457">
        <v>0</v>
      </c>
      <c r="DS120" s="458"/>
      <c r="DT120" s="451"/>
      <c r="DU120" s="452"/>
      <c r="DV120" s="459"/>
      <c r="DW120" s="457">
        <v>0</v>
      </c>
      <c r="DX120" s="458"/>
      <c r="DY120" s="451"/>
      <c r="DZ120" s="452"/>
      <c r="EA120" s="459"/>
      <c r="EB120" s="457">
        <v>0</v>
      </c>
      <c r="EC120" s="458"/>
      <c r="ED120" s="451"/>
      <c r="EE120" s="452"/>
      <c r="EF120" s="459"/>
      <c r="EG120" s="457">
        <v>30810</v>
      </c>
      <c r="EH120" s="458"/>
      <c r="EI120" s="451"/>
      <c r="EJ120" s="452"/>
      <c r="EK120" s="456"/>
      <c r="EL120" s="457">
        <f>SUM(CD120:DW120)</f>
        <v>0</v>
      </c>
      <c r="EM120" s="458"/>
      <c r="EO120" s="13"/>
      <c r="EP120" s="14"/>
      <c r="EQ120" s="14"/>
    </row>
    <row r="121" spans="4:147" hidden="1" x14ac:dyDescent="0.2">
      <c r="D121" s="461"/>
      <c r="E121" s="198"/>
      <c r="G121" s="451"/>
      <c r="H121" s="451"/>
      <c r="I121" s="451"/>
      <c r="J121" s="452"/>
      <c r="K121" s="451"/>
      <c r="L121" s="451"/>
      <c r="M121" s="451"/>
      <c r="N121" s="451"/>
      <c r="O121" s="452"/>
      <c r="P121" s="451"/>
      <c r="Q121" s="451"/>
      <c r="R121" s="451"/>
      <c r="S121" s="451"/>
      <c r="T121" s="452"/>
      <c r="U121" s="451"/>
      <c r="V121" s="451"/>
      <c r="W121" s="451"/>
      <c r="X121" s="451"/>
      <c r="Y121" s="452"/>
      <c r="Z121" s="451"/>
      <c r="AA121" s="451"/>
      <c r="AB121" s="451"/>
      <c r="AC121" s="451"/>
      <c r="AD121" s="452"/>
      <c r="AE121" s="451"/>
      <c r="AF121" s="451"/>
      <c r="AG121" s="451"/>
      <c r="AH121" s="451"/>
      <c r="AI121" s="452"/>
      <c r="AJ121" s="451"/>
      <c r="AK121" s="451"/>
      <c r="AL121" s="451"/>
      <c r="AM121" s="451"/>
      <c r="AN121" s="452"/>
      <c r="AO121" s="451"/>
      <c r="AP121" s="451"/>
      <c r="AQ121" s="451"/>
      <c r="AR121" s="451"/>
      <c r="AS121" s="452"/>
      <c r="AT121" s="451"/>
      <c r="AU121" s="451"/>
      <c r="AV121" s="451"/>
      <c r="AW121" s="451"/>
      <c r="AX121" s="452"/>
      <c r="AY121" s="451"/>
      <c r="AZ121" s="451"/>
      <c r="BA121" s="451"/>
      <c r="BB121" s="451"/>
      <c r="BC121" s="452"/>
      <c r="BD121" s="451"/>
      <c r="BE121" s="451"/>
      <c r="BF121" s="451"/>
      <c r="BG121" s="451"/>
      <c r="BH121" s="452"/>
      <c r="BI121" s="451"/>
      <c r="BJ121" s="451"/>
      <c r="BK121" s="451"/>
      <c r="BL121" s="451"/>
      <c r="BM121" s="452"/>
      <c r="BN121" s="451"/>
      <c r="BO121" s="451"/>
      <c r="BP121" s="451"/>
      <c r="BQ121" s="451"/>
      <c r="BR121" s="452"/>
      <c r="BS121" s="451"/>
      <c r="BT121" s="451"/>
      <c r="BU121" s="451"/>
      <c r="BV121" s="451"/>
      <c r="BW121" s="452"/>
      <c r="BX121" s="451"/>
      <c r="BY121" s="451"/>
      <c r="BZ121" s="451"/>
      <c r="CA121" s="451"/>
      <c r="CB121" s="452"/>
      <c r="CC121" s="451"/>
      <c r="CD121" s="451"/>
      <c r="CE121" s="451"/>
      <c r="CF121" s="451"/>
      <c r="CG121" s="452"/>
      <c r="CH121" s="451"/>
      <c r="CI121" s="451"/>
      <c r="CJ121" s="451"/>
      <c r="CK121" s="451"/>
      <c r="CL121" s="452"/>
      <c r="CM121" s="451"/>
      <c r="CN121" s="451"/>
      <c r="CO121" s="451"/>
      <c r="CP121" s="451"/>
      <c r="CQ121" s="452"/>
      <c r="CR121" s="451"/>
      <c r="CS121" s="451"/>
      <c r="CT121" s="451"/>
      <c r="CU121" s="451"/>
      <c r="CV121" s="452"/>
      <c r="CW121" s="451"/>
      <c r="CX121" s="451"/>
      <c r="CY121" s="451"/>
      <c r="CZ121" s="451"/>
      <c r="DA121" s="452"/>
      <c r="DB121" s="451"/>
      <c r="DC121" s="451"/>
      <c r="DD121" s="451"/>
      <c r="DE121" s="451"/>
      <c r="DF121" s="452"/>
      <c r="DG121" s="451"/>
      <c r="DH121" s="451"/>
      <c r="DI121" s="451"/>
      <c r="DJ121" s="451"/>
      <c r="DK121" s="452"/>
      <c r="DL121" s="451"/>
      <c r="DM121" s="451"/>
      <c r="DN121" s="451"/>
      <c r="DO121" s="451"/>
      <c r="DP121" s="452"/>
      <c r="DQ121" s="451"/>
      <c r="DR121" s="451"/>
      <c r="DS121" s="451"/>
      <c r="DT121" s="451"/>
      <c r="DU121" s="452"/>
      <c r="DV121" s="451"/>
      <c r="DW121" s="451"/>
      <c r="DX121" s="451"/>
      <c r="DY121" s="451"/>
      <c r="DZ121" s="452"/>
      <c r="EA121" s="451"/>
      <c r="EB121" s="451"/>
      <c r="EC121" s="451"/>
      <c r="ED121" s="451"/>
      <c r="EE121" s="452"/>
      <c r="EF121" s="451"/>
      <c r="EG121" s="451"/>
      <c r="EH121" s="451"/>
      <c r="EI121" s="451"/>
      <c r="EJ121" s="452"/>
      <c r="EK121" s="451"/>
      <c r="EL121" s="451"/>
      <c r="EN121" s="190"/>
      <c r="EO121" s="13"/>
      <c r="EP121" s="14"/>
      <c r="EQ121" s="14"/>
    </row>
    <row r="122" spans="4:147" s="14" customFormat="1" hidden="1" x14ac:dyDescent="0.2">
      <c r="D122" s="93" t="s">
        <v>435</v>
      </c>
      <c r="E122" s="180"/>
      <c r="G122" s="446">
        <v>0</v>
      </c>
      <c r="H122" s="446"/>
      <c r="I122" s="446"/>
      <c r="J122" s="447"/>
      <c r="K122" s="446"/>
      <c r="L122" s="446">
        <f>SUM(L123:L125)</f>
        <v>0</v>
      </c>
      <c r="M122" s="446"/>
      <c r="N122" s="446"/>
      <c r="O122" s="447"/>
      <c r="P122" s="446"/>
      <c r="Q122" s="446">
        <f>SUM(Q123:Q125)</f>
        <v>0</v>
      </c>
      <c r="R122" s="446"/>
      <c r="S122" s="446"/>
      <c r="T122" s="447"/>
      <c r="U122" s="446"/>
      <c r="V122" s="446">
        <f>SUM(V123:V125)</f>
        <v>0</v>
      </c>
      <c r="W122" s="446"/>
      <c r="X122" s="446"/>
      <c r="Y122" s="447"/>
      <c r="Z122" s="446"/>
      <c r="AA122" s="446">
        <f>SUM(AA123:AA125)</f>
        <v>0</v>
      </c>
      <c r="AB122" s="446"/>
      <c r="AC122" s="446"/>
      <c r="AD122" s="447"/>
      <c r="AE122" s="446"/>
      <c r="AF122" s="446">
        <f>SUM(AF123:AF125)</f>
        <v>0</v>
      </c>
      <c r="AG122" s="446"/>
      <c r="AH122" s="446"/>
      <c r="AI122" s="447"/>
      <c r="AJ122" s="446"/>
      <c r="AK122" s="446">
        <f>SUM(AK123:AK125)</f>
        <v>0</v>
      </c>
      <c r="AL122" s="446"/>
      <c r="AM122" s="446"/>
      <c r="AN122" s="447"/>
      <c r="AO122" s="446"/>
      <c r="AP122" s="446">
        <f>SUM(AP123:AP125)</f>
        <v>0</v>
      </c>
      <c r="AQ122" s="446"/>
      <c r="AR122" s="446"/>
      <c r="AS122" s="447"/>
      <c r="AT122" s="446"/>
      <c r="AU122" s="446">
        <f>SUM(AU123:AU125)</f>
        <v>0</v>
      </c>
      <c r="AV122" s="446"/>
      <c r="AW122" s="446"/>
      <c r="AX122" s="447"/>
      <c r="AY122" s="446"/>
      <c r="AZ122" s="446">
        <f>SUM(AZ123:AZ125)</f>
        <v>0</v>
      </c>
      <c r="BA122" s="446"/>
      <c r="BB122" s="446"/>
      <c r="BC122" s="447"/>
      <c r="BD122" s="446"/>
      <c r="BE122" s="446">
        <f>SUM(BE123:BE125)</f>
        <v>0</v>
      </c>
      <c r="BF122" s="446"/>
      <c r="BG122" s="446"/>
      <c r="BH122" s="447"/>
      <c r="BI122" s="446"/>
      <c r="BJ122" s="446">
        <f>SUM(BJ123:BJ125)</f>
        <v>0</v>
      </c>
      <c r="BK122" s="446"/>
      <c r="BL122" s="446"/>
      <c r="BM122" s="447"/>
      <c r="BN122" s="446"/>
      <c r="BO122" s="446">
        <f>SUM(BO123:BO125)</f>
        <v>0</v>
      </c>
      <c r="BP122" s="446"/>
      <c r="BQ122" s="446"/>
      <c r="BR122" s="447"/>
      <c r="BS122" s="446"/>
      <c r="BT122" s="446">
        <f>SUM(BT123:BT125)</f>
        <v>0</v>
      </c>
      <c r="BU122" s="446"/>
      <c r="BV122" s="446"/>
      <c r="BW122" s="447"/>
      <c r="BX122" s="446"/>
      <c r="BY122" s="446">
        <v>0</v>
      </c>
      <c r="BZ122" s="446"/>
      <c r="CA122" s="446"/>
      <c r="CB122" s="447"/>
      <c r="CC122" s="446"/>
      <c r="CD122" s="446">
        <f>SUM(CD123:CD125)</f>
        <v>0</v>
      </c>
      <c r="CE122" s="446"/>
      <c r="CF122" s="446"/>
      <c r="CG122" s="447"/>
      <c r="CH122" s="446"/>
      <c r="CI122" s="446">
        <f>SUM(CI123:CI125)</f>
        <v>0</v>
      </c>
      <c r="CJ122" s="446"/>
      <c r="CK122" s="446"/>
      <c r="CL122" s="447"/>
      <c r="CM122" s="446"/>
      <c r="CN122" s="446">
        <f>SUM(CN123:CN125)</f>
        <v>0</v>
      </c>
      <c r="CO122" s="446"/>
      <c r="CP122" s="446"/>
      <c r="CQ122" s="447"/>
      <c r="CR122" s="446"/>
      <c r="CS122" s="446">
        <f>SUM(CS123:CS125)</f>
        <v>0</v>
      </c>
      <c r="CT122" s="446"/>
      <c r="CU122" s="446"/>
      <c r="CV122" s="447"/>
      <c r="CW122" s="446"/>
      <c r="CX122" s="446">
        <f>SUM(CX123:CX125)</f>
        <v>0</v>
      </c>
      <c r="CY122" s="446"/>
      <c r="CZ122" s="446"/>
      <c r="DA122" s="447"/>
      <c r="DB122" s="446"/>
      <c r="DC122" s="446">
        <f>SUM(DC123:DC125)</f>
        <v>0</v>
      </c>
      <c r="DD122" s="446"/>
      <c r="DE122" s="446"/>
      <c r="DF122" s="447"/>
      <c r="DG122" s="446"/>
      <c r="DH122" s="446">
        <f>SUM(DH123:DH125)</f>
        <v>0</v>
      </c>
      <c r="DI122" s="446"/>
      <c r="DJ122" s="446"/>
      <c r="DK122" s="447"/>
      <c r="DL122" s="446"/>
      <c r="DM122" s="446">
        <f>SUM(DM123:DM125)</f>
        <v>0</v>
      </c>
      <c r="DN122" s="446"/>
      <c r="DO122" s="446"/>
      <c r="DP122" s="447"/>
      <c r="DQ122" s="446"/>
      <c r="DR122" s="446">
        <f>SUM(DR123:DR125)</f>
        <v>0</v>
      </c>
      <c r="DS122" s="446"/>
      <c r="DT122" s="446"/>
      <c r="DU122" s="447"/>
      <c r="DV122" s="446"/>
      <c r="DW122" s="446">
        <f>SUM(DW123:DW125)</f>
        <v>0</v>
      </c>
      <c r="DX122" s="446"/>
      <c r="DY122" s="446"/>
      <c r="DZ122" s="447"/>
      <c r="EA122" s="446"/>
      <c r="EB122" s="446">
        <f>SUM(EB123:EB125)</f>
        <v>0</v>
      </c>
      <c r="EC122" s="446"/>
      <c r="ED122" s="446"/>
      <c r="EE122" s="447"/>
      <c r="EF122" s="446"/>
      <c r="EG122" s="446">
        <f>SUM(EG123:EG125)</f>
        <v>0</v>
      </c>
      <c r="EH122" s="446"/>
      <c r="EI122" s="451"/>
      <c r="EJ122" s="452"/>
      <c r="EK122" s="446"/>
      <c r="EL122" s="446">
        <f>SUM(EL123:EL125)</f>
        <v>0</v>
      </c>
      <c r="EO122" s="93"/>
    </row>
    <row r="123" spans="4:147" hidden="1" x14ac:dyDescent="0.2">
      <c r="D123" s="13" t="s">
        <v>347</v>
      </c>
      <c r="E123" s="198"/>
      <c r="F123" s="374"/>
      <c r="G123" s="449">
        <f>G133+G153</f>
        <v>0</v>
      </c>
      <c r="H123" s="450"/>
      <c r="I123" s="451"/>
      <c r="J123" s="452"/>
      <c r="K123" s="453"/>
      <c r="L123" s="449">
        <f>L133+L153</f>
        <v>0</v>
      </c>
      <c r="M123" s="450"/>
      <c r="N123" s="451"/>
      <c r="O123" s="452"/>
      <c r="P123" s="453"/>
      <c r="Q123" s="449">
        <f>Q133+Q153</f>
        <v>0</v>
      </c>
      <c r="R123" s="450"/>
      <c r="S123" s="451"/>
      <c r="T123" s="452"/>
      <c r="U123" s="453"/>
      <c r="V123" s="449">
        <f>V133+V153</f>
        <v>0</v>
      </c>
      <c r="W123" s="450"/>
      <c r="X123" s="451"/>
      <c r="Y123" s="452"/>
      <c r="Z123" s="453"/>
      <c r="AA123" s="449">
        <f>AA133+AA153</f>
        <v>0</v>
      </c>
      <c r="AB123" s="450"/>
      <c r="AC123" s="451"/>
      <c r="AD123" s="452"/>
      <c r="AE123" s="453"/>
      <c r="AF123" s="449">
        <f>AF133+AF153</f>
        <v>0</v>
      </c>
      <c r="AG123" s="450"/>
      <c r="AH123" s="451"/>
      <c r="AI123" s="452"/>
      <c r="AJ123" s="453"/>
      <c r="AK123" s="449">
        <f>AK133+AK153</f>
        <v>0</v>
      </c>
      <c r="AL123" s="450"/>
      <c r="AM123" s="451"/>
      <c r="AN123" s="452"/>
      <c r="AO123" s="453"/>
      <c r="AP123" s="449">
        <f>AP133+AP153</f>
        <v>0</v>
      </c>
      <c r="AQ123" s="450"/>
      <c r="AR123" s="451"/>
      <c r="AS123" s="452"/>
      <c r="AT123" s="453"/>
      <c r="AU123" s="449">
        <f>AU133+AU153</f>
        <v>0</v>
      </c>
      <c r="AV123" s="450"/>
      <c r="AW123" s="451"/>
      <c r="AX123" s="452"/>
      <c r="AY123" s="453"/>
      <c r="AZ123" s="449">
        <f>AZ133+AZ153</f>
        <v>0</v>
      </c>
      <c r="BA123" s="450"/>
      <c r="BB123" s="451"/>
      <c r="BC123" s="452"/>
      <c r="BD123" s="453"/>
      <c r="BE123" s="449">
        <f>BE133+BE153</f>
        <v>0</v>
      </c>
      <c r="BF123" s="450"/>
      <c r="BG123" s="451"/>
      <c r="BH123" s="452"/>
      <c r="BI123" s="453"/>
      <c r="BJ123" s="449">
        <f>BJ133+BJ153</f>
        <v>0</v>
      </c>
      <c r="BK123" s="450"/>
      <c r="BL123" s="451"/>
      <c r="BM123" s="452"/>
      <c r="BN123" s="453"/>
      <c r="BO123" s="449">
        <f>BO133+BO153</f>
        <v>0</v>
      </c>
      <c r="BP123" s="450"/>
      <c r="BQ123" s="451"/>
      <c r="BR123" s="452"/>
      <c r="BS123" s="453"/>
      <c r="BT123" s="449">
        <f>BT133+BT128+BT153+BT138+BT143+BT148</f>
        <v>0</v>
      </c>
      <c r="BU123" s="450"/>
      <c r="BV123" s="451"/>
      <c r="BW123" s="452"/>
      <c r="BX123" s="453"/>
      <c r="BY123" s="449">
        <f>BY133+BY153</f>
        <v>0</v>
      </c>
      <c r="BZ123" s="450"/>
      <c r="CA123" s="451"/>
      <c r="CB123" s="452"/>
      <c r="CC123" s="453"/>
      <c r="CD123" s="449">
        <f>CD133+CD153</f>
        <v>0</v>
      </c>
      <c r="CE123" s="450"/>
      <c r="CF123" s="451"/>
      <c r="CG123" s="452"/>
      <c r="CH123" s="453"/>
      <c r="CI123" s="449">
        <f>CI133+CI153</f>
        <v>0</v>
      </c>
      <c r="CJ123" s="450"/>
      <c r="CK123" s="451"/>
      <c r="CL123" s="452"/>
      <c r="CM123" s="453"/>
      <c r="CN123" s="449">
        <f>CN133+CN153</f>
        <v>0</v>
      </c>
      <c r="CO123" s="450"/>
      <c r="CP123" s="451"/>
      <c r="CQ123" s="452"/>
      <c r="CR123" s="453"/>
      <c r="CS123" s="449">
        <f>CS133+CS153</f>
        <v>0</v>
      </c>
      <c r="CT123" s="450"/>
      <c r="CU123" s="451"/>
      <c r="CV123" s="452"/>
      <c r="CW123" s="453"/>
      <c r="CX123" s="449">
        <f>CX133+CX153</f>
        <v>0</v>
      </c>
      <c r="CY123" s="450"/>
      <c r="CZ123" s="451"/>
      <c r="DA123" s="452"/>
      <c r="DB123" s="453"/>
      <c r="DC123" s="449">
        <f>DC133+DC153</f>
        <v>0</v>
      </c>
      <c r="DD123" s="450"/>
      <c r="DE123" s="451"/>
      <c r="DF123" s="452"/>
      <c r="DG123" s="453"/>
      <c r="DH123" s="449">
        <f>DH133+DH153</f>
        <v>0</v>
      </c>
      <c r="DI123" s="450"/>
      <c r="DJ123" s="451"/>
      <c r="DK123" s="452"/>
      <c r="DL123" s="453"/>
      <c r="DM123" s="449">
        <f>DM133+DM153</f>
        <v>0</v>
      </c>
      <c r="DN123" s="450"/>
      <c r="DO123" s="451"/>
      <c r="DP123" s="452"/>
      <c r="DQ123" s="453"/>
      <c r="DR123" s="449">
        <f>DR133+DR153</f>
        <v>0</v>
      </c>
      <c r="DS123" s="450"/>
      <c r="DT123" s="451"/>
      <c r="DU123" s="452"/>
      <c r="DV123" s="453"/>
      <c r="DW123" s="449">
        <f>DW133+DW153</f>
        <v>0</v>
      </c>
      <c r="DX123" s="450"/>
      <c r="DY123" s="451"/>
      <c r="DZ123" s="452"/>
      <c r="EA123" s="453"/>
      <c r="EB123" s="449">
        <f>EB133+EB153</f>
        <v>0</v>
      </c>
      <c r="EC123" s="450"/>
      <c r="ED123" s="451"/>
      <c r="EE123" s="452"/>
      <c r="EF123" s="453"/>
      <c r="EG123" s="449">
        <f>EG133+EG153</f>
        <v>0</v>
      </c>
      <c r="EH123" s="450"/>
      <c r="EI123" s="451"/>
      <c r="EJ123" s="452"/>
      <c r="EK123" s="453"/>
      <c r="EL123" s="449">
        <f>EL133+EL128+EL153+EL138+EL143+EL148</f>
        <v>0</v>
      </c>
      <c r="EM123" s="450"/>
      <c r="EO123" s="13"/>
      <c r="EP123" s="14"/>
      <c r="EQ123" s="14"/>
    </row>
    <row r="124" spans="4:147" hidden="1" x14ac:dyDescent="0.2">
      <c r="D124" s="13" t="s">
        <v>436</v>
      </c>
      <c r="E124" s="198"/>
      <c r="F124" s="198"/>
      <c r="G124" s="451">
        <f>G134+G154</f>
        <v>0</v>
      </c>
      <c r="H124" s="455"/>
      <c r="I124" s="451"/>
      <c r="J124" s="452"/>
      <c r="K124" s="452"/>
      <c r="L124" s="451">
        <f>L134+L154</f>
        <v>0</v>
      </c>
      <c r="M124" s="455"/>
      <c r="N124" s="451"/>
      <c r="O124" s="452"/>
      <c r="P124" s="452"/>
      <c r="Q124" s="451">
        <f>Q134+Q154</f>
        <v>0</v>
      </c>
      <c r="R124" s="455"/>
      <c r="S124" s="451"/>
      <c r="T124" s="452"/>
      <c r="U124" s="452"/>
      <c r="V124" s="451">
        <f>V134+V154</f>
        <v>0</v>
      </c>
      <c r="W124" s="455"/>
      <c r="X124" s="451"/>
      <c r="Y124" s="452"/>
      <c r="Z124" s="452"/>
      <c r="AA124" s="451">
        <f>AA134+AA154</f>
        <v>0</v>
      </c>
      <c r="AB124" s="455"/>
      <c r="AC124" s="451"/>
      <c r="AD124" s="452"/>
      <c r="AE124" s="452"/>
      <c r="AF124" s="451">
        <f>AF134+AF154</f>
        <v>0</v>
      </c>
      <c r="AG124" s="455"/>
      <c r="AH124" s="451"/>
      <c r="AI124" s="452"/>
      <c r="AJ124" s="452"/>
      <c r="AK124" s="451">
        <f>AK134+AK154</f>
        <v>0</v>
      </c>
      <c r="AL124" s="455"/>
      <c r="AM124" s="451"/>
      <c r="AN124" s="452"/>
      <c r="AO124" s="452"/>
      <c r="AP124" s="451">
        <f>AP134+AP154</f>
        <v>0</v>
      </c>
      <c r="AQ124" s="455"/>
      <c r="AR124" s="451"/>
      <c r="AS124" s="452"/>
      <c r="AT124" s="452"/>
      <c r="AU124" s="451">
        <f>AU134+AU154</f>
        <v>0</v>
      </c>
      <c r="AV124" s="455"/>
      <c r="AW124" s="451"/>
      <c r="AX124" s="452"/>
      <c r="AY124" s="452"/>
      <c r="AZ124" s="451">
        <f>AZ134+AZ154</f>
        <v>0</v>
      </c>
      <c r="BA124" s="455"/>
      <c r="BB124" s="451"/>
      <c r="BC124" s="452"/>
      <c r="BD124" s="452"/>
      <c r="BE124" s="451">
        <f>BE134+BE154</f>
        <v>0</v>
      </c>
      <c r="BF124" s="455"/>
      <c r="BG124" s="451"/>
      <c r="BH124" s="452"/>
      <c r="BI124" s="452"/>
      <c r="BJ124" s="451">
        <f>BJ134+BJ154</f>
        <v>0</v>
      </c>
      <c r="BK124" s="455"/>
      <c r="BL124" s="451"/>
      <c r="BM124" s="452"/>
      <c r="BN124" s="452"/>
      <c r="BO124" s="451">
        <f>BO134+BO154</f>
        <v>0</v>
      </c>
      <c r="BP124" s="455"/>
      <c r="BQ124" s="451"/>
      <c r="BR124" s="452"/>
      <c r="BS124" s="452"/>
      <c r="BT124" s="451">
        <f>BT134+BT129+BT139+BT144+BT154+BT149</f>
        <v>0</v>
      </c>
      <c r="BU124" s="455"/>
      <c r="BV124" s="451"/>
      <c r="BW124" s="452"/>
      <c r="BX124" s="452"/>
      <c r="BY124" s="451">
        <f>BY134+BY154</f>
        <v>0</v>
      </c>
      <c r="BZ124" s="455"/>
      <c r="CA124" s="451"/>
      <c r="CB124" s="452"/>
      <c r="CC124" s="452"/>
      <c r="CD124" s="451">
        <f>CD134+CD154</f>
        <v>0</v>
      </c>
      <c r="CE124" s="455"/>
      <c r="CF124" s="451"/>
      <c r="CG124" s="452"/>
      <c r="CH124" s="452"/>
      <c r="CI124" s="451">
        <f>CI134+CI154</f>
        <v>0</v>
      </c>
      <c r="CJ124" s="455"/>
      <c r="CK124" s="451"/>
      <c r="CL124" s="452"/>
      <c r="CM124" s="452"/>
      <c r="CN124" s="451">
        <f>CN134+CN154</f>
        <v>0</v>
      </c>
      <c r="CO124" s="455"/>
      <c r="CP124" s="451"/>
      <c r="CQ124" s="452"/>
      <c r="CR124" s="452"/>
      <c r="CS124" s="451">
        <f>CS134+CS154</f>
        <v>0</v>
      </c>
      <c r="CT124" s="455"/>
      <c r="CU124" s="451"/>
      <c r="CV124" s="452"/>
      <c r="CW124" s="452"/>
      <c r="CX124" s="451">
        <f>CX134+CX154</f>
        <v>0</v>
      </c>
      <c r="CY124" s="455"/>
      <c r="CZ124" s="451"/>
      <c r="DA124" s="452"/>
      <c r="DB124" s="452"/>
      <c r="DC124" s="451">
        <f>DC134+DC154</f>
        <v>0</v>
      </c>
      <c r="DD124" s="455"/>
      <c r="DE124" s="451"/>
      <c r="DF124" s="452"/>
      <c r="DG124" s="452"/>
      <c r="DH124" s="451">
        <f>DH134+DH154</f>
        <v>0</v>
      </c>
      <c r="DI124" s="455"/>
      <c r="DJ124" s="451"/>
      <c r="DK124" s="452"/>
      <c r="DL124" s="452"/>
      <c r="DM124" s="451">
        <f>DM134+DM154</f>
        <v>0</v>
      </c>
      <c r="DN124" s="455"/>
      <c r="DO124" s="451"/>
      <c r="DP124" s="452"/>
      <c r="DQ124" s="452"/>
      <c r="DR124" s="451">
        <f>DR134+DR154</f>
        <v>0</v>
      </c>
      <c r="DS124" s="455"/>
      <c r="DT124" s="451"/>
      <c r="DU124" s="452"/>
      <c r="DV124" s="452"/>
      <c r="DW124" s="451">
        <f>DW134+DW154</f>
        <v>0</v>
      </c>
      <c r="DX124" s="455"/>
      <c r="DY124" s="451"/>
      <c r="DZ124" s="452"/>
      <c r="EA124" s="452"/>
      <c r="EB124" s="451">
        <f>EB134+EB154</f>
        <v>0</v>
      </c>
      <c r="EC124" s="455"/>
      <c r="ED124" s="451"/>
      <c r="EE124" s="452"/>
      <c r="EF124" s="452"/>
      <c r="EG124" s="451">
        <f>EG134+EG154</f>
        <v>0</v>
      </c>
      <c r="EH124" s="455"/>
      <c r="EI124" s="451"/>
      <c r="EJ124" s="452"/>
      <c r="EK124" s="452"/>
      <c r="EL124" s="451">
        <f>EL134+EL129+EL139+EL144+EL154+EL149</f>
        <v>0</v>
      </c>
      <c r="EM124" s="455"/>
      <c r="EO124" s="13"/>
      <c r="EP124" s="14"/>
      <c r="EQ124" s="14"/>
    </row>
    <row r="125" spans="4:147" hidden="1" x14ac:dyDescent="0.2">
      <c r="D125" s="13" t="s">
        <v>437</v>
      </c>
      <c r="E125" s="198"/>
      <c r="F125" s="385"/>
      <c r="G125" s="463">
        <f>G135+G155</f>
        <v>0</v>
      </c>
      <c r="H125" s="464"/>
      <c r="I125" s="451"/>
      <c r="J125" s="452"/>
      <c r="K125" s="465"/>
      <c r="L125" s="463">
        <f>L135+L155</f>
        <v>0</v>
      </c>
      <c r="M125" s="464"/>
      <c r="N125" s="451"/>
      <c r="O125" s="452"/>
      <c r="P125" s="465"/>
      <c r="Q125" s="463">
        <f>Q135+Q155</f>
        <v>0</v>
      </c>
      <c r="R125" s="464"/>
      <c r="S125" s="451"/>
      <c r="T125" s="452"/>
      <c r="U125" s="465"/>
      <c r="V125" s="463">
        <f>V135+V155</f>
        <v>0</v>
      </c>
      <c r="W125" s="464"/>
      <c r="X125" s="451"/>
      <c r="Y125" s="452"/>
      <c r="Z125" s="465"/>
      <c r="AA125" s="463">
        <f>AA135+AA155</f>
        <v>0</v>
      </c>
      <c r="AB125" s="464"/>
      <c r="AC125" s="451"/>
      <c r="AD125" s="452"/>
      <c r="AE125" s="465"/>
      <c r="AF125" s="463">
        <f>AF135+AF155</f>
        <v>0</v>
      </c>
      <c r="AG125" s="464"/>
      <c r="AH125" s="451"/>
      <c r="AI125" s="452"/>
      <c r="AJ125" s="465"/>
      <c r="AK125" s="463">
        <f>AK135+AK155</f>
        <v>0</v>
      </c>
      <c r="AL125" s="464"/>
      <c r="AM125" s="451"/>
      <c r="AN125" s="452"/>
      <c r="AO125" s="465"/>
      <c r="AP125" s="463">
        <f>AP135+AP155</f>
        <v>0</v>
      </c>
      <c r="AQ125" s="464"/>
      <c r="AR125" s="451"/>
      <c r="AS125" s="452"/>
      <c r="AT125" s="465"/>
      <c r="AU125" s="463">
        <f>AU135+AU155</f>
        <v>0</v>
      </c>
      <c r="AV125" s="464"/>
      <c r="AW125" s="451"/>
      <c r="AX125" s="452"/>
      <c r="AY125" s="465"/>
      <c r="AZ125" s="463">
        <f>AZ135+AZ155</f>
        <v>0</v>
      </c>
      <c r="BA125" s="464"/>
      <c r="BB125" s="451"/>
      <c r="BC125" s="452"/>
      <c r="BD125" s="465"/>
      <c r="BE125" s="463">
        <f>BE135+BE155</f>
        <v>0</v>
      </c>
      <c r="BF125" s="464"/>
      <c r="BG125" s="451"/>
      <c r="BH125" s="452"/>
      <c r="BI125" s="465"/>
      <c r="BJ125" s="463">
        <f>BJ135+BJ155</f>
        <v>0</v>
      </c>
      <c r="BK125" s="464"/>
      <c r="BL125" s="451"/>
      <c r="BM125" s="452"/>
      <c r="BN125" s="465"/>
      <c r="BO125" s="463">
        <f>BO135+BO155</f>
        <v>0</v>
      </c>
      <c r="BP125" s="464"/>
      <c r="BQ125" s="451"/>
      <c r="BR125" s="452"/>
      <c r="BS125" s="465"/>
      <c r="BT125" s="463">
        <f>BT135+BT130+BT155+BT140+BT145+BT150</f>
        <v>0</v>
      </c>
      <c r="BU125" s="464"/>
      <c r="BV125" s="451"/>
      <c r="BW125" s="452"/>
      <c r="BX125" s="465"/>
      <c r="BY125" s="463">
        <f>BY135+BY155</f>
        <v>0</v>
      </c>
      <c r="BZ125" s="464"/>
      <c r="CA125" s="451"/>
      <c r="CB125" s="452"/>
      <c r="CC125" s="465"/>
      <c r="CD125" s="463">
        <f>CD135+CD155</f>
        <v>0</v>
      </c>
      <c r="CE125" s="464"/>
      <c r="CF125" s="451"/>
      <c r="CG125" s="452"/>
      <c r="CH125" s="465"/>
      <c r="CI125" s="463">
        <f>CI135+CI155</f>
        <v>0</v>
      </c>
      <c r="CJ125" s="464"/>
      <c r="CK125" s="451"/>
      <c r="CL125" s="452"/>
      <c r="CM125" s="465"/>
      <c r="CN125" s="463">
        <f>CN135+CN155</f>
        <v>0</v>
      </c>
      <c r="CO125" s="464"/>
      <c r="CP125" s="451"/>
      <c r="CQ125" s="452"/>
      <c r="CR125" s="465"/>
      <c r="CS125" s="463">
        <f>CS135+CS155</f>
        <v>0</v>
      </c>
      <c r="CT125" s="464"/>
      <c r="CU125" s="451"/>
      <c r="CV125" s="452"/>
      <c r="CW125" s="465"/>
      <c r="CX125" s="463">
        <f>CX135+CX155</f>
        <v>0</v>
      </c>
      <c r="CY125" s="464"/>
      <c r="CZ125" s="451"/>
      <c r="DA125" s="452"/>
      <c r="DB125" s="465"/>
      <c r="DC125" s="463">
        <f>DC135+DC155</f>
        <v>0</v>
      </c>
      <c r="DD125" s="464"/>
      <c r="DE125" s="451"/>
      <c r="DF125" s="452"/>
      <c r="DG125" s="465"/>
      <c r="DH125" s="463">
        <f>DH135+DH155</f>
        <v>0</v>
      </c>
      <c r="DI125" s="464"/>
      <c r="DJ125" s="451"/>
      <c r="DK125" s="452"/>
      <c r="DL125" s="465"/>
      <c r="DM125" s="463">
        <f>DM135+DM155</f>
        <v>0</v>
      </c>
      <c r="DN125" s="464"/>
      <c r="DO125" s="451"/>
      <c r="DP125" s="452"/>
      <c r="DQ125" s="465"/>
      <c r="DR125" s="463">
        <f>DR135+DR155</f>
        <v>0</v>
      </c>
      <c r="DS125" s="464"/>
      <c r="DT125" s="451"/>
      <c r="DU125" s="452"/>
      <c r="DV125" s="465"/>
      <c r="DW125" s="463">
        <f>DW135+DW155</f>
        <v>0</v>
      </c>
      <c r="DX125" s="464"/>
      <c r="DY125" s="451"/>
      <c r="DZ125" s="452"/>
      <c r="EA125" s="465"/>
      <c r="EB125" s="463">
        <f>EB135+EB155</f>
        <v>0</v>
      </c>
      <c r="EC125" s="464"/>
      <c r="ED125" s="451"/>
      <c r="EE125" s="452"/>
      <c r="EF125" s="465"/>
      <c r="EG125" s="463">
        <f>EG135+EG155</f>
        <v>0</v>
      </c>
      <c r="EH125" s="464"/>
      <c r="EI125" s="451"/>
      <c r="EJ125" s="452"/>
      <c r="EK125" s="465"/>
      <c r="EL125" s="463">
        <f>EL135+EL130+EL155+EL140+EL145+EL150</f>
        <v>0</v>
      </c>
      <c r="EM125" s="464"/>
      <c r="EO125" s="13"/>
      <c r="EP125" s="14"/>
      <c r="EQ125" s="14"/>
    </row>
    <row r="126" spans="4:147" hidden="1" x14ac:dyDescent="0.2">
      <c r="D126" s="13"/>
      <c r="E126" s="198"/>
      <c r="G126" s="451"/>
      <c r="H126" s="451"/>
      <c r="I126" s="451"/>
      <c r="J126" s="452"/>
      <c r="K126" s="451"/>
      <c r="L126" s="451"/>
      <c r="M126" s="451"/>
      <c r="N126" s="451"/>
      <c r="O126" s="452"/>
      <c r="P126" s="451"/>
      <c r="Q126" s="451"/>
      <c r="R126" s="451"/>
      <c r="S126" s="451"/>
      <c r="T126" s="452"/>
      <c r="U126" s="451"/>
      <c r="V126" s="451"/>
      <c r="W126" s="451"/>
      <c r="X126" s="451"/>
      <c r="Y126" s="452"/>
      <c r="Z126" s="451"/>
      <c r="AA126" s="451"/>
      <c r="AB126" s="451"/>
      <c r="AC126" s="451"/>
      <c r="AD126" s="452"/>
      <c r="AE126" s="451"/>
      <c r="AF126" s="451"/>
      <c r="AG126" s="451"/>
      <c r="AH126" s="451"/>
      <c r="AI126" s="452"/>
      <c r="AJ126" s="451"/>
      <c r="AK126" s="451"/>
      <c r="AL126" s="451"/>
      <c r="AM126" s="451"/>
      <c r="AN126" s="452"/>
      <c r="AO126" s="451"/>
      <c r="AP126" s="451"/>
      <c r="AQ126" s="451"/>
      <c r="AR126" s="451"/>
      <c r="AS126" s="452"/>
      <c r="AT126" s="451"/>
      <c r="AU126" s="451"/>
      <c r="AV126" s="451"/>
      <c r="AW126" s="451"/>
      <c r="AX126" s="452"/>
      <c r="AY126" s="451"/>
      <c r="AZ126" s="451"/>
      <c r="BA126" s="451"/>
      <c r="BB126" s="451"/>
      <c r="BC126" s="452"/>
      <c r="BD126" s="451"/>
      <c r="BE126" s="451"/>
      <c r="BF126" s="451"/>
      <c r="BG126" s="451"/>
      <c r="BH126" s="452"/>
      <c r="BI126" s="451"/>
      <c r="BJ126" s="451"/>
      <c r="BK126" s="451"/>
      <c r="BL126" s="451"/>
      <c r="BM126" s="452"/>
      <c r="BN126" s="451"/>
      <c r="BO126" s="451"/>
      <c r="BP126" s="451"/>
      <c r="BQ126" s="451"/>
      <c r="BR126" s="452"/>
      <c r="BS126" s="451"/>
      <c r="BT126" s="451"/>
      <c r="BU126" s="451"/>
      <c r="BV126" s="451"/>
      <c r="BW126" s="452"/>
      <c r="BX126" s="451"/>
      <c r="BY126" s="451"/>
      <c r="BZ126" s="451"/>
      <c r="CA126" s="451"/>
      <c r="CB126" s="452"/>
      <c r="CC126" s="451"/>
      <c r="CD126" s="451"/>
      <c r="CE126" s="451"/>
      <c r="CF126" s="451"/>
      <c r="CG126" s="452"/>
      <c r="CH126" s="451"/>
      <c r="CI126" s="451"/>
      <c r="CJ126" s="451"/>
      <c r="CK126" s="451"/>
      <c r="CL126" s="452"/>
      <c r="CM126" s="451"/>
      <c r="CN126" s="451"/>
      <c r="CO126" s="451"/>
      <c r="CP126" s="451"/>
      <c r="CQ126" s="452"/>
      <c r="CR126" s="451"/>
      <c r="CS126" s="451"/>
      <c r="CT126" s="451"/>
      <c r="CU126" s="451"/>
      <c r="CV126" s="452"/>
      <c r="CW126" s="451"/>
      <c r="CX126" s="451"/>
      <c r="CY126" s="451"/>
      <c r="CZ126" s="451"/>
      <c r="DA126" s="452"/>
      <c r="DB126" s="451"/>
      <c r="DC126" s="451"/>
      <c r="DD126" s="451"/>
      <c r="DE126" s="451"/>
      <c r="DF126" s="452"/>
      <c r="DG126" s="451"/>
      <c r="DH126" s="451"/>
      <c r="DI126" s="451"/>
      <c r="DJ126" s="451"/>
      <c r="DK126" s="452"/>
      <c r="DL126" s="451"/>
      <c r="DM126" s="451"/>
      <c r="DN126" s="451"/>
      <c r="DO126" s="451"/>
      <c r="DP126" s="452"/>
      <c r="DQ126" s="451"/>
      <c r="DR126" s="451"/>
      <c r="DS126" s="451"/>
      <c r="DT126" s="451"/>
      <c r="DU126" s="452"/>
      <c r="DV126" s="451"/>
      <c r="DW126" s="451"/>
      <c r="DX126" s="451"/>
      <c r="DY126" s="451"/>
      <c r="DZ126" s="452"/>
      <c r="EA126" s="451"/>
      <c r="EB126" s="451"/>
      <c r="EC126" s="451"/>
      <c r="ED126" s="451"/>
      <c r="EE126" s="452"/>
      <c r="EF126" s="451"/>
      <c r="EG126" s="451"/>
      <c r="EH126" s="451"/>
      <c r="EI126" s="451"/>
      <c r="EJ126" s="452"/>
      <c r="EK126" s="451"/>
      <c r="EL126" s="451"/>
      <c r="EO126" s="13"/>
      <c r="EP126" s="14"/>
      <c r="EQ126" s="14"/>
    </row>
    <row r="127" spans="4:147" hidden="1" x14ac:dyDescent="0.2">
      <c r="D127" s="13" t="s">
        <v>438</v>
      </c>
      <c r="E127" s="198"/>
      <c r="G127" s="451">
        <f>SUM(G128:G130)</f>
        <v>0</v>
      </c>
      <c r="H127" s="451"/>
      <c r="I127" s="451"/>
      <c r="J127" s="452"/>
      <c r="K127" s="451"/>
      <c r="L127" s="451">
        <f>SUM(L128:L130)</f>
        <v>0</v>
      </c>
      <c r="M127" s="451"/>
      <c r="N127" s="451"/>
      <c r="O127" s="452"/>
      <c r="P127" s="451"/>
      <c r="Q127" s="451">
        <f>SUM(Q128:Q130)</f>
        <v>0</v>
      </c>
      <c r="R127" s="451"/>
      <c r="S127" s="451"/>
      <c r="T127" s="452"/>
      <c r="U127" s="451"/>
      <c r="V127" s="451">
        <f>SUM(V128:V130)</f>
        <v>0</v>
      </c>
      <c r="W127" s="451"/>
      <c r="X127" s="451"/>
      <c r="Y127" s="452"/>
      <c r="Z127" s="451"/>
      <c r="AA127" s="451">
        <f>SUM(AA128:AA130)</f>
        <v>0</v>
      </c>
      <c r="AB127" s="451"/>
      <c r="AC127" s="451"/>
      <c r="AD127" s="452"/>
      <c r="AE127" s="451"/>
      <c r="AF127" s="451">
        <f>SUM(AF128:AF130)</f>
        <v>0</v>
      </c>
      <c r="AG127" s="451"/>
      <c r="AH127" s="451"/>
      <c r="AI127" s="452"/>
      <c r="AJ127" s="451"/>
      <c r="AK127" s="451">
        <f>SUM(AK128:AK130)</f>
        <v>0</v>
      </c>
      <c r="AL127" s="451"/>
      <c r="AM127" s="451"/>
      <c r="AN127" s="452"/>
      <c r="AO127" s="451"/>
      <c r="AP127" s="451">
        <f>SUM(AP128:AP130)</f>
        <v>0</v>
      </c>
      <c r="AQ127" s="451"/>
      <c r="AR127" s="451"/>
      <c r="AS127" s="452"/>
      <c r="AT127" s="451"/>
      <c r="AU127" s="451">
        <f>SUM(AU128:AU130)</f>
        <v>0</v>
      </c>
      <c r="AV127" s="451"/>
      <c r="AW127" s="451"/>
      <c r="AX127" s="452"/>
      <c r="AY127" s="451"/>
      <c r="AZ127" s="451">
        <f>SUM(AZ128:AZ130)</f>
        <v>0</v>
      </c>
      <c r="BA127" s="451"/>
      <c r="BB127" s="451"/>
      <c r="BC127" s="452"/>
      <c r="BD127" s="451"/>
      <c r="BE127" s="451">
        <f>SUM(BE128:BE130)</f>
        <v>0</v>
      </c>
      <c r="BF127" s="451"/>
      <c r="BG127" s="451"/>
      <c r="BH127" s="452"/>
      <c r="BI127" s="451"/>
      <c r="BJ127" s="451">
        <f>SUM(BJ128:BJ130)</f>
        <v>0</v>
      </c>
      <c r="BK127" s="451"/>
      <c r="BL127" s="451"/>
      <c r="BM127" s="452"/>
      <c r="BN127" s="451"/>
      <c r="BO127" s="451">
        <f>SUM(BO128:BO130)</f>
        <v>0</v>
      </c>
      <c r="BP127" s="451"/>
      <c r="BQ127" s="451"/>
      <c r="BR127" s="452"/>
      <c r="BS127" s="451"/>
      <c r="BT127" s="451">
        <f>SUM(BT128:BT130)</f>
        <v>0</v>
      </c>
      <c r="BU127" s="451"/>
      <c r="BV127" s="451"/>
      <c r="BW127" s="452"/>
      <c r="BX127" s="451"/>
      <c r="BY127" s="451">
        <f>SUM(BY128:BY130)</f>
        <v>0</v>
      </c>
      <c r="BZ127" s="451"/>
      <c r="CA127" s="451"/>
      <c r="CB127" s="452"/>
      <c r="CC127" s="451"/>
      <c r="CD127" s="451">
        <f>SUM(CD128:CD130)</f>
        <v>0</v>
      </c>
      <c r="CE127" s="451"/>
      <c r="CF127" s="451"/>
      <c r="CG127" s="452"/>
      <c r="CH127" s="451"/>
      <c r="CI127" s="451">
        <f>SUM(CI128:CI130)</f>
        <v>0</v>
      </c>
      <c r="CJ127" s="451"/>
      <c r="CK127" s="451"/>
      <c r="CL127" s="452"/>
      <c r="CM127" s="451"/>
      <c r="CN127" s="451">
        <f>SUM(CN128:CN130)</f>
        <v>0</v>
      </c>
      <c r="CO127" s="451"/>
      <c r="CP127" s="451"/>
      <c r="CQ127" s="452"/>
      <c r="CR127" s="451"/>
      <c r="CS127" s="451">
        <f>SUM(CS128:CS130)</f>
        <v>0</v>
      </c>
      <c r="CT127" s="451"/>
      <c r="CU127" s="451"/>
      <c r="CV127" s="452"/>
      <c r="CW127" s="451"/>
      <c r="CX127" s="451">
        <f>SUM(CX128:CX130)</f>
        <v>0</v>
      </c>
      <c r="CY127" s="451"/>
      <c r="CZ127" s="451"/>
      <c r="DA127" s="452"/>
      <c r="DB127" s="451"/>
      <c r="DC127" s="451">
        <f>SUM(DC128:DC130)</f>
        <v>0</v>
      </c>
      <c r="DD127" s="451"/>
      <c r="DE127" s="451"/>
      <c r="DF127" s="452"/>
      <c r="DG127" s="451"/>
      <c r="DH127" s="451">
        <f>SUM(DH128:DH130)</f>
        <v>0</v>
      </c>
      <c r="DI127" s="451"/>
      <c r="DJ127" s="451"/>
      <c r="DK127" s="452"/>
      <c r="DL127" s="451"/>
      <c r="DM127" s="451">
        <f>SUM(DM128:DM130)</f>
        <v>0</v>
      </c>
      <c r="DN127" s="451"/>
      <c r="DO127" s="451"/>
      <c r="DP127" s="452"/>
      <c r="DQ127" s="451"/>
      <c r="DR127" s="451">
        <f>SUM(DR128:DR130)</f>
        <v>0</v>
      </c>
      <c r="DS127" s="451"/>
      <c r="DT127" s="451"/>
      <c r="DU127" s="452"/>
      <c r="DV127" s="451"/>
      <c r="DW127" s="451">
        <f>SUM(DW128:DW130)</f>
        <v>0</v>
      </c>
      <c r="DX127" s="451"/>
      <c r="DY127" s="451"/>
      <c r="DZ127" s="452"/>
      <c r="EA127" s="451"/>
      <c r="EB127" s="451">
        <f>SUM(EB128:EB130)</f>
        <v>0</v>
      </c>
      <c r="EC127" s="451"/>
      <c r="ED127" s="451"/>
      <c r="EE127" s="452"/>
      <c r="EF127" s="451"/>
      <c r="EG127" s="451">
        <f>SUM(EG128:EG130)</f>
        <v>0</v>
      </c>
      <c r="EH127" s="451"/>
      <c r="EI127" s="451"/>
      <c r="EJ127" s="452"/>
      <c r="EK127" s="451"/>
      <c r="EL127" s="451">
        <f>SUM(EL128:EL130)</f>
        <v>0</v>
      </c>
      <c r="EO127" s="13"/>
      <c r="EP127" s="14"/>
      <c r="EQ127" s="14"/>
    </row>
    <row r="128" spans="4:147" hidden="1" x14ac:dyDescent="0.2">
      <c r="D128" s="13" t="s">
        <v>347</v>
      </c>
      <c r="E128" s="198"/>
      <c r="F128" s="374"/>
      <c r="G128" s="449">
        <v>0</v>
      </c>
      <c r="H128" s="450"/>
      <c r="I128" s="451"/>
      <c r="J128" s="452"/>
      <c r="K128" s="453"/>
      <c r="L128" s="449">
        <v>0</v>
      </c>
      <c r="M128" s="450"/>
      <c r="N128" s="451"/>
      <c r="O128" s="452"/>
      <c r="P128" s="453"/>
      <c r="Q128" s="449">
        <v>0</v>
      </c>
      <c r="R128" s="450"/>
      <c r="S128" s="451"/>
      <c r="T128" s="452"/>
      <c r="U128" s="453"/>
      <c r="V128" s="449">
        <v>0</v>
      </c>
      <c r="W128" s="450"/>
      <c r="X128" s="451"/>
      <c r="Y128" s="452"/>
      <c r="Z128" s="453"/>
      <c r="AA128" s="449">
        <v>0</v>
      </c>
      <c r="AB128" s="450"/>
      <c r="AC128" s="451"/>
      <c r="AD128" s="452"/>
      <c r="AE128" s="453"/>
      <c r="AF128" s="449">
        <v>0</v>
      </c>
      <c r="AG128" s="450"/>
      <c r="AH128" s="451"/>
      <c r="AI128" s="452"/>
      <c r="AJ128" s="453"/>
      <c r="AK128" s="449">
        <v>0</v>
      </c>
      <c r="AL128" s="450"/>
      <c r="AM128" s="451"/>
      <c r="AN128" s="452"/>
      <c r="AO128" s="453"/>
      <c r="AP128" s="449">
        <v>0</v>
      </c>
      <c r="AQ128" s="450"/>
      <c r="AR128" s="451"/>
      <c r="AS128" s="452"/>
      <c r="AT128" s="453"/>
      <c r="AU128" s="449">
        <v>0</v>
      </c>
      <c r="AV128" s="450"/>
      <c r="AW128" s="451"/>
      <c r="AX128" s="452"/>
      <c r="AY128" s="453"/>
      <c r="AZ128" s="449">
        <v>0</v>
      </c>
      <c r="BA128" s="450"/>
      <c r="BB128" s="451"/>
      <c r="BC128" s="452"/>
      <c r="BD128" s="453"/>
      <c r="BE128" s="449">
        <v>0</v>
      </c>
      <c r="BF128" s="450"/>
      <c r="BG128" s="451"/>
      <c r="BH128" s="452"/>
      <c r="BI128" s="453"/>
      <c r="BJ128" s="449">
        <v>0</v>
      </c>
      <c r="BK128" s="450"/>
      <c r="BL128" s="451"/>
      <c r="BM128" s="452"/>
      <c r="BN128" s="453"/>
      <c r="BO128" s="449">
        <v>0</v>
      </c>
      <c r="BP128" s="450"/>
      <c r="BQ128" s="451"/>
      <c r="BR128" s="452"/>
      <c r="BS128" s="453"/>
      <c r="BT128" s="449">
        <f>SUM(L128:BO128)</f>
        <v>0</v>
      </c>
      <c r="BU128" s="450"/>
      <c r="BV128" s="451"/>
      <c r="BW128" s="452"/>
      <c r="BX128" s="453"/>
      <c r="BY128" s="449">
        <v>0</v>
      </c>
      <c r="BZ128" s="450"/>
      <c r="CA128" s="451"/>
      <c r="CB128" s="452"/>
      <c r="CC128" s="453"/>
      <c r="CD128" s="449">
        <v>0</v>
      </c>
      <c r="CE128" s="450"/>
      <c r="CF128" s="451"/>
      <c r="CG128" s="452"/>
      <c r="CH128" s="453"/>
      <c r="CI128" s="449">
        <v>0</v>
      </c>
      <c r="CJ128" s="450"/>
      <c r="CK128" s="451"/>
      <c r="CL128" s="452"/>
      <c r="CM128" s="453"/>
      <c r="CN128" s="449">
        <v>0</v>
      </c>
      <c r="CO128" s="450"/>
      <c r="CP128" s="451"/>
      <c r="CQ128" s="452"/>
      <c r="CR128" s="453"/>
      <c r="CS128" s="449">
        <v>0</v>
      </c>
      <c r="CT128" s="450"/>
      <c r="CU128" s="451"/>
      <c r="CV128" s="452"/>
      <c r="CW128" s="453"/>
      <c r="CX128" s="449">
        <v>0</v>
      </c>
      <c r="CY128" s="450"/>
      <c r="CZ128" s="451"/>
      <c r="DA128" s="452"/>
      <c r="DB128" s="453"/>
      <c r="DC128" s="449">
        <v>0</v>
      </c>
      <c r="DD128" s="450"/>
      <c r="DE128" s="451"/>
      <c r="DF128" s="452"/>
      <c r="DG128" s="453"/>
      <c r="DH128" s="449">
        <v>0</v>
      </c>
      <c r="DI128" s="450"/>
      <c r="DJ128" s="451"/>
      <c r="DK128" s="452"/>
      <c r="DL128" s="453"/>
      <c r="DM128" s="449">
        <v>0</v>
      </c>
      <c r="DN128" s="450"/>
      <c r="DO128" s="451"/>
      <c r="DP128" s="452"/>
      <c r="DQ128" s="453"/>
      <c r="DR128" s="449">
        <v>0</v>
      </c>
      <c r="DS128" s="450"/>
      <c r="DT128" s="451"/>
      <c r="DU128" s="452"/>
      <c r="DV128" s="453"/>
      <c r="DW128" s="449">
        <v>0</v>
      </c>
      <c r="DX128" s="450"/>
      <c r="DY128" s="451"/>
      <c r="DZ128" s="452"/>
      <c r="EA128" s="453"/>
      <c r="EB128" s="449">
        <v>0</v>
      </c>
      <c r="EC128" s="450"/>
      <c r="ED128" s="451"/>
      <c r="EE128" s="452"/>
      <c r="EF128" s="453"/>
      <c r="EG128" s="449">
        <v>0</v>
      </c>
      <c r="EH128" s="450"/>
      <c r="EI128" s="451"/>
      <c r="EJ128" s="452"/>
      <c r="EK128" s="453"/>
      <c r="EL128" s="449">
        <f>SUM(CD128:EG128)</f>
        <v>0</v>
      </c>
      <c r="EM128" s="375"/>
      <c r="EO128" s="13"/>
      <c r="EP128" s="14"/>
      <c r="EQ128" s="14"/>
    </row>
    <row r="129" spans="4:147" hidden="1" x14ac:dyDescent="0.2">
      <c r="D129" s="13" t="s">
        <v>436</v>
      </c>
      <c r="E129" s="198"/>
      <c r="F129" s="198"/>
      <c r="G129" s="451">
        <v>0</v>
      </c>
      <c r="H129" s="455"/>
      <c r="I129" s="451"/>
      <c r="J129" s="452"/>
      <c r="K129" s="452"/>
      <c r="L129" s="451">
        <v>0</v>
      </c>
      <c r="M129" s="455"/>
      <c r="N129" s="451"/>
      <c r="O129" s="452"/>
      <c r="P129" s="452"/>
      <c r="Q129" s="451">
        <v>0</v>
      </c>
      <c r="R129" s="455"/>
      <c r="S129" s="451"/>
      <c r="T129" s="452"/>
      <c r="U129" s="452"/>
      <c r="V129" s="451">
        <v>0</v>
      </c>
      <c r="W129" s="455"/>
      <c r="X129" s="451"/>
      <c r="Y129" s="452"/>
      <c r="Z129" s="452"/>
      <c r="AA129" s="451">
        <v>0</v>
      </c>
      <c r="AB129" s="455"/>
      <c r="AC129" s="451"/>
      <c r="AD129" s="452"/>
      <c r="AE129" s="452"/>
      <c r="AF129" s="451">
        <v>0</v>
      </c>
      <c r="AG129" s="455"/>
      <c r="AH129" s="451"/>
      <c r="AI129" s="452"/>
      <c r="AJ129" s="452"/>
      <c r="AK129" s="451">
        <v>0</v>
      </c>
      <c r="AL129" s="455"/>
      <c r="AM129" s="451"/>
      <c r="AN129" s="452"/>
      <c r="AO129" s="452"/>
      <c r="AP129" s="451">
        <v>0</v>
      </c>
      <c r="AQ129" s="455"/>
      <c r="AR129" s="451"/>
      <c r="AS129" s="452"/>
      <c r="AT129" s="452"/>
      <c r="AU129" s="451">
        <v>0</v>
      </c>
      <c r="AV129" s="455"/>
      <c r="AW129" s="451"/>
      <c r="AX129" s="452"/>
      <c r="AY129" s="452"/>
      <c r="AZ129" s="451">
        <v>0</v>
      </c>
      <c r="BA129" s="455"/>
      <c r="BB129" s="451"/>
      <c r="BC129" s="452"/>
      <c r="BD129" s="452"/>
      <c r="BE129" s="451">
        <v>0</v>
      </c>
      <c r="BF129" s="455"/>
      <c r="BG129" s="451"/>
      <c r="BH129" s="452"/>
      <c r="BI129" s="452"/>
      <c r="BJ129" s="451">
        <v>0</v>
      </c>
      <c r="BK129" s="455"/>
      <c r="BL129" s="451"/>
      <c r="BM129" s="452"/>
      <c r="BN129" s="452"/>
      <c r="BO129" s="451">
        <v>0</v>
      </c>
      <c r="BP129" s="455"/>
      <c r="BQ129" s="451"/>
      <c r="BR129" s="452"/>
      <c r="BS129" s="452"/>
      <c r="BT129" s="451">
        <f>SUM(L129:BO129)</f>
        <v>0</v>
      </c>
      <c r="BU129" s="455"/>
      <c r="BV129" s="451"/>
      <c r="BW129" s="452"/>
      <c r="BX129" s="452"/>
      <c r="BY129" s="451">
        <v>0</v>
      </c>
      <c r="BZ129" s="455"/>
      <c r="CA129" s="451"/>
      <c r="CB129" s="452"/>
      <c r="CC129" s="452"/>
      <c r="CD129" s="451">
        <v>0</v>
      </c>
      <c r="CE129" s="455"/>
      <c r="CF129" s="451"/>
      <c r="CG129" s="452"/>
      <c r="CH129" s="452"/>
      <c r="CI129" s="451">
        <v>0</v>
      </c>
      <c r="CJ129" s="455"/>
      <c r="CK129" s="451"/>
      <c r="CL129" s="452"/>
      <c r="CM129" s="452"/>
      <c r="CN129" s="451">
        <v>0</v>
      </c>
      <c r="CO129" s="455"/>
      <c r="CP129" s="451"/>
      <c r="CQ129" s="452"/>
      <c r="CR129" s="452"/>
      <c r="CS129" s="451">
        <v>0</v>
      </c>
      <c r="CT129" s="455"/>
      <c r="CU129" s="451"/>
      <c r="CV129" s="452"/>
      <c r="CW129" s="452"/>
      <c r="CX129" s="451">
        <v>0</v>
      </c>
      <c r="CY129" s="455"/>
      <c r="CZ129" s="451"/>
      <c r="DA129" s="452"/>
      <c r="DB129" s="452"/>
      <c r="DC129" s="451">
        <v>0</v>
      </c>
      <c r="DD129" s="455"/>
      <c r="DE129" s="451"/>
      <c r="DF129" s="452"/>
      <c r="DG129" s="452"/>
      <c r="DH129" s="451">
        <v>0</v>
      </c>
      <c r="DI129" s="455"/>
      <c r="DJ129" s="451"/>
      <c r="DK129" s="452"/>
      <c r="DL129" s="452"/>
      <c r="DM129" s="451">
        <v>0</v>
      </c>
      <c r="DN129" s="455"/>
      <c r="DO129" s="451"/>
      <c r="DP129" s="452"/>
      <c r="DQ129" s="452"/>
      <c r="DR129" s="451">
        <v>0</v>
      </c>
      <c r="DS129" s="455"/>
      <c r="DT129" s="451"/>
      <c r="DU129" s="452"/>
      <c r="DV129" s="452"/>
      <c r="DW129" s="451">
        <v>0</v>
      </c>
      <c r="DX129" s="455"/>
      <c r="DY129" s="451"/>
      <c r="DZ129" s="452"/>
      <c r="EA129" s="452"/>
      <c r="EB129" s="451">
        <v>0</v>
      </c>
      <c r="EC129" s="455"/>
      <c r="ED129" s="451"/>
      <c r="EE129" s="452"/>
      <c r="EF129" s="452"/>
      <c r="EG129" s="451">
        <v>0</v>
      </c>
      <c r="EH129" s="455"/>
      <c r="EI129" s="451"/>
      <c r="EJ129" s="452"/>
      <c r="EK129" s="452"/>
      <c r="EL129" s="451">
        <f>SUM(CD129:EG129)</f>
        <v>0</v>
      </c>
      <c r="EM129" s="189"/>
      <c r="EO129" s="13"/>
      <c r="EP129" s="14"/>
      <c r="EQ129" s="14"/>
    </row>
    <row r="130" spans="4:147" hidden="1" x14ac:dyDescent="0.2">
      <c r="D130" s="13" t="s">
        <v>437</v>
      </c>
      <c r="E130" s="198"/>
      <c r="F130" s="385"/>
      <c r="G130" s="463">
        <v>0</v>
      </c>
      <c r="H130" s="464"/>
      <c r="I130" s="451"/>
      <c r="J130" s="452"/>
      <c r="K130" s="465"/>
      <c r="L130" s="463">
        <v>0</v>
      </c>
      <c r="M130" s="464"/>
      <c r="N130" s="451"/>
      <c r="O130" s="452"/>
      <c r="P130" s="465"/>
      <c r="Q130" s="463">
        <v>0</v>
      </c>
      <c r="R130" s="464"/>
      <c r="S130" s="451"/>
      <c r="T130" s="452"/>
      <c r="U130" s="465"/>
      <c r="V130" s="463">
        <v>0</v>
      </c>
      <c r="W130" s="464"/>
      <c r="X130" s="451"/>
      <c r="Y130" s="452"/>
      <c r="Z130" s="465"/>
      <c r="AA130" s="463">
        <v>0</v>
      </c>
      <c r="AB130" s="464"/>
      <c r="AC130" s="451"/>
      <c r="AD130" s="452"/>
      <c r="AE130" s="465"/>
      <c r="AF130" s="463">
        <v>0</v>
      </c>
      <c r="AG130" s="464"/>
      <c r="AH130" s="451"/>
      <c r="AI130" s="452"/>
      <c r="AJ130" s="465"/>
      <c r="AK130" s="463">
        <v>0</v>
      </c>
      <c r="AL130" s="464"/>
      <c r="AM130" s="451"/>
      <c r="AN130" s="452"/>
      <c r="AO130" s="465"/>
      <c r="AP130" s="463">
        <v>0</v>
      </c>
      <c r="AQ130" s="464"/>
      <c r="AR130" s="451"/>
      <c r="AS130" s="452"/>
      <c r="AT130" s="465"/>
      <c r="AU130" s="463">
        <v>0</v>
      </c>
      <c r="AV130" s="464"/>
      <c r="AW130" s="451"/>
      <c r="AX130" s="452"/>
      <c r="AY130" s="465"/>
      <c r="AZ130" s="463">
        <v>0</v>
      </c>
      <c r="BA130" s="464"/>
      <c r="BB130" s="451"/>
      <c r="BC130" s="452"/>
      <c r="BD130" s="465"/>
      <c r="BE130" s="463">
        <v>0</v>
      </c>
      <c r="BF130" s="464"/>
      <c r="BG130" s="451"/>
      <c r="BH130" s="452"/>
      <c r="BI130" s="465"/>
      <c r="BJ130" s="463">
        <v>0</v>
      </c>
      <c r="BK130" s="464"/>
      <c r="BL130" s="451"/>
      <c r="BM130" s="452"/>
      <c r="BN130" s="465"/>
      <c r="BO130" s="463">
        <v>0</v>
      </c>
      <c r="BP130" s="464"/>
      <c r="BQ130" s="451"/>
      <c r="BR130" s="452"/>
      <c r="BS130" s="465"/>
      <c r="BT130" s="463">
        <f>SUM(L130:BO130)</f>
        <v>0</v>
      </c>
      <c r="BU130" s="464"/>
      <c r="BV130" s="451"/>
      <c r="BW130" s="452"/>
      <c r="BX130" s="465"/>
      <c r="BY130" s="463">
        <v>0</v>
      </c>
      <c r="BZ130" s="464"/>
      <c r="CA130" s="451"/>
      <c r="CB130" s="452"/>
      <c r="CC130" s="465"/>
      <c r="CD130" s="463">
        <v>0</v>
      </c>
      <c r="CE130" s="464"/>
      <c r="CF130" s="451"/>
      <c r="CG130" s="452"/>
      <c r="CH130" s="465"/>
      <c r="CI130" s="463">
        <v>0</v>
      </c>
      <c r="CJ130" s="464"/>
      <c r="CK130" s="451"/>
      <c r="CL130" s="452"/>
      <c r="CM130" s="465"/>
      <c r="CN130" s="463">
        <v>0</v>
      </c>
      <c r="CO130" s="464"/>
      <c r="CP130" s="451"/>
      <c r="CQ130" s="452"/>
      <c r="CR130" s="465"/>
      <c r="CS130" s="463">
        <v>0</v>
      </c>
      <c r="CT130" s="464"/>
      <c r="CU130" s="451"/>
      <c r="CV130" s="452"/>
      <c r="CW130" s="465"/>
      <c r="CX130" s="463">
        <v>0</v>
      </c>
      <c r="CY130" s="464"/>
      <c r="CZ130" s="451"/>
      <c r="DA130" s="452"/>
      <c r="DB130" s="465"/>
      <c r="DC130" s="463">
        <v>0</v>
      </c>
      <c r="DD130" s="464"/>
      <c r="DE130" s="451"/>
      <c r="DF130" s="452"/>
      <c r="DG130" s="465"/>
      <c r="DH130" s="463">
        <v>0</v>
      </c>
      <c r="DI130" s="464"/>
      <c r="DJ130" s="451"/>
      <c r="DK130" s="452"/>
      <c r="DL130" s="465"/>
      <c r="DM130" s="463">
        <v>0</v>
      </c>
      <c r="DN130" s="464"/>
      <c r="DO130" s="451"/>
      <c r="DP130" s="452"/>
      <c r="DQ130" s="465"/>
      <c r="DR130" s="463">
        <v>0</v>
      </c>
      <c r="DS130" s="464"/>
      <c r="DT130" s="451"/>
      <c r="DU130" s="452"/>
      <c r="DV130" s="465"/>
      <c r="DW130" s="463">
        <v>0</v>
      </c>
      <c r="DX130" s="464"/>
      <c r="DY130" s="451"/>
      <c r="DZ130" s="452"/>
      <c r="EA130" s="465"/>
      <c r="EB130" s="463">
        <v>0</v>
      </c>
      <c r="EC130" s="464"/>
      <c r="ED130" s="451"/>
      <c r="EE130" s="452"/>
      <c r="EF130" s="465"/>
      <c r="EG130" s="463">
        <v>0</v>
      </c>
      <c r="EH130" s="464"/>
      <c r="EI130" s="451"/>
      <c r="EJ130" s="452"/>
      <c r="EK130" s="465"/>
      <c r="EL130" s="463">
        <f>SUM(CD130:EG130)</f>
        <v>0</v>
      </c>
      <c r="EM130" s="212"/>
      <c r="EO130" s="13"/>
      <c r="EP130" s="14"/>
      <c r="EQ130" s="14"/>
    </row>
    <row r="131" spans="4:147" hidden="1" x14ac:dyDescent="0.2">
      <c r="D131" s="13"/>
      <c r="E131" s="198"/>
      <c r="G131" s="451"/>
      <c r="H131" s="451"/>
      <c r="I131" s="451"/>
      <c r="J131" s="452"/>
      <c r="K131" s="451"/>
      <c r="L131" s="451"/>
      <c r="M131" s="451"/>
      <c r="N131" s="451"/>
      <c r="O131" s="452"/>
      <c r="P131" s="451"/>
      <c r="Q131" s="451"/>
      <c r="R131" s="451"/>
      <c r="S131" s="451"/>
      <c r="T131" s="452"/>
      <c r="U131" s="451"/>
      <c r="V131" s="451"/>
      <c r="W131" s="451"/>
      <c r="X131" s="451"/>
      <c r="Y131" s="452"/>
      <c r="Z131" s="451"/>
      <c r="AA131" s="451"/>
      <c r="AB131" s="451"/>
      <c r="AC131" s="451"/>
      <c r="AD131" s="452"/>
      <c r="AE131" s="451"/>
      <c r="AF131" s="451"/>
      <c r="AG131" s="451"/>
      <c r="AH131" s="451"/>
      <c r="AI131" s="452"/>
      <c r="AJ131" s="451"/>
      <c r="AK131" s="451"/>
      <c r="AL131" s="451"/>
      <c r="AM131" s="451"/>
      <c r="AN131" s="452"/>
      <c r="AO131" s="451"/>
      <c r="AP131" s="451"/>
      <c r="AQ131" s="451"/>
      <c r="AR131" s="451"/>
      <c r="AS131" s="452"/>
      <c r="AT131" s="451"/>
      <c r="AU131" s="451"/>
      <c r="AV131" s="451"/>
      <c r="AW131" s="451"/>
      <c r="AX131" s="452"/>
      <c r="AY131" s="451"/>
      <c r="AZ131" s="451"/>
      <c r="BA131" s="451"/>
      <c r="BB131" s="451"/>
      <c r="BC131" s="452"/>
      <c r="BD131" s="451"/>
      <c r="BE131" s="451"/>
      <c r="BF131" s="451"/>
      <c r="BG131" s="451"/>
      <c r="BH131" s="452"/>
      <c r="BI131" s="451"/>
      <c r="BJ131" s="451"/>
      <c r="BK131" s="451"/>
      <c r="BL131" s="451"/>
      <c r="BM131" s="452"/>
      <c r="BN131" s="451"/>
      <c r="BO131" s="451"/>
      <c r="BP131" s="451"/>
      <c r="BQ131" s="451"/>
      <c r="BR131" s="452"/>
      <c r="BS131" s="451"/>
      <c r="BT131" s="451"/>
      <c r="BU131" s="451"/>
      <c r="BV131" s="451"/>
      <c r="BW131" s="452"/>
      <c r="BX131" s="451"/>
      <c r="BY131" s="451"/>
      <c r="BZ131" s="451"/>
      <c r="CA131" s="451"/>
      <c r="CB131" s="452"/>
      <c r="CC131" s="451"/>
      <c r="CD131" s="451"/>
      <c r="CE131" s="451"/>
      <c r="CF131" s="451"/>
      <c r="CG131" s="452"/>
      <c r="CH131" s="451"/>
      <c r="CI131" s="451"/>
      <c r="CJ131" s="451"/>
      <c r="CK131" s="451"/>
      <c r="CL131" s="452"/>
      <c r="CM131" s="451"/>
      <c r="CN131" s="451"/>
      <c r="CO131" s="451"/>
      <c r="CP131" s="451"/>
      <c r="CQ131" s="452"/>
      <c r="CR131" s="451"/>
      <c r="CS131" s="451"/>
      <c r="CT131" s="451"/>
      <c r="CU131" s="451"/>
      <c r="CV131" s="452"/>
      <c r="CW131" s="451"/>
      <c r="CX131" s="451"/>
      <c r="CY131" s="451"/>
      <c r="CZ131" s="451"/>
      <c r="DA131" s="452"/>
      <c r="DB131" s="451"/>
      <c r="DC131" s="451"/>
      <c r="DD131" s="451"/>
      <c r="DE131" s="451"/>
      <c r="DF131" s="452"/>
      <c r="DG131" s="451"/>
      <c r="DH131" s="451"/>
      <c r="DI131" s="451"/>
      <c r="DJ131" s="451"/>
      <c r="DK131" s="452"/>
      <c r="DL131" s="451"/>
      <c r="DM131" s="451"/>
      <c r="DN131" s="451"/>
      <c r="DO131" s="451"/>
      <c r="DP131" s="452"/>
      <c r="DQ131" s="451"/>
      <c r="DR131" s="451"/>
      <c r="DS131" s="451"/>
      <c r="DT131" s="451"/>
      <c r="DU131" s="452"/>
      <c r="DV131" s="451"/>
      <c r="DW131" s="451"/>
      <c r="DX131" s="451"/>
      <c r="DY131" s="451"/>
      <c r="DZ131" s="452"/>
      <c r="EA131" s="451"/>
      <c r="EB131" s="451"/>
      <c r="EC131" s="451"/>
      <c r="ED131" s="451"/>
      <c r="EE131" s="452"/>
      <c r="EF131" s="451"/>
      <c r="EG131" s="451"/>
      <c r="EH131" s="451"/>
      <c r="EI131" s="451"/>
      <c r="EJ131" s="452"/>
      <c r="EK131" s="451"/>
      <c r="EL131" s="451"/>
      <c r="EO131" s="13"/>
      <c r="EP131" s="14"/>
      <c r="EQ131" s="14"/>
    </row>
    <row r="132" spans="4:147" hidden="1" x14ac:dyDescent="0.2">
      <c r="D132" s="13" t="s">
        <v>439</v>
      </c>
      <c r="E132" s="198"/>
      <c r="G132" s="451">
        <f>SUM(G133:G135)</f>
        <v>0</v>
      </c>
      <c r="H132" s="451"/>
      <c r="I132" s="451"/>
      <c r="J132" s="452"/>
      <c r="K132" s="451"/>
      <c r="L132" s="451">
        <f>SUM(L133:L135)</f>
        <v>0</v>
      </c>
      <c r="M132" s="451"/>
      <c r="N132" s="451"/>
      <c r="O132" s="452"/>
      <c r="P132" s="451"/>
      <c r="Q132" s="451">
        <f>SUM(Q133:Q135)</f>
        <v>0</v>
      </c>
      <c r="R132" s="451"/>
      <c r="S132" s="451"/>
      <c r="T132" s="452"/>
      <c r="U132" s="451"/>
      <c r="V132" s="451">
        <f>SUM(V133:V135)</f>
        <v>0</v>
      </c>
      <c r="W132" s="451"/>
      <c r="X132" s="451"/>
      <c r="Y132" s="452"/>
      <c r="Z132" s="451"/>
      <c r="AA132" s="451">
        <f>SUM(AA133:AA135)</f>
        <v>0</v>
      </c>
      <c r="AB132" s="451"/>
      <c r="AC132" s="451"/>
      <c r="AD132" s="452"/>
      <c r="AE132" s="451"/>
      <c r="AF132" s="451">
        <f>SUM(AF133:AF135)</f>
        <v>0</v>
      </c>
      <c r="AG132" s="451"/>
      <c r="AH132" s="451"/>
      <c r="AI132" s="452"/>
      <c r="AJ132" s="451"/>
      <c r="AK132" s="451">
        <f>SUM(AK133:AK135)</f>
        <v>0</v>
      </c>
      <c r="AL132" s="451"/>
      <c r="AM132" s="451"/>
      <c r="AN132" s="452"/>
      <c r="AO132" s="451"/>
      <c r="AP132" s="451">
        <f>SUM(AP133:AP135)</f>
        <v>0</v>
      </c>
      <c r="AQ132" s="451"/>
      <c r="AR132" s="451"/>
      <c r="AS132" s="452"/>
      <c r="AT132" s="451"/>
      <c r="AU132" s="451">
        <f>SUM(AU133:AU135)</f>
        <v>0</v>
      </c>
      <c r="AV132" s="451"/>
      <c r="AW132" s="451"/>
      <c r="AX132" s="452"/>
      <c r="AY132" s="451"/>
      <c r="AZ132" s="451">
        <f>SUM(AZ133:AZ135)</f>
        <v>0</v>
      </c>
      <c r="BA132" s="451"/>
      <c r="BB132" s="451"/>
      <c r="BC132" s="452"/>
      <c r="BD132" s="451"/>
      <c r="BE132" s="451">
        <f>SUM(BE133:BE135)</f>
        <v>0</v>
      </c>
      <c r="BF132" s="451"/>
      <c r="BG132" s="451"/>
      <c r="BH132" s="452"/>
      <c r="BI132" s="451"/>
      <c r="BJ132" s="451">
        <f>SUM(BJ133:BJ135)</f>
        <v>0</v>
      </c>
      <c r="BK132" s="451"/>
      <c r="BL132" s="451"/>
      <c r="BM132" s="452"/>
      <c r="BN132" s="451"/>
      <c r="BO132" s="451">
        <f>SUM(BO133:BO135)</f>
        <v>0</v>
      </c>
      <c r="BP132" s="451"/>
      <c r="BQ132" s="451"/>
      <c r="BR132" s="452"/>
      <c r="BS132" s="451"/>
      <c r="BT132" s="451">
        <f>SUM(BT133:BT135)</f>
        <v>0</v>
      </c>
      <c r="BU132" s="451"/>
      <c r="BV132" s="451"/>
      <c r="BW132" s="452"/>
      <c r="BX132" s="451"/>
      <c r="BY132" s="451">
        <f>SUM(BY133:BY135)</f>
        <v>0</v>
      </c>
      <c r="BZ132" s="451"/>
      <c r="CA132" s="451"/>
      <c r="CB132" s="452"/>
      <c r="CC132" s="451"/>
      <c r="CD132" s="451">
        <f>SUM(CD133:CD135)</f>
        <v>0</v>
      </c>
      <c r="CE132" s="451"/>
      <c r="CF132" s="451"/>
      <c r="CG132" s="452"/>
      <c r="CH132" s="451"/>
      <c r="CI132" s="451">
        <f>SUM(CI133:CI135)</f>
        <v>0</v>
      </c>
      <c r="CJ132" s="451"/>
      <c r="CK132" s="451"/>
      <c r="CL132" s="452"/>
      <c r="CM132" s="451"/>
      <c r="CN132" s="451">
        <f>SUM(CN133:CN135)</f>
        <v>0</v>
      </c>
      <c r="CO132" s="451"/>
      <c r="CP132" s="451"/>
      <c r="CQ132" s="452"/>
      <c r="CR132" s="451"/>
      <c r="CS132" s="451">
        <f>SUM(CS133:CS135)</f>
        <v>0</v>
      </c>
      <c r="CT132" s="451"/>
      <c r="CU132" s="451"/>
      <c r="CV132" s="452"/>
      <c r="CW132" s="451"/>
      <c r="CX132" s="451">
        <f>SUM(CX133:CX135)</f>
        <v>0</v>
      </c>
      <c r="CY132" s="451"/>
      <c r="CZ132" s="451"/>
      <c r="DA132" s="452"/>
      <c r="DB132" s="451"/>
      <c r="DC132" s="451">
        <f>SUM(DC133:DC135)</f>
        <v>0</v>
      </c>
      <c r="DD132" s="451"/>
      <c r="DE132" s="451"/>
      <c r="DF132" s="452"/>
      <c r="DG132" s="451"/>
      <c r="DH132" s="451">
        <f>SUM(DH133:DH135)</f>
        <v>0</v>
      </c>
      <c r="DI132" s="451"/>
      <c r="DJ132" s="451"/>
      <c r="DK132" s="452"/>
      <c r="DL132" s="451"/>
      <c r="DM132" s="451">
        <f>SUM(DM133:DM135)</f>
        <v>0</v>
      </c>
      <c r="DN132" s="451"/>
      <c r="DO132" s="451"/>
      <c r="DP132" s="452"/>
      <c r="DQ132" s="451"/>
      <c r="DR132" s="451">
        <f>SUM(DR133:DR135)</f>
        <v>0</v>
      </c>
      <c r="DS132" s="451"/>
      <c r="DT132" s="451"/>
      <c r="DU132" s="452"/>
      <c r="DV132" s="451"/>
      <c r="DW132" s="451">
        <f>SUM(DW133:DW135)</f>
        <v>0</v>
      </c>
      <c r="DX132" s="451"/>
      <c r="DY132" s="451"/>
      <c r="DZ132" s="452"/>
      <c r="EA132" s="451"/>
      <c r="EB132" s="451">
        <f>SUM(EB133:EB135)</f>
        <v>0</v>
      </c>
      <c r="EC132" s="451"/>
      <c r="ED132" s="451"/>
      <c r="EE132" s="452"/>
      <c r="EF132" s="451"/>
      <c r="EG132" s="451">
        <f>SUM(EG133:EG135)</f>
        <v>0</v>
      </c>
      <c r="EH132" s="451"/>
      <c r="EI132" s="451"/>
      <c r="EJ132" s="452"/>
      <c r="EK132" s="451"/>
      <c r="EL132" s="451">
        <f>SUM(EL133:EL135)</f>
        <v>0</v>
      </c>
      <c r="EO132" s="13"/>
      <c r="EP132" s="14"/>
      <c r="EQ132" s="14"/>
    </row>
    <row r="133" spans="4:147" hidden="1" x14ac:dyDescent="0.2">
      <c r="D133" s="13" t="s">
        <v>347</v>
      </c>
      <c r="E133" s="198"/>
      <c r="F133" s="374"/>
      <c r="G133" s="449">
        <v>0</v>
      </c>
      <c r="H133" s="450"/>
      <c r="I133" s="451"/>
      <c r="J133" s="452"/>
      <c r="K133" s="453"/>
      <c r="L133" s="449">
        <v>0</v>
      </c>
      <c r="M133" s="450"/>
      <c r="N133" s="451"/>
      <c r="O133" s="452"/>
      <c r="P133" s="453"/>
      <c r="Q133" s="449">
        <v>0</v>
      </c>
      <c r="R133" s="450"/>
      <c r="S133" s="451"/>
      <c r="T133" s="452"/>
      <c r="U133" s="453"/>
      <c r="V133" s="449">
        <v>0</v>
      </c>
      <c r="W133" s="450"/>
      <c r="X133" s="451"/>
      <c r="Y133" s="452"/>
      <c r="Z133" s="453"/>
      <c r="AA133" s="449">
        <v>0</v>
      </c>
      <c r="AB133" s="450"/>
      <c r="AC133" s="451"/>
      <c r="AD133" s="452"/>
      <c r="AE133" s="453"/>
      <c r="AF133" s="449">
        <v>0</v>
      </c>
      <c r="AG133" s="450"/>
      <c r="AH133" s="451"/>
      <c r="AI133" s="452"/>
      <c r="AJ133" s="453"/>
      <c r="AK133" s="449">
        <v>0</v>
      </c>
      <c r="AL133" s="450"/>
      <c r="AM133" s="451"/>
      <c r="AN133" s="452"/>
      <c r="AO133" s="453"/>
      <c r="AP133" s="449">
        <v>0</v>
      </c>
      <c r="AQ133" s="450"/>
      <c r="AR133" s="451"/>
      <c r="AS133" s="452"/>
      <c r="AT133" s="453"/>
      <c r="AU133" s="449">
        <v>0</v>
      </c>
      <c r="AV133" s="450"/>
      <c r="AW133" s="451"/>
      <c r="AX133" s="452"/>
      <c r="AY133" s="453"/>
      <c r="AZ133" s="449">
        <v>0</v>
      </c>
      <c r="BA133" s="450"/>
      <c r="BB133" s="451"/>
      <c r="BC133" s="452"/>
      <c r="BD133" s="453"/>
      <c r="BE133" s="449">
        <v>0</v>
      </c>
      <c r="BF133" s="450"/>
      <c r="BG133" s="451"/>
      <c r="BH133" s="452"/>
      <c r="BI133" s="453"/>
      <c r="BJ133" s="449">
        <v>0</v>
      </c>
      <c r="BK133" s="450"/>
      <c r="BL133" s="451"/>
      <c r="BM133" s="452"/>
      <c r="BN133" s="453"/>
      <c r="BO133" s="449">
        <v>0</v>
      </c>
      <c r="BP133" s="450"/>
      <c r="BQ133" s="451"/>
      <c r="BR133" s="452"/>
      <c r="BS133" s="453"/>
      <c r="BT133" s="449">
        <f>SUM(L133:BO133)</f>
        <v>0</v>
      </c>
      <c r="BU133" s="450"/>
      <c r="BV133" s="451"/>
      <c r="BW133" s="452"/>
      <c r="BX133" s="453"/>
      <c r="BY133" s="449">
        <v>0</v>
      </c>
      <c r="BZ133" s="450"/>
      <c r="CA133" s="451"/>
      <c r="CB133" s="452"/>
      <c r="CC133" s="453"/>
      <c r="CD133" s="449">
        <v>0</v>
      </c>
      <c r="CE133" s="450"/>
      <c r="CF133" s="451"/>
      <c r="CG133" s="452"/>
      <c r="CH133" s="453"/>
      <c r="CI133" s="449">
        <v>0</v>
      </c>
      <c r="CJ133" s="450"/>
      <c r="CK133" s="451"/>
      <c r="CL133" s="452"/>
      <c r="CM133" s="453"/>
      <c r="CN133" s="449">
        <v>0</v>
      </c>
      <c r="CO133" s="450"/>
      <c r="CP133" s="451"/>
      <c r="CQ133" s="452"/>
      <c r="CR133" s="453"/>
      <c r="CS133" s="449">
        <v>0</v>
      </c>
      <c r="CT133" s="450"/>
      <c r="CU133" s="451"/>
      <c r="CV133" s="452"/>
      <c r="CW133" s="453"/>
      <c r="CX133" s="449">
        <v>0</v>
      </c>
      <c r="CY133" s="450"/>
      <c r="CZ133" s="451"/>
      <c r="DA133" s="452"/>
      <c r="DB133" s="453"/>
      <c r="DC133" s="449">
        <v>0</v>
      </c>
      <c r="DD133" s="450"/>
      <c r="DE133" s="451"/>
      <c r="DF133" s="452"/>
      <c r="DG133" s="453"/>
      <c r="DH133" s="449">
        <v>0</v>
      </c>
      <c r="DI133" s="450"/>
      <c r="DJ133" s="451"/>
      <c r="DK133" s="452"/>
      <c r="DL133" s="453"/>
      <c r="DM133" s="449">
        <v>0</v>
      </c>
      <c r="DN133" s="450"/>
      <c r="DO133" s="451"/>
      <c r="DP133" s="452"/>
      <c r="DQ133" s="453"/>
      <c r="DR133" s="449">
        <v>0</v>
      </c>
      <c r="DS133" s="450"/>
      <c r="DT133" s="451"/>
      <c r="DU133" s="452"/>
      <c r="DV133" s="453"/>
      <c r="DW133" s="449">
        <v>0</v>
      </c>
      <c r="DX133" s="450"/>
      <c r="DY133" s="451"/>
      <c r="DZ133" s="452"/>
      <c r="EA133" s="453"/>
      <c r="EB133" s="449">
        <v>0</v>
      </c>
      <c r="EC133" s="450"/>
      <c r="ED133" s="451"/>
      <c r="EE133" s="452"/>
      <c r="EF133" s="453"/>
      <c r="EG133" s="449">
        <v>0</v>
      </c>
      <c r="EH133" s="450"/>
      <c r="EI133" s="451"/>
      <c r="EJ133" s="452"/>
      <c r="EK133" s="453"/>
      <c r="EL133" s="449">
        <f>SUM(CD133:EG133)</f>
        <v>0</v>
      </c>
      <c r="EM133" s="375"/>
      <c r="EO133" s="13"/>
      <c r="EP133" s="14"/>
      <c r="EQ133" s="14"/>
    </row>
    <row r="134" spans="4:147" hidden="1" x14ac:dyDescent="0.2">
      <c r="D134" s="13" t="s">
        <v>436</v>
      </c>
      <c r="E134" s="198"/>
      <c r="F134" s="198"/>
      <c r="G134" s="451">
        <v>0</v>
      </c>
      <c r="H134" s="455"/>
      <c r="I134" s="451"/>
      <c r="J134" s="452"/>
      <c r="K134" s="452"/>
      <c r="L134" s="451">
        <v>0</v>
      </c>
      <c r="M134" s="455"/>
      <c r="N134" s="451"/>
      <c r="O134" s="452"/>
      <c r="P134" s="452"/>
      <c r="Q134" s="451">
        <v>0</v>
      </c>
      <c r="R134" s="455"/>
      <c r="S134" s="451"/>
      <c r="T134" s="452"/>
      <c r="U134" s="452"/>
      <c r="V134" s="451">
        <v>0</v>
      </c>
      <c r="W134" s="455"/>
      <c r="X134" s="451"/>
      <c r="Y134" s="452"/>
      <c r="Z134" s="452"/>
      <c r="AA134" s="451">
        <v>0</v>
      </c>
      <c r="AB134" s="455"/>
      <c r="AC134" s="451"/>
      <c r="AD134" s="452"/>
      <c r="AE134" s="452"/>
      <c r="AF134" s="451">
        <v>0</v>
      </c>
      <c r="AG134" s="455"/>
      <c r="AH134" s="451"/>
      <c r="AI134" s="452"/>
      <c r="AJ134" s="452"/>
      <c r="AK134" s="451">
        <v>0</v>
      </c>
      <c r="AL134" s="455"/>
      <c r="AM134" s="451"/>
      <c r="AN134" s="452"/>
      <c r="AO134" s="452"/>
      <c r="AP134" s="451">
        <v>0</v>
      </c>
      <c r="AQ134" s="455"/>
      <c r="AR134" s="451"/>
      <c r="AS134" s="452"/>
      <c r="AT134" s="452"/>
      <c r="AU134" s="451">
        <v>0</v>
      </c>
      <c r="AV134" s="455"/>
      <c r="AW134" s="451"/>
      <c r="AX134" s="452"/>
      <c r="AY134" s="452"/>
      <c r="AZ134" s="451">
        <v>0</v>
      </c>
      <c r="BA134" s="455"/>
      <c r="BB134" s="451"/>
      <c r="BC134" s="452"/>
      <c r="BD134" s="452"/>
      <c r="BE134" s="451">
        <v>0</v>
      </c>
      <c r="BF134" s="455"/>
      <c r="BG134" s="451"/>
      <c r="BH134" s="452"/>
      <c r="BI134" s="452"/>
      <c r="BJ134" s="451">
        <v>0</v>
      </c>
      <c r="BK134" s="455"/>
      <c r="BL134" s="451"/>
      <c r="BM134" s="452"/>
      <c r="BN134" s="452"/>
      <c r="BO134" s="451">
        <v>0</v>
      </c>
      <c r="BP134" s="455"/>
      <c r="BQ134" s="451"/>
      <c r="BR134" s="452"/>
      <c r="BS134" s="452"/>
      <c r="BT134" s="451">
        <f>SUM(L134:BO134)</f>
        <v>0</v>
      </c>
      <c r="BU134" s="455"/>
      <c r="BV134" s="451"/>
      <c r="BW134" s="452"/>
      <c r="BX134" s="452"/>
      <c r="BY134" s="451">
        <v>0</v>
      </c>
      <c r="BZ134" s="455"/>
      <c r="CA134" s="451"/>
      <c r="CB134" s="452"/>
      <c r="CC134" s="452"/>
      <c r="CD134" s="451">
        <v>0</v>
      </c>
      <c r="CE134" s="455"/>
      <c r="CF134" s="451"/>
      <c r="CG134" s="452"/>
      <c r="CH134" s="452"/>
      <c r="CI134" s="451">
        <v>0</v>
      </c>
      <c r="CJ134" s="455"/>
      <c r="CK134" s="451"/>
      <c r="CL134" s="452"/>
      <c r="CM134" s="452"/>
      <c r="CN134" s="451">
        <v>0</v>
      </c>
      <c r="CO134" s="455"/>
      <c r="CP134" s="451"/>
      <c r="CQ134" s="452"/>
      <c r="CR134" s="452"/>
      <c r="CS134" s="451">
        <v>0</v>
      </c>
      <c r="CT134" s="455"/>
      <c r="CU134" s="451"/>
      <c r="CV134" s="452"/>
      <c r="CW134" s="452"/>
      <c r="CX134" s="451">
        <v>0</v>
      </c>
      <c r="CY134" s="455"/>
      <c r="CZ134" s="451"/>
      <c r="DA134" s="452"/>
      <c r="DB134" s="452"/>
      <c r="DC134" s="451">
        <v>0</v>
      </c>
      <c r="DD134" s="455"/>
      <c r="DE134" s="451"/>
      <c r="DF134" s="452"/>
      <c r="DG134" s="452"/>
      <c r="DH134" s="451">
        <v>0</v>
      </c>
      <c r="DI134" s="455"/>
      <c r="DJ134" s="451"/>
      <c r="DK134" s="452"/>
      <c r="DL134" s="452"/>
      <c r="DM134" s="451">
        <v>0</v>
      </c>
      <c r="DN134" s="455"/>
      <c r="DO134" s="451"/>
      <c r="DP134" s="452"/>
      <c r="DQ134" s="452"/>
      <c r="DR134" s="451">
        <v>0</v>
      </c>
      <c r="DS134" s="455"/>
      <c r="DT134" s="451"/>
      <c r="DU134" s="452"/>
      <c r="DV134" s="452"/>
      <c r="DW134" s="451">
        <v>0</v>
      </c>
      <c r="DX134" s="455"/>
      <c r="DY134" s="451"/>
      <c r="DZ134" s="452"/>
      <c r="EA134" s="452"/>
      <c r="EB134" s="451">
        <v>0</v>
      </c>
      <c r="EC134" s="455"/>
      <c r="ED134" s="451"/>
      <c r="EE134" s="452"/>
      <c r="EF134" s="452"/>
      <c r="EG134" s="451">
        <v>0</v>
      </c>
      <c r="EH134" s="455"/>
      <c r="EI134" s="451"/>
      <c r="EJ134" s="452"/>
      <c r="EK134" s="452"/>
      <c r="EL134" s="451">
        <f>SUM(CD134:EG134)</f>
        <v>0</v>
      </c>
      <c r="EM134" s="189"/>
      <c r="EO134" s="13"/>
      <c r="EP134" s="14"/>
      <c r="EQ134" s="14"/>
    </row>
    <row r="135" spans="4:147" hidden="1" x14ac:dyDescent="0.2">
      <c r="D135" s="13" t="s">
        <v>437</v>
      </c>
      <c r="E135" s="198"/>
      <c r="F135" s="385"/>
      <c r="G135" s="463">
        <v>0</v>
      </c>
      <c r="H135" s="464"/>
      <c r="I135" s="451"/>
      <c r="J135" s="452"/>
      <c r="K135" s="465"/>
      <c r="L135" s="463">
        <v>0</v>
      </c>
      <c r="M135" s="464"/>
      <c r="N135" s="451"/>
      <c r="O135" s="452"/>
      <c r="P135" s="465"/>
      <c r="Q135" s="463">
        <v>0</v>
      </c>
      <c r="R135" s="464"/>
      <c r="S135" s="451"/>
      <c r="T135" s="452"/>
      <c r="U135" s="465"/>
      <c r="V135" s="463">
        <v>0</v>
      </c>
      <c r="W135" s="464"/>
      <c r="X135" s="451"/>
      <c r="Y135" s="452"/>
      <c r="Z135" s="465"/>
      <c r="AA135" s="463">
        <v>0</v>
      </c>
      <c r="AB135" s="464"/>
      <c r="AC135" s="451"/>
      <c r="AD135" s="452"/>
      <c r="AE135" s="465"/>
      <c r="AF135" s="463">
        <v>0</v>
      </c>
      <c r="AG135" s="464"/>
      <c r="AH135" s="451"/>
      <c r="AI135" s="452"/>
      <c r="AJ135" s="465"/>
      <c r="AK135" s="463">
        <v>0</v>
      </c>
      <c r="AL135" s="464"/>
      <c r="AM135" s="451"/>
      <c r="AN135" s="452"/>
      <c r="AO135" s="465"/>
      <c r="AP135" s="463">
        <v>0</v>
      </c>
      <c r="AQ135" s="464"/>
      <c r="AR135" s="451"/>
      <c r="AS135" s="452"/>
      <c r="AT135" s="465"/>
      <c r="AU135" s="463">
        <v>0</v>
      </c>
      <c r="AV135" s="464"/>
      <c r="AW135" s="451"/>
      <c r="AX135" s="452"/>
      <c r="AY135" s="465"/>
      <c r="AZ135" s="463">
        <v>0</v>
      </c>
      <c r="BA135" s="464"/>
      <c r="BB135" s="451"/>
      <c r="BC135" s="452"/>
      <c r="BD135" s="465"/>
      <c r="BE135" s="463">
        <v>0</v>
      </c>
      <c r="BF135" s="464"/>
      <c r="BG135" s="451"/>
      <c r="BH135" s="452"/>
      <c r="BI135" s="465"/>
      <c r="BJ135" s="463">
        <v>0</v>
      </c>
      <c r="BK135" s="464"/>
      <c r="BL135" s="451"/>
      <c r="BM135" s="452"/>
      <c r="BN135" s="465"/>
      <c r="BO135" s="463">
        <v>0</v>
      </c>
      <c r="BP135" s="464"/>
      <c r="BQ135" s="451"/>
      <c r="BR135" s="452"/>
      <c r="BS135" s="465"/>
      <c r="BT135" s="463">
        <f>SUM(L135:BO135)</f>
        <v>0</v>
      </c>
      <c r="BU135" s="464"/>
      <c r="BV135" s="451"/>
      <c r="BW135" s="452"/>
      <c r="BX135" s="465"/>
      <c r="BY135" s="463">
        <v>0</v>
      </c>
      <c r="BZ135" s="464"/>
      <c r="CA135" s="451"/>
      <c r="CB135" s="452"/>
      <c r="CC135" s="465"/>
      <c r="CD135" s="463">
        <v>0</v>
      </c>
      <c r="CE135" s="464"/>
      <c r="CF135" s="451"/>
      <c r="CG135" s="452"/>
      <c r="CH135" s="465"/>
      <c r="CI135" s="463">
        <v>0</v>
      </c>
      <c r="CJ135" s="464"/>
      <c r="CK135" s="451"/>
      <c r="CL135" s="452"/>
      <c r="CM135" s="465"/>
      <c r="CN135" s="463">
        <v>0</v>
      </c>
      <c r="CO135" s="464"/>
      <c r="CP135" s="451"/>
      <c r="CQ135" s="452"/>
      <c r="CR135" s="465"/>
      <c r="CS135" s="463">
        <v>0</v>
      </c>
      <c r="CT135" s="464"/>
      <c r="CU135" s="451"/>
      <c r="CV135" s="452"/>
      <c r="CW135" s="465"/>
      <c r="CX135" s="463">
        <v>0</v>
      </c>
      <c r="CY135" s="464"/>
      <c r="CZ135" s="451"/>
      <c r="DA135" s="452"/>
      <c r="DB135" s="465"/>
      <c r="DC135" s="463">
        <v>0</v>
      </c>
      <c r="DD135" s="464"/>
      <c r="DE135" s="451"/>
      <c r="DF135" s="452"/>
      <c r="DG135" s="465"/>
      <c r="DH135" s="463">
        <v>0</v>
      </c>
      <c r="DI135" s="464"/>
      <c r="DJ135" s="451"/>
      <c r="DK135" s="452"/>
      <c r="DL135" s="465"/>
      <c r="DM135" s="463">
        <v>0</v>
      </c>
      <c r="DN135" s="464"/>
      <c r="DO135" s="451"/>
      <c r="DP135" s="452"/>
      <c r="DQ135" s="465"/>
      <c r="DR135" s="463">
        <v>0</v>
      </c>
      <c r="DS135" s="464"/>
      <c r="DT135" s="451"/>
      <c r="DU135" s="452"/>
      <c r="DV135" s="465"/>
      <c r="DW135" s="463">
        <v>0</v>
      </c>
      <c r="DX135" s="464"/>
      <c r="DY135" s="451"/>
      <c r="DZ135" s="452"/>
      <c r="EA135" s="465"/>
      <c r="EB135" s="463">
        <v>0</v>
      </c>
      <c r="EC135" s="464"/>
      <c r="ED135" s="451"/>
      <c r="EE135" s="452"/>
      <c r="EF135" s="465"/>
      <c r="EG135" s="463">
        <v>0</v>
      </c>
      <c r="EH135" s="464"/>
      <c r="EI135" s="451"/>
      <c r="EJ135" s="452"/>
      <c r="EK135" s="465"/>
      <c r="EL135" s="463">
        <f>SUM(CD135:EG135)</f>
        <v>0</v>
      </c>
      <c r="EM135" s="212"/>
      <c r="EO135" s="13"/>
      <c r="EP135" s="14"/>
      <c r="EQ135" s="14"/>
    </row>
    <row r="136" spans="4:147" hidden="1" x14ac:dyDescent="0.2">
      <c r="D136" s="13"/>
      <c r="E136" s="198"/>
      <c r="G136" s="451"/>
      <c r="H136" s="451"/>
      <c r="I136" s="451"/>
      <c r="J136" s="452"/>
      <c r="K136" s="451"/>
      <c r="L136" s="451"/>
      <c r="M136" s="451"/>
      <c r="N136" s="451"/>
      <c r="O136" s="452"/>
      <c r="P136" s="451"/>
      <c r="Q136" s="451"/>
      <c r="R136" s="451"/>
      <c r="S136" s="451"/>
      <c r="T136" s="452"/>
      <c r="U136" s="451"/>
      <c r="V136" s="451"/>
      <c r="W136" s="451"/>
      <c r="X136" s="451"/>
      <c r="Y136" s="452"/>
      <c r="Z136" s="451"/>
      <c r="AA136" s="451"/>
      <c r="AB136" s="451"/>
      <c r="AC136" s="451"/>
      <c r="AD136" s="452"/>
      <c r="AE136" s="451"/>
      <c r="AF136" s="451"/>
      <c r="AG136" s="451"/>
      <c r="AH136" s="451"/>
      <c r="AI136" s="452"/>
      <c r="AJ136" s="451"/>
      <c r="AK136" s="451"/>
      <c r="AL136" s="451"/>
      <c r="AM136" s="451"/>
      <c r="AN136" s="452"/>
      <c r="AO136" s="451"/>
      <c r="AP136" s="451"/>
      <c r="AQ136" s="451"/>
      <c r="AR136" s="451"/>
      <c r="AS136" s="452"/>
      <c r="AT136" s="451"/>
      <c r="AU136" s="451"/>
      <c r="AV136" s="451"/>
      <c r="AW136" s="451"/>
      <c r="AX136" s="452"/>
      <c r="AY136" s="451"/>
      <c r="AZ136" s="451"/>
      <c r="BA136" s="451"/>
      <c r="BB136" s="451"/>
      <c r="BC136" s="452"/>
      <c r="BD136" s="451"/>
      <c r="BE136" s="451"/>
      <c r="BF136" s="451"/>
      <c r="BG136" s="451"/>
      <c r="BH136" s="452"/>
      <c r="BI136" s="451"/>
      <c r="BJ136" s="451"/>
      <c r="BK136" s="451"/>
      <c r="BL136" s="451"/>
      <c r="BM136" s="452"/>
      <c r="BN136" s="451"/>
      <c r="BO136" s="451"/>
      <c r="BP136" s="451"/>
      <c r="BQ136" s="451"/>
      <c r="BR136" s="452"/>
      <c r="BS136" s="451"/>
      <c r="BT136" s="451"/>
      <c r="BU136" s="451"/>
      <c r="BV136" s="451"/>
      <c r="BW136" s="452"/>
      <c r="BX136" s="451"/>
      <c r="BY136" s="451"/>
      <c r="BZ136" s="451"/>
      <c r="CA136" s="451"/>
      <c r="CB136" s="452"/>
      <c r="CC136" s="451"/>
      <c r="CD136" s="451"/>
      <c r="CE136" s="451"/>
      <c r="CF136" s="451"/>
      <c r="CG136" s="452"/>
      <c r="CH136" s="451"/>
      <c r="CI136" s="451"/>
      <c r="CJ136" s="451"/>
      <c r="CK136" s="451"/>
      <c r="CL136" s="452"/>
      <c r="CM136" s="451"/>
      <c r="CN136" s="451"/>
      <c r="CO136" s="451"/>
      <c r="CP136" s="451"/>
      <c r="CQ136" s="452"/>
      <c r="CR136" s="451"/>
      <c r="CS136" s="451"/>
      <c r="CT136" s="451"/>
      <c r="CU136" s="451"/>
      <c r="CV136" s="452"/>
      <c r="CW136" s="451"/>
      <c r="CX136" s="451"/>
      <c r="CY136" s="451"/>
      <c r="CZ136" s="451"/>
      <c r="DA136" s="452"/>
      <c r="DB136" s="451"/>
      <c r="DC136" s="451"/>
      <c r="DD136" s="451"/>
      <c r="DE136" s="451"/>
      <c r="DF136" s="452"/>
      <c r="DG136" s="451"/>
      <c r="DH136" s="451"/>
      <c r="DI136" s="451"/>
      <c r="DJ136" s="451"/>
      <c r="DK136" s="452"/>
      <c r="DL136" s="451"/>
      <c r="DM136" s="451"/>
      <c r="DN136" s="451"/>
      <c r="DO136" s="451"/>
      <c r="DP136" s="452"/>
      <c r="DQ136" s="451"/>
      <c r="DR136" s="451"/>
      <c r="DS136" s="451"/>
      <c r="DT136" s="451"/>
      <c r="DU136" s="452"/>
      <c r="DV136" s="451"/>
      <c r="DW136" s="451"/>
      <c r="DX136" s="451"/>
      <c r="DY136" s="451"/>
      <c r="DZ136" s="452"/>
      <c r="EA136" s="451"/>
      <c r="EB136" s="451"/>
      <c r="EC136" s="451"/>
      <c r="ED136" s="451"/>
      <c r="EE136" s="452"/>
      <c r="EF136" s="451"/>
      <c r="EG136" s="451"/>
      <c r="EH136" s="451"/>
      <c r="EI136" s="451"/>
      <c r="EJ136" s="452"/>
      <c r="EK136" s="451"/>
      <c r="EL136" s="451"/>
      <c r="EO136" s="13"/>
      <c r="EP136" s="14"/>
      <c r="EQ136" s="14"/>
    </row>
    <row r="137" spans="4:147" hidden="1" x14ac:dyDescent="0.2">
      <c r="D137" s="13" t="s">
        <v>440</v>
      </c>
      <c r="E137" s="198"/>
      <c r="G137" s="451">
        <f>SUM(G138:G140)</f>
        <v>0</v>
      </c>
      <c r="H137" s="451"/>
      <c r="I137" s="451"/>
      <c r="J137" s="452"/>
      <c r="K137" s="451"/>
      <c r="L137" s="451">
        <f>SUM(L138:L140)</f>
        <v>0</v>
      </c>
      <c r="M137" s="451"/>
      <c r="N137" s="451"/>
      <c r="O137" s="452"/>
      <c r="P137" s="451"/>
      <c r="Q137" s="451">
        <f>SUM(Q138:Q140)</f>
        <v>0</v>
      </c>
      <c r="R137" s="451"/>
      <c r="S137" s="451"/>
      <c r="T137" s="452"/>
      <c r="U137" s="451"/>
      <c r="V137" s="451">
        <f>SUM(V138:V140)</f>
        <v>0</v>
      </c>
      <c r="W137" s="451"/>
      <c r="X137" s="451"/>
      <c r="Y137" s="452"/>
      <c r="Z137" s="451"/>
      <c r="AA137" s="451">
        <f>SUM(AA138:AA140)</f>
        <v>0</v>
      </c>
      <c r="AB137" s="451"/>
      <c r="AC137" s="451"/>
      <c r="AD137" s="452"/>
      <c r="AE137" s="451"/>
      <c r="AF137" s="451">
        <f>SUM(AF138:AF140)</f>
        <v>0</v>
      </c>
      <c r="AG137" s="451"/>
      <c r="AH137" s="451"/>
      <c r="AI137" s="452"/>
      <c r="AJ137" s="451"/>
      <c r="AK137" s="451">
        <f>SUM(AK138:AK140)</f>
        <v>0</v>
      </c>
      <c r="AL137" s="451"/>
      <c r="AM137" s="451"/>
      <c r="AN137" s="452"/>
      <c r="AO137" s="451"/>
      <c r="AP137" s="451">
        <f>SUM(AP138:AP140)</f>
        <v>0</v>
      </c>
      <c r="AQ137" s="451"/>
      <c r="AR137" s="451"/>
      <c r="AS137" s="452"/>
      <c r="AT137" s="451"/>
      <c r="AU137" s="451">
        <f>SUM(AU138:AU140)</f>
        <v>0</v>
      </c>
      <c r="AV137" s="451"/>
      <c r="AW137" s="451"/>
      <c r="AX137" s="452"/>
      <c r="AY137" s="451"/>
      <c r="AZ137" s="451">
        <f>SUM(AZ138:AZ140)</f>
        <v>0</v>
      </c>
      <c r="BA137" s="451"/>
      <c r="BB137" s="451"/>
      <c r="BC137" s="452"/>
      <c r="BD137" s="451"/>
      <c r="BE137" s="451">
        <f>SUM(BE138:BE140)</f>
        <v>0</v>
      </c>
      <c r="BF137" s="451"/>
      <c r="BG137" s="451"/>
      <c r="BH137" s="452"/>
      <c r="BI137" s="451"/>
      <c r="BJ137" s="451">
        <f>SUM(BJ138:BJ140)</f>
        <v>0</v>
      </c>
      <c r="BK137" s="451"/>
      <c r="BL137" s="451"/>
      <c r="BM137" s="452"/>
      <c r="BN137" s="451"/>
      <c r="BO137" s="451">
        <f>SUM(BO138:BO140)</f>
        <v>0</v>
      </c>
      <c r="BP137" s="451"/>
      <c r="BQ137" s="451"/>
      <c r="BR137" s="452"/>
      <c r="BS137" s="451"/>
      <c r="BT137" s="451">
        <f>SUM(BT138:BT140)</f>
        <v>0</v>
      </c>
      <c r="BU137" s="451"/>
      <c r="BV137" s="451"/>
      <c r="BW137" s="452"/>
      <c r="BX137" s="451"/>
      <c r="BY137" s="451">
        <f>SUM(BY138:BY140)</f>
        <v>0</v>
      </c>
      <c r="BZ137" s="451"/>
      <c r="CA137" s="451"/>
      <c r="CB137" s="452"/>
      <c r="CC137" s="451"/>
      <c r="CD137" s="451">
        <f>SUM(CD138:CD140)</f>
        <v>0</v>
      </c>
      <c r="CE137" s="451"/>
      <c r="CF137" s="451"/>
      <c r="CG137" s="452"/>
      <c r="CH137" s="451"/>
      <c r="CI137" s="451">
        <f>SUM(CI138:CI140)</f>
        <v>0</v>
      </c>
      <c r="CJ137" s="451"/>
      <c r="CK137" s="451"/>
      <c r="CL137" s="452"/>
      <c r="CM137" s="451"/>
      <c r="CN137" s="451">
        <f>SUM(CN138:CN140)</f>
        <v>0</v>
      </c>
      <c r="CO137" s="451"/>
      <c r="CP137" s="451"/>
      <c r="CQ137" s="452"/>
      <c r="CR137" s="451"/>
      <c r="CS137" s="451">
        <f>SUM(CS138:CS140)</f>
        <v>0</v>
      </c>
      <c r="CT137" s="451"/>
      <c r="CU137" s="451"/>
      <c r="CV137" s="452"/>
      <c r="CW137" s="451"/>
      <c r="CX137" s="451">
        <f>SUM(CX138:CX140)</f>
        <v>0</v>
      </c>
      <c r="CY137" s="451"/>
      <c r="CZ137" s="451"/>
      <c r="DA137" s="452"/>
      <c r="DB137" s="451"/>
      <c r="DC137" s="451">
        <f>SUM(DC138:DC140)</f>
        <v>0</v>
      </c>
      <c r="DD137" s="451"/>
      <c r="DE137" s="451"/>
      <c r="DF137" s="452"/>
      <c r="DG137" s="451"/>
      <c r="DH137" s="451">
        <f>SUM(DH138:DH140)</f>
        <v>0</v>
      </c>
      <c r="DI137" s="451"/>
      <c r="DJ137" s="451"/>
      <c r="DK137" s="452"/>
      <c r="DL137" s="451"/>
      <c r="DM137" s="451">
        <f>SUM(DM138:DM140)</f>
        <v>0</v>
      </c>
      <c r="DN137" s="451"/>
      <c r="DO137" s="451"/>
      <c r="DP137" s="452"/>
      <c r="DQ137" s="451"/>
      <c r="DR137" s="451">
        <f>SUM(DR138:DR140)</f>
        <v>0</v>
      </c>
      <c r="DS137" s="451"/>
      <c r="DT137" s="451"/>
      <c r="DU137" s="452"/>
      <c r="DV137" s="451"/>
      <c r="DW137" s="451">
        <f>SUM(DW138:DW140)</f>
        <v>0</v>
      </c>
      <c r="DX137" s="451"/>
      <c r="DY137" s="451"/>
      <c r="DZ137" s="452"/>
      <c r="EA137" s="451"/>
      <c r="EB137" s="451">
        <f>SUM(EB138:EB140)</f>
        <v>0</v>
      </c>
      <c r="EC137" s="451"/>
      <c r="ED137" s="451"/>
      <c r="EE137" s="452"/>
      <c r="EF137" s="451"/>
      <c r="EG137" s="451">
        <f>SUM(EG138:EG140)</f>
        <v>0</v>
      </c>
      <c r="EH137" s="451"/>
      <c r="EI137" s="451"/>
      <c r="EJ137" s="452"/>
      <c r="EK137" s="451"/>
      <c r="EL137" s="451">
        <f>SUM(EL138:EL140)</f>
        <v>0</v>
      </c>
      <c r="EO137" s="13"/>
      <c r="EP137" s="14"/>
      <c r="EQ137" s="14"/>
    </row>
    <row r="138" spans="4:147" hidden="1" x14ac:dyDescent="0.2">
      <c r="D138" s="13" t="s">
        <v>347</v>
      </c>
      <c r="E138" s="198"/>
      <c r="F138" s="374"/>
      <c r="G138" s="449">
        <v>0</v>
      </c>
      <c r="H138" s="450"/>
      <c r="I138" s="451"/>
      <c r="J138" s="452"/>
      <c r="K138" s="453"/>
      <c r="L138" s="449">
        <v>0</v>
      </c>
      <c r="M138" s="450"/>
      <c r="N138" s="451"/>
      <c r="O138" s="452"/>
      <c r="P138" s="453"/>
      <c r="Q138" s="449">
        <v>0</v>
      </c>
      <c r="R138" s="450"/>
      <c r="S138" s="451"/>
      <c r="T138" s="452"/>
      <c r="U138" s="453"/>
      <c r="V138" s="449">
        <v>0</v>
      </c>
      <c r="W138" s="450"/>
      <c r="X138" s="451"/>
      <c r="Y138" s="452"/>
      <c r="Z138" s="453"/>
      <c r="AA138" s="449">
        <v>0</v>
      </c>
      <c r="AB138" s="450"/>
      <c r="AC138" s="451"/>
      <c r="AD138" s="452"/>
      <c r="AE138" s="453"/>
      <c r="AF138" s="449">
        <v>0</v>
      </c>
      <c r="AG138" s="450"/>
      <c r="AH138" s="451"/>
      <c r="AI138" s="452"/>
      <c r="AJ138" s="453"/>
      <c r="AK138" s="449">
        <v>0</v>
      </c>
      <c r="AL138" s="450"/>
      <c r="AM138" s="451"/>
      <c r="AN138" s="452"/>
      <c r="AO138" s="453"/>
      <c r="AP138" s="449">
        <v>0</v>
      </c>
      <c r="AQ138" s="450"/>
      <c r="AR138" s="451"/>
      <c r="AS138" s="452"/>
      <c r="AT138" s="453"/>
      <c r="AU138" s="449">
        <v>0</v>
      </c>
      <c r="AV138" s="450"/>
      <c r="AW138" s="451"/>
      <c r="AX138" s="452"/>
      <c r="AY138" s="453"/>
      <c r="AZ138" s="449">
        <v>0</v>
      </c>
      <c r="BA138" s="450"/>
      <c r="BB138" s="451"/>
      <c r="BC138" s="452"/>
      <c r="BD138" s="453"/>
      <c r="BE138" s="449">
        <v>0</v>
      </c>
      <c r="BF138" s="450"/>
      <c r="BG138" s="451"/>
      <c r="BH138" s="452"/>
      <c r="BI138" s="453"/>
      <c r="BJ138" s="449">
        <v>0</v>
      </c>
      <c r="BK138" s="450"/>
      <c r="BL138" s="451"/>
      <c r="BM138" s="452"/>
      <c r="BN138" s="453"/>
      <c r="BO138" s="449">
        <v>0</v>
      </c>
      <c r="BP138" s="450"/>
      <c r="BQ138" s="451"/>
      <c r="BR138" s="452"/>
      <c r="BS138" s="453"/>
      <c r="BT138" s="449">
        <f>SUM(L138:BO138)</f>
        <v>0</v>
      </c>
      <c r="BU138" s="450"/>
      <c r="BV138" s="451"/>
      <c r="BW138" s="452"/>
      <c r="BX138" s="453"/>
      <c r="BY138" s="449">
        <v>0</v>
      </c>
      <c r="BZ138" s="450"/>
      <c r="CA138" s="451"/>
      <c r="CB138" s="452"/>
      <c r="CC138" s="453"/>
      <c r="CD138" s="449">
        <v>0</v>
      </c>
      <c r="CE138" s="450"/>
      <c r="CF138" s="451"/>
      <c r="CG138" s="452"/>
      <c r="CH138" s="453"/>
      <c r="CI138" s="449">
        <v>0</v>
      </c>
      <c r="CJ138" s="450"/>
      <c r="CK138" s="451"/>
      <c r="CL138" s="452"/>
      <c r="CM138" s="453"/>
      <c r="CN138" s="449">
        <v>0</v>
      </c>
      <c r="CO138" s="450"/>
      <c r="CP138" s="451"/>
      <c r="CQ138" s="452"/>
      <c r="CR138" s="453"/>
      <c r="CS138" s="449">
        <v>0</v>
      </c>
      <c r="CT138" s="450"/>
      <c r="CU138" s="451"/>
      <c r="CV138" s="452"/>
      <c r="CW138" s="453"/>
      <c r="CX138" s="449">
        <v>0</v>
      </c>
      <c r="CY138" s="450"/>
      <c r="CZ138" s="451"/>
      <c r="DA138" s="452"/>
      <c r="DB138" s="453"/>
      <c r="DC138" s="449">
        <v>0</v>
      </c>
      <c r="DD138" s="450"/>
      <c r="DE138" s="451"/>
      <c r="DF138" s="452"/>
      <c r="DG138" s="453"/>
      <c r="DH138" s="449">
        <v>0</v>
      </c>
      <c r="DI138" s="450"/>
      <c r="DJ138" s="451"/>
      <c r="DK138" s="452"/>
      <c r="DL138" s="453"/>
      <c r="DM138" s="449">
        <v>0</v>
      </c>
      <c r="DN138" s="450"/>
      <c r="DO138" s="451"/>
      <c r="DP138" s="452"/>
      <c r="DQ138" s="453"/>
      <c r="DR138" s="449">
        <v>0</v>
      </c>
      <c r="DS138" s="450"/>
      <c r="DT138" s="451"/>
      <c r="DU138" s="452"/>
      <c r="DV138" s="453"/>
      <c r="DW138" s="449">
        <v>0</v>
      </c>
      <c r="DX138" s="450"/>
      <c r="DY138" s="451"/>
      <c r="DZ138" s="452"/>
      <c r="EA138" s="453"/>
      <c r="EB138" s="449">
        <v>0</v>
      </c>
      <c r="EC138" s="450"/>
      <c r="ED138" s="451"/>
      <c r="EE138" s="452"/>
      <c r="EF138" s="453"/>
      <c r="EG138" s="449">
        <v>0</v>
      </c>
      <c r="EH138" s="450"/>
      <c r="EI138" s="451"/>
      <c r="EJ138" s="452"/>
      <c r="EK138" s="453"/>
      <c r="EL138" s="449">
        <f>SUM(CD138:EG138)</f>
        <v>0</v>
      </c>
      <c r="EM138" s="375"/>
      <c r="EO138" s="13"/>
      <c r="EP138" s="14"/>
      <c r="EQ138" s="14"/>
    </row>
    <row r="139" spans="4:147" hidden="1" x14ac:dyDescent="0.2">
      <c r="D139" s="13" t="s">
        <v>436</v>
      </c>
      <c r="E139" s="198"/>
      <c r="F139" s="198"/>
      <c r="G139" s="451">
        <v>0</v>
      </c>
      <c r="H139" s="455"/>
      <c r="I139" s="451"/>
      <c r="J139" s="452"/>
      <c r="K139" s="452"/>
      <c r="L139" s="451">
        <v>0</v>
      </c>
      <c r="M139" s="455"/>
      <c r="N139" s="451"/>
      <c r="O139" s="452"/>
      <c r="P139" s="452"/>
      <c r="Q139" s="451">
        <v>0</v>
      </c>
      <c r="R139" s="455"/>
      <c r="S139" s="451"/>
      <c r="T139" s="452"/>
      <c r="U139" s="452"/>
      <c r="V139" s="451">
        <v>0</v>
      </c>
      <c r="W139" s="455"/>
      <c r="X139" s="451"/>
      <c r="Y139" s="452"/>
      <c r="Z139" s="452"/>
      <c r="AA139" s="451">
        <v>0</v>
      </c>
      <c r="AB139" s="455"/>
      <c r="AC139" s="451"/>
      <c r="AD139" s="452"/>
      <c r="AE139" s="452"/>
      <c r="AF139" s="451">
        <v>0</v>
      </c>
      <c r="AG139" s="455"/>
      <c r="AH139" s="451"/>
      <c r="AI139" s="452"/>
      <c r="AJ139" s="452"/>
      <c r="AK139" s="451">
        <v>0</v>
      </c>
      <c r="AL139" s="455"/>
      <c r="AM139" s="451"/>
      <c r="AN139" s="452"/>
      <c r="AO139" s="452"/>
      <c r="AP139" s="451">
        <v>0</v>
      </c>
      <c r="AQ139" s="455"/>
      <c r="AR139" s="451"/>
      <c r="AS139" s="452"/>
      <c r="AT139" s="452"/>
      <c r="AU139" s="451">
        <v>0</v>
      </c>
      <c r="AV139" s="455"/>
      <c r="AW139" s="451"/>
      <c r="AX139" s="452"/>
      <c r="AY139" s="452"/>
      <c r="AZ139" s="451">
        <v>0</v>
      </c>
      <c r="BA139" s="455"/>
      <c r="BB139" s="451"/>
      <c r="BC139" s="452"/>
      <c r="BD139" s="452"/>
      <c r="BE139" s="451">
        <v>0</v>
      </c>
      <c r="BF139" s="455"/>
      <c r="BG139" s="451"/>
      <c r="BH139" s="452"/>
      <c r="BI139" s="452"/>
      <c r="BJ139" s="451">
        <v>0</v>
      </c>
      <c r="BK139" s="455"/>
      <c r="BL139" s="451"/>
      <c r="BM139" s="452"/>
      <c r="BN139" s="452"/>
      <c r="BO139" s="451">
        <v>0</v>
      </c>
      <c r="BP139" s="455"/>
      <c r="BQ139" s="451"/>
      <c r="BR139" s="452"/>
      <c r="BS139" s="452"/>
      <c r="BT139" s="451">
        <f>SUM(L139:BO139)</f>
        <v>0</v>
      </c>
      <c r="BU139" s="455"/>
      <c r="BV139" s="451"/>
      <c r="BW139" s="452"/>
      <c r="BX139" s="452"/>
      <c r="BY139" s="451">
        <v>0</v>
      </c>
      <c r="BZ139" s="455"/>
      <c r="CA139" s="451"/>
      <c r="CB139" s="452"/>
      <c r="CC139" s="452"/>
      <c r="CD139" s="451">
        <v>0</v>
      </c>
      <c r="CE139" s="455"/>
      <c r="CF139" s="451"/>
      <c r="CG139" s="452"/>
      <c r="CH139" s="452"/>
      <c r="CI139" s="451">
        <v>0</v>
      </c>
      <c r="CJ139" s="455"/>
      <c r="CK139" s="451"/>
      <c r="CL139" s="452"/>
      <c r="CM139" s="452"/>
      <c r="CN139" s="451">
        <v>0</v>
      </c>
      <c r="CO139" s="455"/>
      <c r="CP139" s="451"/>
      <c r="CQ139" s="452"/>
      <c r="CR139" s="452"/>
      <c r="CS139" s="451">
        <v>0</v>
      </c>
      <c r="CT139" s="455"/>
      <c r="CU139" s="451"/>
      <c r="CV139" s="452"/>
      <c r="CW139" s="452"/>
      <c r="CX139" s="451">
        <v>0</v>
      </c>
      <c r="CY139" s="455"/>
      <c r="CZ139" s="451"/>
      <c r="DA139" s="452"/>
      <c r="DB139" s="452"/>
      <c r="DC139" s="451">
        <v>0</v>
      </c>
      <c r="DD139" s="455"/>
      <c r="DE139" s="451"/>
      <c r="DF139" s="452"/>
      <c r="DG139" s="452"/>
      <c r="DH139" s="451">
        <v>0</v>
      </c>
      <c r="DI139" s="455"/>
      <c r="DJ139" s="451"/>
      <c r="DK139" s="452"/>
      <c r="DL139" s="452"/>
      <c r="DM139" s="451">
        <v>0</v>
      </c>
      <c r="DN139" s="455"/>
      <c r="DO139" s="451"/>
      <c r="DP139" s="452"/>
      <c r="DQ139" s="452"/>
      <c r="DR139" s="451">
        <v>0</v>
      </c>
      <c r="DS139" s="455"/>
      <c r="DT139" s="451"/>
      <c r="DU139" s="452"/>
      <c r="DV139" s="452"/>
      <c r="DW139" s="451">
        <v>0</v>
      </c>
      <c r="DX139" s="455"/>
      <c r="DY139" s="451"/>
      <c r="DZ139" s="452"/>
      <c r="EA139" s="452"/>
      <c r="EB139" s="451">
        <v>0</v>
      </c>
      <c r="EC139" s="455"/>
      <c r="ED139" s="451"/>
      <c r="EE139" s="452"/>
      <c r="EF139" s="452"/>
      <c r="EG139" s="451">
        <v>0</v>
      </c>
      <c r="EH139" s="455"/>
      <c r="EI139" s="451"/>
      <c r="EJ139" s="452"/>
      <c r="EK139" s="452"/>
      <c r="EL139" s="451">
        <f>SUM(CD139:EG139)</f>
        <v>0</v>
      </c>
      <c r="EM139" s="189"/>
      <c r="EO139" s="13"/>
      <c r="EP139" s="14"/>
      <c r="EQ139" s="14"/>
    </row>
    <row r="140" spans="4:147" hidden="1" x14ac:dyDescent="0.2">
      <c r="D140" s="13" t="s">
        <v>437</v>
      </c>
      <c r="E140" s="198"/>
      <c r="F140" s="385"/>
      <c r="G140" s="463">
        <v>0</v>
      </c>
      <c r="H140" s="464"/>
      <c r="I140" s="451"/>
      <c r="J140" s="452"/>
      <c r="K140" s="465"/>
      <c r="L140" s="463">
        <v>0</v>
      </c>
      <c r="M140" s="464"/>
      <c r="N140" s="451"/>
      <c r="O140" s="452"/>
      <c r="P140" s="465"/>
      <c r="Q140" s="463">
        <v>0</v>
      </c>
      <c r="R140" s="464"/>
      <c r="S140" s="451"/>
      <c r="T140" s="452"/>
      <c r="U140" s="465"/>
      <c r="V140" s="463">
        <v>0</v>
      </c>
      <c r="W140" s="464"/>
      <c r="X140" s="451"/>
      <c r="Y140" s="452"/>
      <c r="Z140" s="465"/>
      <c r="AA140" s="463">
        <v>0</v>
      </c>
      <c r="AB140" s="464"/>
      <c r="AC140" s="451"/>
      <c r="AD140" s="452"/>
      <c r="AE140" s="465"/>
      <c r="AF140" s="463">
        <v>0</v>
      </c>
      <c r="AG140" s="464"/>
      <c r="AH140" s="451"/>
      <c r="AI140" s="452"/>
      <c r="AJ140" s="465"/>
      <c r="AK140" s="463">
        <v>0</v>
      </c>
      <c r="AL140" s="464"/>
      <c r="AM140" s="451"/>
      <c r="AN140" s="452"/>
      <c r="AO140" s="465"/>
      <c r="AP140" s="463">
        <v>0</v>
      </c>
      <c r="AQ140" s="464"/>
      <c r="AR140" s="451"/>
      <c r="AS140" s="452"/>
      <c r="AT140" s="465"/>
      <c r="AU140" s="463">
        <v>0</v>
      </c>
      <c r="AV140" s="464"/>
      <c r="AW140" s="451"/>
      <c r="AX140" s="452"/>
      <c r="AY140" s="465"/>
      <c r="AZ140" s="463">
        <v>0</v>
      </c>
      <c r="BA140" s="464"/>
      <c r="BB140" s="451"/>
      <c r="BC140" s="452"/>
      <c r="BD140" s="465"/>
      <c r="BE140" s="463">
        <v>0</v>
      </c>
      <c r="BF140" s="464"/>
      <c r="BG140" s="451"/>
      <c r="BH140" s="452"/>
      <c r="BI140" s="465"/>
      <c r="BJ140" s="463">
        <v>0</v>
      </c>
      <c r="BK140" s="464"/>
      <c r="BL140" s="451"/>
      <c r="BM140" s="452"/>
      <c r="BN140" s="465"/>
      <c r="BO140" s="463">
        <v>0</v>
      </c>
      <c r="BP140" s="464"/>
      <c r="BQ140" s="451"/>
      <c r="BR140" s="452"/>
      <c r="BS140" s="465"/>
      <c r="BT140" s="463">
        <f>SUM(L140:BO140)</f>
        <v>0</v>
      </c>
      <c r="BU140" s="464"/>
      <c r="BV140" s="451"/>
      <c r="BW140" s="452"/>
      <c r="BX140" s="465"/>
      <c r="BY140" s="463">
        <v>0</v>
      </c>
      <c r="BZ140" s="464"/>
      <c r="CA140" s="451"/>
      <c r="CB140" s="452"/>
      <c r="CC140" s="465"/>
      <c r="CD140" s="463">
        <v>0</v>
      </c>
      <c r="CE140" s="464"/>
      <c r="CF140" s="451"/>
      <c r="CG140" s="452"/>
      <c r="CH140" s="465"/>
      <c r="CI140" s="463">
        <v>0</v>
      </c>
      <c r="CJ140" s="464"/>
      <c r="CK140" s="451"/>
      <c r="CL140" s="452"/>
      <c r="CM140" s="465"/>
      <c r="CN140" s="463">
        <v>0</v>
      </c>
      <c r="CO140" s="464"/>
      <c r="CP140" s="451"/>
      <c r="CQ140" s="452"/>
      <c r="CR140" s="465"/>
      <c r="CS140" s="463">
        <v>0</v>
      </c>
      <c r="CT140" s="464"/>
      <c r="CU140" s="451"/>
      <c r="CV140" s="452"/>
      <c r="CW140" s="465"/>
      <c r="CX140" s="463">
        <v>0</v>
      </c>
      <c r="CY140" s="464"/>
      <c r="CZ140" s="451"/>
      <c r="DA140" s="452"/>
      <c r="DB140" s="465"/>
      <c r="DC140" s="463">
        <v>0</v>
      </c>
      <c r="DD140" s="464"/>
      <c r="DE140" s="451"/>
      <c r="DF140" s="452"/>
      <c r="DG140" s="465"/>
      <c r="DH140" s="463">
        <v>0</v>
      </c>
      <c r="DI140" s="464"/>
      <c r="DJ140" s="451"/>
      <c r="DK140" s="452"/>
      <c r="DL140" s="465"/>
      <c r="DM140" s="463">
        <v>0</v>
      </c>
      <c r="DN140" s="464"/>
      <c r="DO140" s="451"/>
      <c r="DP140" s="452"/>
      <c r="DQ140" s="465"/>
      <c r="DR140" s="463">
        <v>0</v>
      </c>
      <c r="DS140" s="464"/>
      <c r="DT140" s="451"/>
      <c r="DU140" s="452"/>
      <c r="DV140" s="465"/>
      <c r="DW140" s="463">
        <v>0</v>
      </c>
      <c r="DX140" s="464"/>
      <c r="DY140" s="451"/>
      <c r="DZ140" s="452"/>
      <c r="EA140" s="465"/>
      <c r="EB140" s="463">
        <v>0</v>
      </c>
      <c r="EC140" s="464"/>
      <c r="ED140" s="451"/>
      <c r="EE140" s="452"/>
      <c r="EF140" s="465"/>
      <c r="EG140" s="463">
        <v>0</v>
      </c>
      <c r="EH140" s="464"/>
      <c r="EI140" s="451"/>
      <c r="EJ140" s="452"/>
      <c r="EK140" s="465"/>
      <c r="EL140" s="463">
        <f>SUM(CD140:EG140)</f>
        <v>0</v>
      </c>
      <c r="EM140" s="212"/>
      <c r="EO140" s="13"/>
      <c r="EP140" s="14"/>
      <c r="EQ140" s="14"/>
    </row>
    <row r="141" spans="4:147" hidden="1" x14ac:dyDescent="0.2">
      <c r="D141" s="13"/>
      <c r="E141" s="198"/>
      <c r="G141" s="451"/>
      <c r="H141" s="451"/>
      <c r="I141" s="451"/>
      <c r="J141" s="452"/>
      <c r="K141" s="451"/>
      <c r="L141" s="451"/>
      <c r="M141" s="451"/>
      <c r="N141" s="451"/>
      <c r="O141" s="452"/>
      <c r="P141" s="451"/>
      <c r="Q141" s="451"/>
      <c r="R141" s="451"/>
      <c r="S141" s="451"/>
      <c r="T141" s="452"/>
      <c r="U141" s="451"/>
      <c r="V141" s="451"/>
      <c r="W141" s="451"/>
      <c r="X141" s="451"/>
      <c r="Y141" s="452"/>
      <c r="Z141" s="451"/>
      <c r="AA141" s="451"/>
      <c r="AB141" s="451"/>
      <c r="AC141" s="451"/>
      <c r="AD141" s="452"/>
      <c r="AE141" s="451"/>
      <c r="AF141" s="451"/>
      <c r="AG141" s="451"/>
      <c r="AH141" s="451"/>
      <c r="AI141" s="452"/>
      <c r="AJ141" s="451"/>
      <c r="AK141" s="451"/>
      <c r="AL141" s="451"/>
      <c r="AM141" s="451"/>
      <c r="AN141" s="452"/>
      <c r="AO141" s="451"/>
      <c r="AP141" s="451"/>
      <c r="AQ141" s="451"/>
      <c r="AR141" s="451"/>
      <c r="AS141" s="452"/>
      <c r="AT141" s="451"/>
      <c r="AU141" s="451"/>
      <c r="AV141" s="451"/>
      <c r="AW141" s="451"/>
      <c r="AX141" s="452"/>
      <c r="AY141" s="451"/>
      <c r="AZ141" s="451"/>
      <c r="BA141" s="451"/>
      <c r="BB141" s="451"/>
      <c r="BC141" s="452"/>
      <c r="BD141" s="451"/>
      <c r="BE141" s="451"/>
      <c r="BF141" s="451"/>
      <c r="BG141" s="451"/>
      <c r="BH141" s="452"/>
      <c r="BI141" s="451"/>
      <c r="BJ141" s="451"/>
      <c r="BK141" s="451"/>
      <c r="BL141" s="451"/>
      <c r="BM141" s="452"/>
      <c r="BN141" s="451"/>
      <c r="BO141" s="451"/>
      <c r="BP141" s="451"/>
      <c r="BQ141" s="451"/>
      <c r="BR141" s="452"/>
      <c r="BS141" s="451"/>
      <c r="BT141" s="451"/>
      <c r="BU141" s="451"/>
      <c r="BV141" s="451"/>
      <c r="BW141" s="452"/>
      <c r="BX141" s="451"/>
      <c r="BY141" s="451"/>
      <c r="BZ141" s="451"/>
      <c r="CA141" s="451"/>
      <c r="CB141" s="452"/>
      <c r="CC141" s="451"/>
      <c r="CD141" s="451"/>
      <c r="CE141" s="451"/>
      <c r="CF141" s="451"/>
      <c r="CG141" s="452"/>
      <c r="CH141" s="451"/>
      <c r="CI141" s="451"/>
      <c r="CJ141" s="451"/>
      <c r="CK141" s="451"/>
      <c r="CL141" s="452"/>
      <c r="CM141" s="451"/>
      <c r="CN141" s="451"/>
      <c r="CO141" s="451"/>
      <c r="CP141" s="451"/>
      <c r="CQ141" s="452"/>
      <c r="CR141" s="451"/>
      <c r="CS141" s="451"/>
      <c r="CT141" s="451"/>
      <c r="CU141" s="451"/>
      <c r="CV141" s="452"/>
      <c r="CW141" s="451"/>
      <c r="CX141" s="451"/>
      <c r="CY141" s="451"/>
      <c r="CZ141" s="451"/>
      <c r="DA141" s="452"/>
      <c r="DB141" s="451"/>
      <c r="DC141" s="451"/>
      <c r="DD141" s="451"/>
      <c r="DE141" s="451"/>
      <c r="DF141" s="452"/>
      <c r="DG141" s="451"/>
      <c r="DH141" s="451"/>
      <c r="DI141" s="451"/>
      <c r="DJ141" s="451"/>
      <c r="DK141" s="452"/>
      <c r="DL141" s="451"/>
      <c r="DM141" s="451"/>
      <c r="DN141" s="451"/>
      <c r="DO141" s="451"/>
      <c r="DP141" s="452"/>
      <c r="DQ141" s="451"/>
      <c r="DR141" s="451"/>
      <c r="DS141" s="451"/>
      <c r="DT141" s="451"/>
      <c r="DU141" s="452"/>
      <c r="DV141" s="451"/>
      <c r="DW141" s="451"/>
      <c r="DX141" s="451"/>
      <c r="DY141" s="451"/>
      <c r="DZ141" s="452"/>
      <c r="EA141" s="451"/>
      <c r="EB141" s="451"/>
      <c r="EC141" s="451"/>
      <c r="ED141" s="451"/>
      <c r="EE141" s="452"/>
      <c r="EF141" s="451"/>
      <c r="EG141" s="451"/>
      <c r="EH141" s="451"/>
      <c r="EI141" s="451"/>
      <c r="EJ141" s="452"/>
      <c r="EK141" s="451"/>
      <c r="EL141" s="451"/>
      <c r="EO141" s="13"/>
      <c r="EP141" s="14"/>
      <c r="EQ141" s="14"/>
    </row>
    <row r="142" spans="4:147" hidden="1" x14ac:dyDescent="0.2">
      <c r="D142" s="13" t="s">
        <v>441</v>
      </c>
      <c r="E142" s="198"/>
      <c r="G142" s="451">
        <f>SUM(G143:G145)</f>
        <v>0</v>
      </c>
      <c r="H142" s="451"/>
      <c r="I142" s="451"/>
      <c r="J142" s="452"/>
      <c r="K142" s="451"/>
      <c r="L142" s="451">
        <f>SUM(L143:L145)</f>
        <v>0</v>
      </c>
      <c r="M142" s="451"/>
      <c r="N142" s="451"/>
      <c r="O142" s="452"/>
      <c r="P142" s="451"/>
      <c r="Q142" s="451">
        <f>SUM(Q143:Q145)</f>
        <v>0</v>
      </c>
      <c r="R142" s="451"/>
      <c r="S142" s="451"/>
      <c r="T142" s="452"/>
      <c r="U142" s="451"/>
      <c r="V142" s="451">
        <f>SUM(V143:V145)</f>
        <v>0</v>
      </c>
      <c r="W142" s="451"/>
      <c r="X142" s="451"/>
      <c r="Y142" s="452"/>
      <c r="Z142" s="451"/>
      <c r="AA142" s="451">
        <f>SUM(AA143:AA145)</f>
        <v>0</v>
      </c>
      <c r="AB142" s="451"/>
      <c r="AC142" s="451"/>
      <c r="AD142" s="452"/>
      <c r="AE142" s="451"/>
      <c r="AF142" s="451">
        <f>SUM(AF143:AF145)</f>
        <v>0</v>
      </c>
      <c r="AG142" s="451"/>
      <c r="AH142" s="451"/>
      <c r="AI142" s="452"/>
      <c r="AJ142" s="451"/>
      <c r="AK142" s="451">
        <f>SUM(AK143:AK145)</f>
        <v>0</v>
      </c>
      <c r="AL142" s="451"/>
      <c r="AM142" s="451"/>
      <c r="AN142" s="452"/>
      <c r="AO142" s="451"/>
      <c r="AP142" s="451">
        <f>SUM(AP143:AP145)</f>
        <v>0</v>
      </c>
      <c r="AQ142" s="451"/>
      <c r="AR142" s="451"/>
      <c r="AS142" s="452"/>
      <c r="AT142" s="451"/>
      <c r="AU142" s="451">
        <f>SUM(AU143:AU145)</f>
        <v>0</v>
      </c>
      <c r="AV142" s="451"/>
      <c r="AW142" s="451"/>
      <c r="AX142" s="452"/>
      <c r="AY142" s="451"/>
      <c r="AZ142" s="451">
        <f>SUM(AZ143:AZ145)</f>
        <v>0</v>
      </c>
      <c r="BA142" s="451"/>
      <c r="BB142" s="451"/>
      <c r="BC142" s="452"/>
      <c r="BD142" s="451"/>
      <c r="BE142" s="451">
        <f>SUM(BE143:BE145)</f>
        <v>0</v>
      </c>
      <c r="BF142" s="451"/>
      <c r="BG142" s="451"/>
      <c r="BH142" s="452"/>
      <c r="BI142" s="451"/>
      <c r="BJ142" s="451">
        <f>SUM(BJ143:BJ145)</f>
        <v>0</v>
      </c>
      <c r="BK142" s="451"/>
      <c r="BL142" s="451"/>
      <c r="BM142" s="452"/>
      <c r="BN142" s="451"/>
      <c r="BO142" s="451">
        <f>SUM(BO143:BO145)</f>
        <v>0</v>
      </c>
      <c r="BP142" s="451"/>
      <c r="BQ142" s="451"/>
      <c r="BR142" s="452"/>
      <c r="BS142" s="451"/>
      <c r="BT142" s="451">
        <f>SUM(BT143:BT145)</f>
        <v>0</v>
      </c>
      <c r="BU142" s="451"/>
      <c r="BV142" s="451"/>
      <c r="BW142" s="452"/>
      <c r="BX142" s="451"/>
      <c r="BY142" s="451">
        <f>SUM(BY143:BY145)</f>
        <v>0</v>
      </c>
      <c r="BZ142" s="451"/>
      <c r="CA142" s="451"/>
      <c r="CB142" s="452"/>
      <c r="CC142" s="451"/>
      <c r="CD142" s="451">
        <f>SUM(CD143:CD145)</f>
        <v>0</v>
      </c>
      <c r="CE142" s="451"/>
      <c r="CF142" s="451"/>
      <c r="CG142" s="452"/>
      <c r="CH142" s="451"/>
      <c r="CI142" s="451">
        <f>SUM(CI143:CI145)</f>
        <v>0</v>
      </c>
      <c r="CJ142" s="451"/>
      <c r="CK142" s="451"/>
      <c r="CL142" s="452"/>
      <c r="CM142" s="451"/>
      <c r="CN142" s="451">
        <f>SUM(CN143:CN145)</f>
        <v>0</v>
      </c>
      <c r="CO142" s="451"/>
      <c r="CP142" s="451"/>
      <c r="CQ142" s="452"/>
      <c r="CR142" s="451"/>
      <c r="CS142" s="451">
        <f>SUM(CS143:CS145)</f>
        <v>0</v>
      </c>
      <c r="CT142" s="451"/>
      <c r="CU142" s="451"/>
      <c r="CV142" s="452"/>
      <c r="CW142" s="451"/>
      <c r="CX142" s="451">
        <f>SUM(CX143:CX145)</f>
        <v>0</v>
      </c>
      <c r="CY142" s="451"/>
      <c r="CZ142" s="451"/>
      <c r="DA142" s="452"/>
      <c r="DB142" s="451"/>
      <c r="DC142" s="451">
        <f>SUM(DC143:DC145)</f>
        <v>0</v>
      </c>
      <c r="DD142" s="451"/>
      <c r="DE142" s="451"/>
      <c r="DF142" s="452"/>
      <c r="DG142" s="451"/>
      <c r="DH142" s="451">
        <f>SUM(DH143:DH145)</f>
        <v>0</v>
      </c>
      <c r="DI142" s="451"/>
      <c r="DJ142" s="451"/>
      <c r="DK142" s="452"/>
      <c r="DL142" s="451"/>
      <c r="DM142" s="451">
        <f>SUM(DM143:DM145)</f>
        <v>0</v>
      </c>
      <c r="DN142" s="451"/>
      <c r="DO142" s="451"/>
      <c r="DP142" s="452"/>
      <c r="DQ142" s="451"/>
      <c r="DR142" s="451">
        <f>SUM(DR143:DR145)</f>
        <v>0</v>
      </c>
      <c r="DS142" s="451"/>
      <c r="DT142" s="451"/>
      <c r="DU142" s="452"/>
      <c r="DV142" s="451"/>
      <c r="DW142" s="451">
        <f>SUM(DW143:DW145)</f>
        <v>0</v>
      </c>
      <c r="DX142" s="451"/>
      <c r="DY142" s="451"/>
      <c r="DZ142" s="452"/>
      <c r="EA142" s="451"/>
      <c r="EB142" s="451">
        <f>SUM(EB143:EB145)</f>
        <v>0</v>
      </c>
      <c r="EC142" s="451"/>
      <c r="ED142" s="451"/>
      <c r="EE142" s="452"/>
      <c r="EF142" s="451"/>
      <c r="EG142" s="451">
        <f>SUM(EG143:EG145)</f>
        <v>0</v>
      </c>
      <c r="EH142" s="451"/>
      <c r="EI142" s="451"/>
      <c r="EJ142" s="452"/>
      <c r="EK142" s="451"/>
      <c r="EL142" s="451">
        <f>SUM(EL143:EL145)</f>
        <v>0</v>
      </c>
      <c r="EO142" s="13"/>
      <c r="EP142" s="14"/>
      <c r="EQ142" s="14"/>
    </row>
    <row r="143" spans="4:147" hidden="1" x14ac:dyDescent="0.2">
      <c r="D143" s="13" t="s">
        <v>347</v>
      </c>
      <c r="E143" s="198"/>
      <c r="F143" s="374"/>
      <c r="G143" s="449">
        <v>0</v>
      </c>
      <c r="H143" s="450"/>
      <c r="I143" s="451"/>
      <c r="J143" s="452"/>
      <c r="K143" s="453"/>
      <c r="L143" s="449">
        <v>0</v>
      </c>
      <c r="M143" s="450"/>
      <c r="N143" s="451"/>
      <c r="O143" s="452"/>
      <c r="P143" s="453"/>
      <c r="Q143" s="449">
        <v>0</v>
      </c>
      <c r="R143" s="450"/>
      <c r="S143" s="451"/>
      <c r="T143" s="452"/>
      <c r="U143" s="453"/>
      <c r="V143" s="449">
        <v>0</v>
      </c>
      <c r="W143" s="450"/>
      <c r="X143" s="451"/>
      <c r="Y143" s="452"/>
      <c r="Z143" s="453"/>
      <c r="AA143" s="449">
        <v>0</v>
      </c>
      <c r="AB143" s="450"/>
      <c r="AC143" s="451"/>
      <c r="AD143" s="452"/>
      <c r="AE143" s="453"/>
      <c r="AF143" s="449">
        <v>0</v>
      </c>
      <c r="AG143" s="450"/>
      <c r="AH143" s="451"/>
      <c r="AI143" s="452"/>
      <c r="AJ143" s="453"/>
      <c r="AK143" s="449">
        <v>0</v>
      </c>
      <c r="AL143" s="450"/>
      <c r="AM143" s="451"/>
      <c r="AN143" s="452"/>
      <c r="AO143" s="453"/>
      <c r="AP143" s="449">
        <v>0</v>
      </c>
      <c r="AQ143" s="450"/>
      <c r="AR143" s="451"/>
      <c r="AS143" s="452"/>
      <c r="AT143" s="453"/>
      <c r="AU143" s="449">
        <v>0</v>
      </c>
      <c r="AV143" s="450"/>
      <c r="AW143" s="451"/>
      <c r="AX143" s="452"/>
      <c r="AY143" s="453"/>
      <c r="AZ143" s="449">
        <v>0</v>
      </c>
      <c r="BA143" s="450"/>
      <c r="BB143" s="451"/>
      <c r="BC143" s="452"/>
      <c r="BD143" s="453"/>
      <c r="BE143" s="449">
        <v>0</v>
      </c>
      <c r="BF143" s="450"/>
      <c r="BG143" s="451"/>
      <c r="BH143" s="452"/>
      <c r="BI143" s="453"/>
      <c r="BJ143" s="449">
        <v>0</v>
      </c>
      <c r="BK143" s="450"/>
      <c r="BL143" s="451"/>
      <c r="BM143" s="452"/>
      <c r="BN143" s="453"/>
      <c r="BO143" s="449">
        <v>0</v>
      </c>
      <c r="BP143" s="450"/>
      <c r="BQ143" s="451"/>
      <c r="BR143" s="452"/>
      <c r="BS143" s="453"/>
      <c r="BT143" s="449">
        <f>SUM(L143:BO143)</f>
        <v>0</v>
      </c>
      <c r="BU143" s="450"/>
      <c r="BV143" s="451"/>
      <c r="BW143" s="452"/>
      <c r="BX143" s="453"/>
      <c r="BY143" s="449">
        <v>0</v>
      </c>
      <c r="BZ143" s="450"/>
      <c r="CA143" s="451"/>
      <c r="CB143" s="452"/>
      <c r="CC143" s="453"/>
      <c r="CD143" s="449">
        <v>0</v>
      </c>
      <c r="CE143" s="450"/>
      <c r="CF143" s="451"/>
      <c r="CG143" s="452"/>
      <c r="CH143" s="453"/>
      <c r="CI143" s="449">
        <v>0</v>
      </c>
      <c r="CJ143" s="450"/>
      <c r="CK143" s="451"/>
      <c r="CL143" s="452"/>
      <c r="CM143" s="453"/>
      <c r="CN143" s="449">
        <v>0</v>
      </c>
      <c r="CO143" s="450"/>
      <c r="CP143" s="451"/>
      <c r="CQ143" s="452"/>
      <c r="CR143" s="453"/>
      <c r="CS143" s="449">
        <v>0</v>
      </c>
      <c r="CT143" s="450"/>
      <c r="CU143" s="451"/>
      <c r="CV143" s="452"/>
      <c r="CW143" s="453"/>
      <c r="CX143" s="449">
        <v>0</v>
      </c>
      <c r="CY143" s="450"/>
      <c r="CZ143" s="451"/>
      <c r="DA143" s="452"/>
      <c r="DB143" s="453"/>
      <c r="DC143" s="449">
        <v>0</v>
      </c>
      <c r="DD143" s="450"/>
      <c r="DE143" s="451"/>
      <c r="DF143" s="452"/>
      <c r="DG143" s="453"/>
      <c r="DH143" s="449">
        <v>0</v>
      </c>
      <c r="DI143" s="450"/>
      <c r="DJ143" s="451"/>
      <c r="DK143" s="452"/>
      <c r="DL143" s="453"/>
      <c r="DM143" s="449">
        <v>0</v>
      </c>
      <c r="DN143" s="450"/>
      <c r="DO143" s="451"/>
      <c r="DP143" s="452"/>
      <c r="DQ143" s="453"/>
      <c r="DR143" s="449">
        <v>0</v>
      </c>
      <c r="DS143" s="450"/>
      <c r="DT143" s="451"/>
      <c r="DU143" s="452"/>
      <c r="DV143" s="453"/>
      <c r="DW143" s="449">
        <v>0</v>
      </c>
      <c r="DX143" s="450"/>
      <c r="DY143" s="451"/>
      <c r="DZ143" s="452"/>
      <c r="EA143" s="453"/>
      <c r="EB143" s="449">
        <v>0</v>
      </c>
      <c r="EC143" s="450"/>
      <c r="ED143" s="451"/>
      <c r="EE143" s="452"/>
      <c r="EF143" s="453"/>
      <c r="EG143" s="449">
        <v>0</v>
      </c>
      <c r="EH143" s="450"/>
      <c r="EI143" s="451"/>
      <c r="EJ143" s="452"/>
      <c r="EK143" s="453"/>
      <c r="EL143" s="449">
        <f>SUM(CD143:EG143)</f>
        <v>0</v>
      </c>
      <c r="EM143" s="375"/>
      <c r="EO143" s="13"/>
      <c r="EP143" s="14"/>
      <c r="EQ143" s="14"/>
    </row>
    <row r="144" spans="4:147" hidden="1" x14ac:dyDescent="0.2">
      <c r="D144" s="13" t="s">
        <v>436</v>
      </c>
      <c r="E144" s="198"/>
      <c r="F144" s="198"/>
      <c r="G144" s="451">
        <v>0</v>
      </c>
      <c r="H144" s="455"/>
      <c r="I144" s="451"/>
      <c r="J144" s="452"/>
      <c r="K144" s="452"/>
      <c r="L144" s="451">
        <v>0</v>
      </c>
      <c r="M144" s="455"/>
      <c r="N144" s="451"/>
      <c r="O144" s="452"/>
      <c r="P144" s="452"/>
      <c r="Q144" s="451">
        <v>0</v>
      </c>
      <c r="R144" s="455"/>
      <c r="S144" s="451"/>
      <c r="T144" s="452"/>
      <c r="U144" s="452"/>
      <c r="V144" s="451">
        <v>0</v>
      </c>
      <c r="W144" s="455"/>
      <c r="X144" s="451"/>
      <c r="Y144" s="452"/>
      <c r="Z144" s="452"/>
      <c r="AA144" s="451">
        <v>0</v>
      </c>
      <c r="AB144" s="455"/>
      <c r="AC144" s="451"/>
      <c r="AD144" s="452"/>
      <c r="AE144" s="452"/>
      <c r="AF144" s="451">
        <v>0</v>
      </c>
      <c r="AG144" s="455"/>
      <c r="AH144" s="451"/>
      <c r="AI144" s="452"/>
      <c r="AJ144" s="452"/>
      <c r="AK144" s="451">
        <v>0</v>
      </c>
      <c r="AL144" s="455"/>
      <c r="AM144" s="451"/>
      <c r="AN144" s="452"/>
      <c r="AO144" s="452"/>
      <c r="AP144" s="451">
        <v>0</v>
      </c>
      <c r="AQ144" s="455"/>
      <c r="AR144" s="451"/>
      <c r="AS144" s="452"/>
      <c r="AT144" s="452"/>
      <c r="AU144" s="451">
        <v>0</v>
      </c>
      <c r="AV144" s="455"/>
      <c r="AW144" s="451"/>
      <c r="AX144" s="452"/>
      <c r="AY144" s="452"/>
      <c r="AZ144" s="451">
        <v>0</v>
      </c>
      <c r="BA144" s="455"/>
      <c r="BB144" s="451"/>
      <c r="BC144" s="452"/>
      <c r="BD144" s="452"/>
      <c r="BE144" s="451">
        <v>0</v>
      </c>
      <c r="BF144" s="455"/>
      <c r="BG144" s="451"/>
      <c r="BH144" s="452"/>
      <c r="BI144" s="452"/>
      <c r="BJ144" s="451">
        <v>0</v>
      </c>
      <c r="BK144" s="455"/>
      <c r="BL144" s="451"/>
      <c r="BM144" s="452"/>
      <c r="BN144" s="452"/>
      <c r="BO144" s="451">
        <v>0</v>
      </c>
      <c r="BP144" s="455"/>
      <c r="BQ144" s="451"/>
      <c r="BR144" s="452"/>
      <c r="BS144" s="452"/>
      <c r="BT144" s="451">
        <f>SUM(L144:BO144)</f>
        <v>0</v>
      </c>
      <c r="BU144" s="455"/>
      <c r="BV144" s="451"/>
      <c r="BW144" s="452"/>
      <c r="BX144" s="452"/>
      <c r="BY144" s="451">
        <v>0</v>
      </c>
      <c r="BZ144" s="455"/>
      <c r="CA144" s="451"/>
      <c r="CB144" s="452"/>
      <c r="CC144" s="452"/>
      <c r="CD144" s="451">
        <v>0</v>
      </c>
      <c r="CE144" s="455"/>
      <c r="CF144" s="451"/>
      <c r="CG144" s="452"/>
      <c r="CH144" s="452"/>
      <c r="CI144" s="451">
        <v>0</v>
      </c>
      <c r="CJ144" s="455"/>
      <c r="CK144" s="451"/>
      <c r="CL144" s="452"/>
      <c r="CM144" s="452"/>
      <c r="CN144" s="451">
        <v>0</v>
      </c>
      <c r="CO144" s="455"/>
      <c r="CP144" s="451"/>
      <c r="CQ144" s="452"/>
      <c r="CR144" s="452"/>
      <c r="CS144" s="451">
        <v>0</v>
      </c>
      <c r="CT144" s="455"/>
      <c r="CU144" s="451"/>
      <c r="CV144" s="452"/>
      <c r="CW144" s="452"/>
      <c r="CX144" s="451">
        <v>0</v>
      </c>
      <c r="CY144" s="455"/>
      <c r="CZ144" s="451"/>
      <c r="DA144" s="452"/>
      <c r="DB144" s="452"/>
      <c r="DC144" s="451">
        <v>0</v>
      </c>
      <c r="DD144" s="455"/>
      <c r="DE144" s="451"/>
      <c r="DF144" s="452"/>
      <c r="DG144" s="452"/>
      <c r="DH144" s="451">
        <v>0</v>
      </c>
      <c r="DI144" s="455"/>
      <c r="DJ144" s="451"/>
      <c r="DK144" s="452"/>
      <c r="DL144" s="452"/>
      <c r="DM144" s="451">
        <v>0</v>
      </c>
      <c r="DN144" s="455"/>
      <c r="DO144" s="451"/>
      <c r="DP144" s="452"/>
      <c r="DQ144" s="452"/>
      <c r="DR144" s="451">
        <v>0</v>
      </c>
      <c r="DS144" s="455"/>
      <c r="DT144" s="451"/>
      <c r="DU144" s="452"/>
      <c r="DV144" s="452"/>
      <c r="DW144" s="451">
        <v>0</v>
      </c>
      <c r="DX144" s="455"/>
      <c r="DY144" s="451"/>
      <c r="DZ144" s="452"/>
      <c r="EA144" s="452"/>
      <c r="EB144" s="451">
        <v>0</v>
      </c>
      <c r="EC144" s="455"/>
      <c r="ED144" s="451"/>
      <c r="EE144" s="452"/>
      <c r="EF144" s="452"/>
      <c r="EG144" s="451">
        <v>0</v>
      </c>
      <c r="EH144" s="455"/>
      <c r="EI144" s="451"/>
      <c r="EJ144" s="452"/>
      <c r="EK144" s="452"/>
      <c r="EL144" s="451">
        <f>SUM(CD144:EG144)</f>
        <v>0</v>
      </c>
      <c r="EM144" s="189"/>
      <c r="EO144" s="13"/>
      <c r="EP144" s="14"/>
      <c r="EQ144" s="14"/>
    </row>
    <row r="145" spans="4:147" hidden="1" x14ac:dyDescent="0.2">
      <c r="D145" s="13" t="s">
        <v>437</v>
      </c>
      <c r="E145" s="198"/>
      <c r="F145" s="385"/>
      <c r="G145" s="463">
        <v>0</v>
      </c>
      <c r="H145" s="464"/>
      <c r="I145" s="451"/>
      <c r="J145" s="452"/>
      <c r="K145" s="465"/>
      <c r="L145" s="463">
        <v>0</v>
      </c>
      <c r="M145" s="464"/>
      <c r="N145" s="451"/>
      <c r="O145" s="452"/>
      <c r="P145" s="465"/>
      <c r="Q145" s="463">
        <v>0</v>
      </c>
      <c r="R145" s="464"/>
      <c r="S145" s="451"/>
      <c r="T145" s="452"/>
      <c r="U145" s="465"/>
      <c r="V145" s="463">
        <v>0</v>
      </c>
      <c r="W145" s="464"/>
      <c r="X145" s="451"/>
      <c r="Y145" s="452"/>
      <c r="Z145" s="465"/>
      <c r="AA145" s="463">
        <v>0</v>
      </c>
      <c r="AB145" s="464"/>
      <c r="AC145" s="451"/>
      <c r="AD145" s="452"/>
      <c r="AE145" s="465"/>
      <c r="AF145" s="463">
        <v>0</v>
      </c>
      <c r="AG145" s="464"/>
      <c r="AH145" s="451"/>
      <c r="AI145" s="452"/>
      <c r="AJ145" s="465"/>
      <c r="AK145" s="463">
        <v>0</v>
      </c>
      <c r="AL145" s="464"/>
      <c r="AM145" s="451"/>
      <c r="AN145" s="452"/>
      <c r="AO145" s="465"/>
      <c r="AP145" s="463">
        <v>0</v>
      </c>
      <c r="AQ145" s="464"/>
      <c r="AR145" s="451"/>
      <c r="AS145" s="452"/>
      <c r="AT145" s="465"/>
      <c r="AU145" s="463">
        <v>0</v>
      </c>
      <c r="AV145" s="464"/>
      <c r="AW145" s="451"/>
      <c r="AX145" s="452"/>
      <c r="AY145" s="465"/>
      <c r="AZ145" s="463">
        <v>0</v>
      </c>
      <c r="BA145" s="464"/>
      <c r="BB145" s="451"/>
      <c r="BC145" s="452"/>
      <c r="BD145" s="465"/>
      <c r="BE145" s="463">
        <v>0</v>
      </c>
      <c r="BF145" s="464"/>
      <c r="BG145" s="451"/>
      <c r="BH145" s="452"/>
      <c r="BI145" s="465"/>
      <c r="BJ145" s="463">
        <v>0</v>
      </c>
      <c r="BK145" s="464"/>
      <c r="BL145" s="451"/>
      <c r="BM145" s="452"/>
      <c r="BN145" s="465"/>
      <c r="BO145" s="463">
        <v>0</v>
      </c>
      <c r="BP145" s="464"/>
      <c r="BQ145" s="451"/>
      <c r="BR145" s="452"/>
      <c r="BS145" s="465"/>
      <c r="BT145" s="463">
        <f>SUM(L145:BO145)</f>
        <v>0</v>
      </c>
      <c r="BU145" s="464"/>
      <c r="BV145" s="451"/>
      <c r="BW145" s="452"/>
      <c r="BX145" s="465"/>
      <c r="BY145" s="463">
        <v>0</v>
      </c>
      <c r="BZ145" s="464"/>
      <c r="CA145" s="451"/>
      <c r="CB145" s="452"/>
      <c r="CC145" s="465"/>
      <c r="CD145" s="463">
        <v>0</v>
      </c>
      <c r="CE145" s="464"/>
      <c r="CF145" s="451"/>
      <c r="CG145" s="452"/>
      <c r="CH145" s="465"/>
      <c r="CI145" s="463">
        <v>0</v>
      </c>
      <c r="CJ145" s="464"/>
      <c r="CK145" s="451"/>
      <c r="CL145" s="452"/>
      <c r="CM145" s="465"/>
      <c r="CN145" s="463">
        <v>0</v>
      </c>
      <c r="CO145" s="464"/>
      <c r="CP145" s="451"/>
      <c r="CQ145" s="452"/>
      <c r="CR145" s="465"/>
      <c r="CS145" s="463">
        <v>0</v>
      </c>
      <c r="CT145" s="464"/>
      <c r="CU145" s="451"/>
      <c r="CV145" s="452"/>
      <c r="CW145" s="465"/>
      <c r="CX145" s="463">
        <v>0</v>
      </c>
      <c r="CY145" s="464"/>
      <c r="CZ145" s="451"/>
      <c r="DA145" s="452"/>
      <c r="DB145" s="465"/>
      <c r="DC145" s="463">
        <v>0</v>
      </c>
      <c r="DD145" s="464"/>
      <c r="DE145" s="451"/>
      <c r="DF145" s="452"/>
      <c r="DG145" s="465"/>
      <c r="DH145" s="463">
        <v>0</v>
      </c>
      <c r="DI145" s="464"/>
      <c r="DJ145" s="451"/>
      <c r="DK145" s="452"/>
      <c r="DL145" s="465"/>
      <c r="DM145" s="463">
        <v>0</v>
      </c>
      <c r="DN145" s="464"/>
      <c r="DO145" s="451"/>
      <c r="DP145" s="452"/>
      <c r="DQ145" s="465"/>
      <c r="DR145" s="463">
        <v>0</v>
      </c>
      <c r="DS145" s="464"/>
      <c r="DT145" s="451"/>
      <c r="DU145" s="452"/>
      <c r="DV145" s="465"/>
      <c r="DW145" s="463">
        <v>0</v>
      </c>
      <c r="DX145" s="464"/>
      <c r="DY145" s="451"/>
      <c r="DZ145" s="452"/>
      <c r="EA145" s="465"/>
      <c r="EB145" s="463">
        <v>0</v>
      </c>
      <c r="EC145" s="464"/>
      <c r="ED145" s="451"/>
      <c r="EE145" s="452"/>
      <c r="EF145" s="465"/>
      <c r="EG145" s="463">
        <v>0</v>
      </c>
      <c r="EH145" s="464"/>
      <c r="EI145" s="451"/>
      <c r="EJ145" s="452"/>
      <c r="EK145" s="465"/>
      <c r="EL145" s="463">
        <f>SUM(CD145:EG145)</f>
        <v>0</v>
      </c>
      <c r="EM145" s="212"/>
      <c r="EO145" s="13"/>
      <c r="EP145" s="14"/>
      <c r="EQ145" s="14"/>
    </row>
    <row r="146" spans="4:147" hidden="1" x14ac:dyDescent="0.2">
      <c r="D146" s="13"/>
      <c r="E146" s="198"/>
      <c r="G146" s="451"/>
      <c r="H146" s="451"/>
      <c r="I146" s="451"/>
      <c r="J146" s="452"/>
      <c r="K146" s="451"/>
      <c r="L146" s="451"/>
      <c r="M146" s="451"/>
      <c r="N146" s="451"/>
      <c r="O146" s="452"/>
      <c r="P146" s="451"/>
      <c r="Q146" s="451"/>
      <c r="R146" s="451"/>
      <c r="S146" s="451"/>
      <c r="T146" s="452"/>
      <c r="U146" s="451"/>
      <c r="V146" s="451"/>
      <c r="W146" s="451"/>
      <c r="X146" s="451"/>
      <c r="Y146" s="452"/>
      <c r="Z146" s="451"/>
      <c r="AA146" s="451"/>
      <c r="AB146" s="451"/>
      <c r="AC146" s="451"/>
      <c r="AD146" s="452"/>
      <c r="AE146" s="451"/>
      <c r="AF146" s="451"/>
      <c r="AG146" s="451"/>
      <c r="AH146" s="451"/>
      <c r="AI146" s="452"/>
      <c r="AJ146" s="451"/>
      <c r="AK146" s="451"/>
      <c r="AL146" s="451"/>
      <c r="AM146" s="451"/>
      <c r="AN146" s="452"/>
      <c r="AO146" s="451"/>
      <c r="AP146" s="451"/>
      <c r="AQ146" s="451"/>
      <c r="AR146" s="451"/>
      <c r="AS146" s="452"/>
      <c r="AT146" s="451"/>
      <c r="AU146" s="451"/>
      <c r="AV146" s="451"/>
      <c r="AW146" s="451"/>
      <c r="AX146" s="452"/>
      <c r="AY146" s="451"/>
      <c r="AZ146" s="451"/>
      <c r="BA146" s="451"/>
      <c r="BB146" s="451"/>
      <c r="BC146" s="452"/>
      <c r="BD146" s="451"/>
      <c r="BE146" s="451"/>
      <c r="BF146" s="451"/>
      <c r="BG146" s="451"/>
      <c r="BH146" s="452"/>
      <c r="BI146" s="451"/>
      <c r="BJ146" s="451"/>
      <c r="BK146" s="451"/>
      <c r="BL146" s="451"/>
      <c r="BM146" s="452"/>
      <c r="BN146" s="451"/>
      <c r="BO146" s="451"/>
      <c r="BP146" s="451"/>
      <c r="BQ146" s="451"/>
      <c r="BR146" s="452"/>
      <c r="BS146" s="451"/>
      <c r="BT146" s="451"/>
      <c r="BU146" s="451"/>
      <c r="BV146" s="451"/>
      <c r="BW146" s="452"/>
      <c r="BX146" s="451"/>
      <c r="BY146" s="451"/>
      <c r="BZ146" s="451"/>
      <c r="CA146" s="451"/>
      <c r="CB146" s="452"/>
      <c r="CC146" s="451"/>
      <c r="CD146" s="451"/>
      <c r="CE146" s="451"/>
      <c r="CF146" s="451"/>
      <c r="CG146" s="452"/>
      <c r="CH146" s="451"/>
      <c r="CI146" s="451"/>
      <c r="CJ146" s="451"/>
      <c r="CK146" s="451"/>
      <c r="CL146" s="452"/>
      <c r="CM146" s="451"/>
      <c r="CN146" s="451"/>
      <c r="CO146" s="451"/>
      <c r="CP146" s="451"/>
      <c r="CQ146" s="452"/>
      <c r="CR146" s="451"/>
      <c r="CS146" s="451"/>
      <c r="CT146" s="451"/>
      <c r="CU146" s="451"/>
      <c r="CV146" s="452"/>
      <c r="CW146" s="451"/>
      <c r="CX146" s="451"/>
      <c r="CY146" s="451"/>
      <c r="CZ146" s="451"/>
      <c r="DA146" s="452"/>
      <c r="DB146" s="451"/>
      <c r="DC146" s="451"/>
      <c r="DD146" s="451"/>
      <c r="DE146" s="451"/>
      <c r="DF146" s="452"/>
      <c r="DG146" s="451"/>
      <c r="DH146" s="451"/>
      <c r="DI146" s="451"/>
      <c r="DJ146" s="451"/>
      <c r="DK146" s="452"/>
      <c r="DL146" s="451"/>
      <c r="DM146" s="451"/>
      <c r="DN146" s="451"/>
      <c r="DO146" s="451"/>
      <c r="DP146" s="452"/>
      <c r="DQ146" s="451"/>
      <c r="DR146" s="451"/>
      <c r="DS146" s="451"/>
      <c r="DT146" s="451"/>
      <c r="DU146" s="452"/>
      <c r="DV146" s="451"/>
      <c r="DW146" s="451"/>
      <c r="DX146" s="451"/>
      <c r="DY146" s="451"/>
      <c r="DZ146" s="452"/>
      <c r="EA146" s="451"/>
      <c r="EB146" s="451"/>
      <c r="EC146" s="451"/>
      <c r="ED146" s="451"/>
      <c r="EE146" s="452"/>
      <c r="EF146" s="451"/>
      <c r="EG146" s="451"/>
      <c r="EH146" s="451"/>
      <c r="EI146" s="451"/>
      <c r="EJ146" s="452"/>
      <c r="EK146" s="451"/>
      <c r="EL146" s="451"/>
      <c r="EO146" s="13"/>
      <c r="EP146" s="14"/>
      <c r="EQ146" s="14"/>
    </row>
    <row r="147" spans="4:147" hidden="1" x14ac:dyDescent="0.2">
      <c r="D147" s="13" t="s">
        <v>442</v>
      </c>
      <c r="E147" s="198"/>
      <c r="G147" s="451">
        <f>SUM(G148:G150)</f>
        <v>0</v>
      </c>
      <c r="H147" s="451"/>
      <c r="I147" s="451"/>
      <c r="J147" s="452"/>
      <c r="K147" s="451"/>
      <c r="L147" s="451">
        <f>SUM(L148:L150)</f>
        <v>0</v>
      </c>
      <c r="M147" s="451"/>
      <c r="N147" s="451"/>
      <c r="O147" s="452"/>
      <c r="P147" s="451"/>
      <c r="Q147" s="451">
        <f>SUM(Q148:Q150)</f>
        <v>0</v>
      </c>
      <c r="R147" s="451"/>
      <c r="S147" s="451"/>
      <c r="T147" s="452"/>
      <c r="U147" s="451"/>
      <c r="V147" s="451">
        <f>SUM(V148:V150)</f>
        <v>0</v>
      </c>
      <c r="W147" s="451"/>
      <c r="X147" s="451"/>
      <c r="Y147" s="452"/>
      <c r="Z147" s="451"/>
      <c r="AA147" s="451">
        <f>SUM(AA148:AA150)</f>
        <v>0</v>
      </c>
      <c r="AB147" s="451"/>
      <c r="AC147" s="451"/>
      <c r="AD147" s="452"/>
      <c r="AE147" s="451"/>
      <c r="AF147" s="451">
        <f>SUM(AF148:AF150)</f>
        <v>0</v>
      </c>
      <c r="AG147" s="451"/>
      <c r="AH147" s="451"/>
      <c r="AI147" s="452"/>
      <c r="AJ147" s="451"/>
      <c r="AK147" s="451">
        <f>SUM(AK148:AK150)</f>
        <v>0</v>
      </c>
      <c r="AL147" s="451"/>
      <c r="AM147" s="451"/>
      <c r="AN147" s="452"/>
      <c r="AO147" s="451"/>
      <c r="AP147" s="451">
        <f>SUM(AP148:AP150)</f>
        <v>0</v>
      </c>
      <c r="AQ147" s="451"/>
      <c r="AR147" s="451"/>
      <c r="AS147" s="452"/>
      <c r="AT147" s="451"/>
      <c r="AU147" s="451">
        <f>SUM(AU148:AU150)</f>
        <v>0</v>
      </c>
      <c r="AV147" s="451"/>
      <c r="AW147" s="451"/>
      <c r="AX147" s="452"/>
      <c r="AY147" s="451"/>
      <c r="AZ147" s="451">
        <f>SUM(AZ148:AZ150)</f>
        <v>0</v>
      </c>
      <c r="BA147" s="451"/>
      <c r="BB147" s="451"/>
      <c r="BC147" s="452"/>
      <c r="BD147" s="451"/>
      <c r="BE147" s="451">
        <f>SUM(BE148:BE150)</f>
        <v>0</v>
      </c>
      <c r="BF147" s="451"/>
      <c r="BG147" s="451"/>
      <c r="BH147" s="452"/>
      <c r="BI147" s="451"/>
      <c r="BJ147" s="451">
        <f>SUM(BJ148:BJ150)</f>
        <v>0</v>
      </c>
      <c r="BK147" s="451"/>
      <c r="BL147" s="451"/>
      <c r="BM147" s="452"/>
      <c r="BN147" s="451"/>
      <c r="BO147" s="451">
        <f>SUM(BO148:BO150)</f>
        <v>0</v>
      </c>
      <c r="BP147" s="451"/>
      <c r="BQ147" s="451"/>
      <c r="BR147" s="452"/>
      <c r="BS147" s="451"/>
      <c r="BT147" s="451">
        <f>SUM(BT148:BT150)</f>
        <v>0</v>
      </c>
      <c r="BU147" s="451"/>
      <c r="BV147" s="451"/>
      <c r="BW147" s="452"/>
      <c r="BX147" s="451"/>
      <c r="BY147" s="451">
        <f>SUM(BY148:BY150)</f>
        <v>0</v>
      </c>
      <c r="BZ147" s="451"/>
      <c r="CA147" s="451"/>
      <c r="CB147" s="452"/>
      <c r="CC147" s="451"/>
      <c r="CD147" s="451">
        <f>SUM(CD148:CD150)</f>
        <v>0</v>
      </c>
      <c r="CE147" s="451"/>
      <c r="CF147" s="451"/>
      <c r="CG147" s="452"/>
      <c r="CH147" s="451"/>
      <c r="CI147" s="451">
        <f>SUM(CI148:CI150)</f>
        <v>0</v>
      </c>
      <c r="CJ147" s="451"/>
      <c r="CK147" s="451"/>
      <c r="CL147" s="452"/>
      <c r="CM147" s="451"/>
      <c r="CN147" s="451">
        <f>SUM(CN148:CN150)</f>
        <v>0</v>
      </c>
      <c r="CO147" s="451"/>
      <c r="CP147" s="451"/>
      <c r="CQ147" s="452"/>
      <c r="CR147" s="451"/>
      <c r="CS147" s="451">
        <f>SUM(CS148:CS150)</f>
        <v>0</v>
      </c>
      <c r="CT147" s="451"/>
      <c r="CU147" s="451"/>
      <c r="CV147" s="452"/>
      <c r="CW147" s="451"/>
      <c r="CX147" s="451">
        <f>SUM(CX148:CX150)</f>
        <v>0</v>
      </c>
      <c r="CY147" s="451"/>
      <c r="CZ147" s="451"/>
      <c r="DA147" s="452"/>
      <c r="DB147" s="451"/>
      <c r="DC147" s="451">
        <f>SUM(DC148:DC150)</f>
        <v>0</v>
      </c>
      <c r="DD147" s="451"/>
      <c r="DE147" s="451"/>
      <c r="DF147" s="452"/>
      <c r="DG147" s="451"/>
      <c r="DH147" s="451">
        <f>SUM(DH148:DH150)</f>
        <v>0</v>
      </c>
      <c r="DI147" s="451"/>
      <c r="DJ147" s="451"/>
      <c r="DK147" s="452"/>
      <c r="DL147" s="451"/>
      <c r="DM147" s="451">
        <f>SUM(DM148:DM150)</f>
        <v>0</v>
      </c>
      <c r="DN147" s="451"/>
      <c r="DO147" s="451"/>
      <c r="DP147" s="452"/>
      <c r="DQ147" s="451"/>
      <c r="DR147" s="451">
        <f>SUM(DR148:DR150)</f>
        <v>0</v>
      </c>
      <c r="DS147" s="451"/>
      <c r="DT147" s="451"/>
      <c r="DU147" s="452"/>
      <c r="DV147" s="451"/>
      <c r="DW147" s="451">
        <f>SUM(DW148:DW150)</f>
        <v>0</v>
      </c>
      <c r="DX147" s="451"/>
      <c r="DY147" s="451"/>
      <c r="DZ147" s="452"/>
      <c r="EA147" s="451"/>
      <c r="EB147" s="451">
        <f>SUM(EB148:EB150)</f>
        <v>0</v>
      </c>
      <c r="EC147" s="451"/>
      <c r="ED147" s="451"/>
      <c r="EE147" s="452"/>
      <c r="EF147" s="451"/>
      <c r="EG147" s="451">
        <f>SUM(EG148:EG150)</f>
        <v>0</v>
      </c>
      <c r="EH147" s="451"/>
      <c r="EI147" s="451"/>
      <c r="EJ147" s="452"/>
      <c r="EK147" s="451"/>
      <c r="EL147" s="451">
        <f>SUM(EL148:EL150)</f>
        <v>0</v>
      </c>
      <c r="EO147" s="13"/>
      <c r="EP147" s="14"/>
      <c r="EQ147" s="14"/>
    </row>
    <row r="148" spans="4:147" hidden="1" x14ac:dyDescent="0.2">
      <c r="D148" s="13" t="s">
        <v>347</v>
      </c>
      <c r="E148" s="198"/>
      <c r="F148" s="374"/>
      <c r="G148" s="449">
        <v>0</v>
      </c>
      <c r="H148" s="450"/>
      <c r="I148" s="451"/>
      <c r="J148" s="452"/>
      <c r="K148" s="453"/>
      <c r="L148" s="449">
        <v>0</v>
      </c>
      <c r="M148" s="450"/>
      <c r="N148" s="451"/>
      <c r="O148" s="452"/>
      <c r="P148" s="453"/>
      <c r="Q148" s="449">
        <v>0</v>
      </c>
      <c r="R148" s="450"/>
      <c r="S148" s="451"/>
      <c r="T148" s="452"/>
      <c r="U148" s="453"/>
      <c r="V148" s="449">
        <v>0</v>
      </c>
      <c r="W148" s="450"/>
      <c r="X148" s="451"/>
      <c r="Y148" s="452"/>
      <c r="Z148" s="453"/>
      <c r="AA148" s="449">
        <v>0</v>
      </c>
      <c r="AB148" s="450"/>
      <c r="AC148" s="451"/>
      <c r="AD148" s="452"/>
      <c r="AE148" s="453"/>
      <c r="AF148" s="449">
        <v>0</v>
      </c>
      <c r="AG148" s="450"/>
      <c r="AH148" s="451"/>
      <c r="AI148" s="452"/>
      <c r="AJ148" s="453"/>
      <c r="AK148" s="449">
        <v>0</v>
      </c>
      <c r="AL148" s="450"/>
      <c r="AM148" s="451"/>
      <c r="AN148" s="452"/>
      <c r="AO148" s="453"/>
      <c r="AP148" s="449">
        <v>0</v>
      </c>
      <c r="AQ148" s="450"/>
      <c r="AR148" s="451"/>
      <c r="AS148" s="452"/>
      <c r="AT148" s="453"/>
      <c r="AU148" s="449">
        <v>0</v>
      </c>
      <c r="AV148" s="450"/>
      <c r="AW148" s="451"/>
      <c r="AX148" s="452"/>
      <c r="AY148" s="453"/>
      <c r="AZ148" s="449">
        <v>0</v>
      </c>
      <c r="BA148" s="450"/>
      <c r="BB148" s="451"/>
      <c r="BC148" s="452"/>
      <c r="BD148" s="453"/>
      <c r="BE148" s="449">
        <v>0</v>
      </c>
      <c r="BF148" s="450"/>
      <c r="BG148" s="451"/>
      <c r="BH148" s="452"/>
      <c r="BI148" s="453"/>
      <c r="BJ148" s="449">
        <v>0</v>
      </c>
      <c r="BK148" s="450"/>
      <c r="BL148" s="451"/>
      <c r="BM148" s="452"/>
      <c r="BN148" s="453"/>
      <c r="BO148" s="449">
        <v>0</v>
      </c>
      <c r="BP148" s="450"/>
      <c r="BQ148" s="451"/>
      <c r="BR148" s="452"/>
      <c r="BS148" s="453"/>
      <c r="BT148" s="449">
        <f>SUM(L148:BO148)</f>
        <v>0</v>
      </c>
      <c r="BU148" s="450"/>
      <c r="BV148" s="451"/>
      <c r="BW148" s="452"/>
      <c r="BX148" s="453"/>
      <c r="BY148" s="449">
        <v>0</v>
      </c>
      <c r="BZ148" s="450"/>
      <c r="CA148" s="451"/>
      <c r="CB148" s="452"/>
      <c r="CC148" s="453"/>
      <c r="CD148" s="449">
        <v>0</v>
      </c>
      <c r="CE148" s="450"/>
      <c r="CF148" s="451"/>
      <c r="CG148" s="452"/>
      <c r="CH148" s="453"/>
      <c r="CI148" s="449">
        <v>0</v>
      </c>
      <c r="CJ148" s="450"/>
      <c r="CK148" s="451"/>
      <c r="CL148" s="452"/>
      <c r="CM148" s="453"/>
      <c r="CN148" s="449">
        <v>0</v>
      </c>
      <c r="CO148" s="450"/>
      <c r="CP148" s="451"/>
      <c r="CQ148" s="452"/>
      <c r="CR148" s="453"/>
      <c r="CS148" s="449">
        <v>0</v>
      </c>
      <c r="CT148" s="450"/>
      <c r="CU148" s="451"/>
      <c r="CV148" s="452"/>
      <c r="CW148" s="453"/>
      <c r="CX148" s="449">
        <v>0</v>
      </c>
      <c r="CY148" s="450"/>
      <c r="CZ148" s="451"/>
      <c r="DA148" s="452"/>
      <c r="DB148" s="453"/>
      <c r="DC148" s="449">
        <v>0</v>
      </c>
      <c r="DD148" s="450"/>
      <c r="DE148" s="451"/>
      <c r="DF148" s="452"/>
      <c r="DG148" s="453"/>
      <c r="DH148" s="449">
        <v>0</v>
      </c>
      <c r="DI148" s="450"/>
      <c r="DJ148" s="451"/>
      <c r="DK148" s="452"/>
      <c r="DL148" s="453"/>
      <c r="DM148" s="449">
        <v>0</v>
      </c>
      <c r="DN148" s="450"/>
      <c r="DO148" s="451"/>
      <c r="DP148" s="452"/>
      <c r="DQ148" s="453"/>
      <c r="DR148" s="449">
        <v>0</v>
      </c>
      <c r="DS148" s="450"/>
      <c r="DT148" s="451"/>
      <c r="DU148" s="452"/>
      <c r="DV148" s="453"/>
      <c r="DW148" s="449">
        <v>0</v>
      </c>
      <c r="DX148" s="450"/>
      <c r="DY148" s="451"/>
      <c r="DZ148" s="452"/>
      <c r="EA148" s="453"/>
      <c r="EB148" s="449">
        <v>0</v>
      </c>
      <c r="EC148" s="450"/>
      <c r="ED148" s="451"/>
      <c r="EE148" s="452"/>
      <c r="EF148" s="453"/>
      <c r="EG148" s="449">
        <v>0</v>
      </c>
      <c r="EH148" s="450"/>
      <c r="EI148" s="451"/>
      <c r="EJ148" s="452"/>
      <c r="EK148" s="453"/>
      <c r="EL148" s="449">
        <f>SUM(CD148:EG148)</f>
        <v>0</v>
      </c>
      <c r="EM148" s="375"/>
      <c r="EO148" s="13"/>
      <c r="EP148" s="14"/>
      <c r="EQ148" s="14"/>
    </row>
    <row r="149" spans="4:147" hidden="1" x14ac:dyDescent="0.2">
      <c r="D149" s="13" t="s">
        <v>436</v>
      </c>
      <c r="E149" s="198"/>
      <c r="F149" s="198"/>
      <c r="G149" s="451">
        <v>0</v>
      </c>
      <c r="H149" s="455"/>
      <c r="I149" s="451"/>
      <c r="J149" s="452"/>
      <c r="K149" s="452"/>
      <c r="L149" s="451">
        <v>0</v>
      </c>
      <c r="M149" s="455"/>
      <c r="N149" s="451"/>
      <c r="O149" s="452"/>
      <c r="P149" s="452"/>
      <c r="Q149" s="451">
        <v>0</v>
      </c>
      <c r="R149" s="455"/>
      <c r="S149" s="451"/>
      <c r="T149" s="452"/>
      <c r="U149" s="452"/>
      <c r="V149" s="451">
        <v>0</v>
      </c>
      <c r="W149" s="455"/>
      <c r="X149" s="451"/>
      <c r="Y149" s="452"/>
      <c r="Z149" s="452"/>
      <c r="AA149" s="451">
        <v>0</v>
      </c>
      <c r="AB149" s="455"/>
      <c r="AC149" s="451"/>
      <c r="AD149" s="452"/>
      <c r="AE149" s="452"/>
      <c r="AF149" s="451">
        <v>0</v>
      </c>
      <c r="AG149" s="455"/>
      <c r="AH149" s="451"/>
      <c r="AI149" s="452"/>
      <c r="AJ149" s="452"/>
      <c r="AK149" s="451">
        <v>0</v>
      </c>
      <c r="AL149" s="455"/>
      <c r="AM149" s="451"/>
      <c r="AN149" s="452"/>
      <c r="AO149" s="452"/>
      <c r="AP149" s="451">
        <v>0</v>
      </c>
      <c r="AQ149" s="455"/>
      <c r="AR149" s="451"/>
      <c r="AS149" s="452"/>
      <c r="AT149" s="452"/>
      <c r="AU149" s="451">
        <v>0</v>
      </c>
      <c r="AV149" s="455"/>
      <c r="AW149" s="451"/>
      <c r="AX149" s="452"/>
      <c r="AY149" s="452"/>
      <c r="AZ149" s="451">
        <v>0</v>
      </c>
      <c r="BA149" s="455"/>
      <c r="BB149" s="451"/>
      <c r="BC149" s="452"/>
      <c r="BD149" s="452"/>
      <c r="BE149" s="451">
        <v>0</v>
      </c>
      <c r="BF149" s="455"/>
      <c r="BG149" s="451"/>
      <c r="BH149" s="452"/>
      <c r="BI149" s="452"/>
      <c r="BJ149" s="451">
        <v>0</v>
      </c>
      <c r="BK149" s="455"/>
      <c r="BL149" s="451"/>
      <c r="BM149" s="452"/>
      <c r="BN149" s="452"/>
      <c r="BO149" s="451">
        <v>0</v>
      </c>
      <c r="BP149" s="455"/>
      <c r="BQ149" s="451"/>
      <c r="BR149" s="452"/>
      <c r="BS149" s="452"/>
      <c r="BT149" s="451">
        <f>SUM(L149:BO149)</f>
        <v>0</v>
      </c>
      <c r="BU149" s="455"/>
      <c r="BV149" s="451"/>
      <c r="BW149" s="452"/>
      <c r="BX149" s="452"/>
      <c r="BY149" s="451">
        <v>0</v>
      </c>
      <c r="BZ149" s="455"/>
      <c r="CA149" s="451"/>
      <c r="CB149" s="452"/>
      <c r="CC149" s="452"/>
      <c r="CD149" s="451">
        <v>0</v>
      </c>
      <c r="CE149" s="455"/>
      <c r="CF149" s="451"/>
      <c r="CG149" s="452"/>
      <c r="CH149" s="452"/>
      <c r="CI149" s="451">
        <v>0</v>
      </c>
      <c r="CJ149" s="455"/>
      <c r="CK149" s="451"/>
      <c r="CL149" s="452"/>
      <c r="CM149" s="452"/>
      <c r="CN149" s="451">
        <v>0</v>
      </c>
      <c r="CO149" s="455"/>
      <c r="CP149" s="451"/>
      <c r="CQ149" s="452"/>
      <c r="CR149" s="452"/>
      <c r="CS149" s="451">
        <v>0</v>
      </c>
      <c r="CT149" s="455"/>
      <c r="CU149" s="451"/>
      <c r="CV149" s="452"/>
      <c r="CW149" s="452"/>
      <c r="CX149" s="451">
        <v>0</v>
      </c>
      <c r="CY149" s="455"/>
      <c r="CZ149" s="451"/>
      <c r="DA149" s="452"/>
      <c r="DB149" s="452"/>
      <c r="DC149" s="451">
        <v>0</v>
      </c>
      <c r="DD149" s="455"/>
      <c r="DE149" s="451"/>
      <c r="DF149" s="452"/>
      <c r="DG149" s="452"/>
      <c r="DH149" s="451">
        <v>0</v>
      </c>
      <c r="DI149" s="455"/>
      <c r="DJ149" s="451"/>
      <c r="DK149" s="452"/>
      <c r="DL149" s="452"/>
      <c r="DM149" s="451">
        <v>0</v>
      </c>
      <c r="DN149" s="455"/>
      <c r="DO149" s="451"/>
      <c r="DP149" s="452"/>
      <c r="DQ149" s="452"/>
      <c r="DR149" s="451">
        <v>0</v>
      </c>
      <c r="DS149" s="455"/>
      <c r="DT149" s="451"/>
      <c r="DU149" s="452"/>
      <c r="DV149" s="452"/>
      <c r="DW149" s="451">
        <v>0</v>
      </c>
      <c r="DX149" s="455"/>
      <c r="DY149" s="451"/>
      <c r="DZ149" s="452"/>
      <c r="EA149" s="452"/>
      <c r="EB149" s="451">
        <v>0</v>
      </c>
      <c r="EC149" s="455"/>
      <c r="ED149" s="451"/>
      <c r="EE149" s="452"/>
      <c r="EF149" s="452"/>
      <c r="EG149" s="451">
        <v>0</v>
      </c>
      <c r="EH149" s="455"/>
      <c r="EI149" s="451"/>
      <c r="EJ149" s="452"/>
      <c r="EK149" s="452"/>
      <c r="EL149" s="451">
        <f>SUM(CD149:EG149)</f>
        <v>0</v>
      </c>
      <c r="EM149" s="189"/>
      <c r="EO149" s="13"/>
      <c r="EP149" s="14"/>
      <c r="EQ149" s="14"/>
    </row>
    <row r="150" spans="4:147" hidden="1" x14ac:dyDescent="0.2">
      <c r="D150" s="13" t="s">
        <v>437</v>
      </c>
      <c r="E150" s="198"/>
      <c r="F150" s="385"/>
      <c r="G150" s="463">
        <v>0</v>
      </c>
      <c r="H150" s="464"/>
      <c r="I150" s="451"/>
      <c r="J150" s="452"/>
      <c r="K150" s="465"/>
      <c r="L150" s="463">
        <v>0</v>
      </c>
      <c r="M150" s="464"/>
      <c r="N150" s="451"/>
      <c r="O150" s="452"/>
      <c r="P150" s="465"/>
      <c r="Q150" s="463">
        <v>0</v>
      </c>
      <c r="R150" s="464"/>
      <c r="S150" s="451"/>
      <c r="T150" s="452"/>
      <c r="U150" s="465"/>
      <c r="V150" s="463">
        <v>0</v>
      </c>
      <c r="W150" s="464"/>
      <c r="X150" s="451"/>
      <c r="Y150" s="452"/>
      <c r="Z150" s="465"/>
      <c r="AA150" s="463">
        <v>0</v>
      </c>
      <c r="AB150" s="464"/>
      <c r="AC150" s="451"/>
      <c r="AD150" s="452"/>
      <c r="AE150" s="465"/>
      <c r="AF150" s="463">
        <v>0</v>
      </c>
      <c r="AG150" s="464"/>
      <c r="AH150" s="451"/>
      <c r="AI150" s="452"/>
      <c r="AJ150" s="465"/>
      <c r="AK150" s="463">
        <v>0</v>
      </c>
      <c r="AL150" s="464"/>
      <c r="AM150" s="451"/>
      <c r="AN150" s="452"/>
      <c r="AO150" s="465"/>
      <c r="AP150" s="463">
        <v>0</v>
      </c>
      <c r="AQ150" s="464"/>
      <c r="AR150" s="451"/>
      <c r="AS150" s="452"/>
      <c r="AT150" s="465"/>
      <c r="AU150" s="463">
        <v>0</v>
      </c>
      <c r="AV150" s="464"/>
      <c r="AW150" s="451"/>
      <c r="AX150" s="452"/>
      <c r="AY150" s="465"/>
      <c r="AZ150" s="463">
        <v>0</v>
      </c>
      <c r="BA150" s="464"/>
      <c r="BB150" s="451"/>
      <c r="BC150" s="452"/>
      <c r="BD150" s="465"/>
      <c r="BE150" s="463">
        <v>0</v>
      </c>
      <c r="BF150" s="464"/>
      <c r="BG150" s="451"/>
      <c r="BH150" s="452"/>
      <c r="BI150" s="465"/>
      <c r="BJ150" s="463">
        <v>0</v>
      </c>
      <c r="BK150" s="464"/>
      <c r="BL150" s="451"/>
      <c r="BM150" s="452"/>
      <c r="BN150" s="465"/>
      <c r="BO150" s="463">
        <v>0</v>
      </c>
      <c r="BP150" s="464"/>
      <c r="BQ150" s="451"/>
      <c r="BR150" s="452"/>
      <c r="BS150" s="465"/>
      <c r="BT150" s="463">
        <f>SUM(L150:BO150)</f>
        <v>0</v>
      </c>
      <c r="BU150" s="464"/>
      <c r="BV150" s="451"/>
      <c r="BW150" s="452"/>
      <c r="BX150" s="465"/>
      <c r="BY150" s="463">
        <v>0</v>
      </c>
      <c r="BZ150" s="464"/>
      <c r="CA150" s="451"/>
      <c r="CB150" s="452"/>
      <c r="CC150" s="465"/>
      <c r="CD150" s="463">
        <v>0</v>
      </c>
      <c r="CE150" s="464"/>
      <c r="CF150" s="451"/>
      <c r="CG150" s="452"/>
      <c r="CH150" s="465"/>
      <c r="CI150" s="463">
        <v>0</v>
      </c>
      <c r="CJ150" s="464"/>
      <c r="CK150" s="451"/>
      <c r="CL150" s="452"/>
      <c r="CM150" s="465"/>
      <c r="CN150" s="463">
        <v>0</v>
      </c>
      <c r="CO150" s="464"/>
      <c r="CP150" s="451"/>
      <c r="CQ150" s="452"/>
      <c r="CR150" s="465"/>
      <c r="CS150" s="463">
        <v>0</v>
      </c>
      <c r="CT150" s="464"/>
      <c r="CU150" s="451"/>
      <c r="CV150" s="452"/>
      <c r="CW150" s="465"/>
      <c r="CX150" s="463">
        <v>0</v>
      </c>
      <c r="CY150" s="464"/>
      <c r="CZ150" s="451"/>
      <c r="DA150" s="452"/>
      <c r="DB150" s="465"/>
      <c r="DC150" s="463">
        <v>0</v>
      </c>
      <c r="DD150" s="464"/>
      <c r="DE150" s="451"/>
      <c r="DF150" s="452"/>
      <c r="DG150" s="465"/>
      <c r="DH150" s="463">
        <v>0</v>
      </c>
      <c r="DI150" s="464"/>
      <c r="DJ150" s="451"/>
      <c r="DK150" s="452"/>
      <c r="DL150" s="465"/>
      <c r="DM150" s="463">
        <v>0</v>
      </c>
      <c r="DN150" s="464"/>
      <c r="DO150" s="451"/>
      <c r="DP150" s="452"/>
      <c r="DQ150" s="465"/>
      <c r="DR150" s="463">
        <v>0</v>
      </c>
      <c r="DS150" s="464"/>
      <c r="DT150" s="451"/>
      <c r="DU150" s="452"/>
      <c r="DV150" s="465"/>
      <c r="DW150" s="463">
        <v>0</v>
      </c>
      <c r="DX150" s="464"/>
      <c r="DY150" s="451"/>
      <c r="DZ150" s="452"/>
      <c r="EA150" s="465"/>
      <c r="EB150" s="463">
        <v>0</v>
      </c>
      <c r="EC150" s="464"/>
      <c r="ED150" s="451"/>
      <c r="EE150" s="452"/>
      <c r="EF150" s="465"/>
      <c r="EG150" s="463">
        <v>0</v>
      </c>
      <c r="EH150" s="464"/>
      <c r="EI150" s="451"/>
      <c r="EJ150" s="452"/>
      <c r="EK150" s="465"/>
      <c r="EL150" s="463">
        <f>SUM(CD150:EG150)</f>
        <v>0</v>
      </c>
      <c r="EM150" s="212"/>
      <c r="EO150" s="13"/>
      <c r="EP150" s="14"/>
      <c r="EQ150" s="14"/>
    </row>
    <row r="151" spans="4:147" hidden="1" x14ac:dyDescent="0.2">
      <c r="D151" s="13"/>
      <c r="E151" s="198"/>
      <c r="G151" s="493"/>
      <c r="H151" s="493"/>
      <c r="I151" s="493"/>
      <c r="J151" s="494"/>
      <c r="K151" s="493"/>
      <c r="L151" s="493"/>
      <c r="M151" s="493"/>
      <c r="N151" s="493"/>
      <c r="O151" s="494"/>
      <c r="P151" s="493"/>
      <c r="Q151" s="493"/>
      <c r="R151" s="493"/>
      <c r="S151" s="493"/>
      <c r="T151" s="494"/>
      <c r="U151" s="493"/>
      <c r="V151" s="493"/>
      <c r="W151" s="493"/>
      <c r="X151" s="493"/>
      <c r="Y151" s="494"/>
      <c r="Z151" s="493"/>
      <c r="AA151" s="493"/>
      <c r="AB151" s="493"/>
      <c r="AC151" s="493"/>
      <c r="AD151" s="494"/>
      <c r="AE151" s="493"/>
      <c r="AF151" s="493"/>
      <c r="AG151" s="493"/>
      <c r="AH151" s="493"/>
      <c r="AI151" s="494"/>
      <c r="AJ151" s="493"/>
      <c r="AK151" s="493"/>
      <c r="AL151" s="493"/>
      <c r="AM151" s="493"/>
      <c r="AN151" s="494"/>
      <c r="AO151" s="493"/>
      <c r="AP151" s="493"/>
      <c r="AQ151" s="493"/>
      <c r="AR151" s="493"/>
      <c r="AS151" s="494"/>
      <c r="AT151" s="493"/>
      <c r="AU151" s="493"/>
      <c r="AV151" s="493"/>
      <c r="AW151" s="493"/>
      <c r="AX151" s="494"/>
      <c r="AY151" s="493"/>
      <c r="AZ151" s="493"/>
      <c r="BA151" s="493"/>
      <c r="BB151" s="493"/>
      <c r="BC151" s="494"/>
      <c r="BD151" s="493"/>
      <c r="BE151" s="493"/>
      <c r="BF151" s="493"/>
      <c r="BG151" s="493"/>
      <c r="BH151" s="494"/>
      <c r="BI151" s="493"/>
      <c r="BJ151" s="493"/>
      <c r="BK151" s="493"/>
      <c r="BL151" s="493"/>
      <c r="BM151" s="494"/>
      <c r="BN151" s="493"/>
      <c r="BO151" s="493"/>
      <c r="BP151" s="493"/>
      <c r="BQ151" s="493"/>
      <c r="BR151" s="494"/>
      <c r="BS151" s="493"/>
      <c r="BT151" s="451"/>
      <c r="BU151" s="451"/>
      <c r="BV151" s="451"/>
      <c r="BW151" s="452"/>
      <c r="BX151" s="451"/>
      <c r="BY151" s="493"/>
      <c r="BZ151" s="493"/>
      <c r="CA151" s="493"/>
      <c r="CB151" s="494"/>
      <c r="CC151" s="493"/>
      <c r="CD151" s="493"/>
      <c r="CE151" s="493"/>
      <c r="CF151" s="493"/>
      <c r="CG151" s="494"/>
      <c r="CH151" s="493"/>
      <c r="CI151" s="493"/>
      <c r="CJ151" s="493"/>
      <c r="CK151" s="493"/>
      <c r="CL151" s="494"/>
      <c r="CM151" s="493"/>
      <c r="CN151" s="493"/>
      <c r="CO151" s="493"/>
      <c r="CP151" s="493"/>
      <c r="CQ151" s="494"/>
      <c r="CR151" s="493"/>
      <c r="CS151" s="493"/>
      <c r="CT151" s="493"/>
      <c r="CU151" s="493"/>
      <c r="CV151" s="494"/>
      <c r="CW151" s="493"/>
      <c r="CX151" s="493"/>
      <c r="CY151" s="493"/>
      <c r="CZ151" s="493"/>
      <c r="DA151" s="494"/>
      <c r="DB151" s="493"/>
      <c r="DC151" s="493"/>
      <c r="DD151" s="493"/>
      <c r="DE151" s="493"/>
      <c r="DF151" s="494"/>
      <c r="DG151" s="493"/>
      <c r="DH151" s="493"/>
      <c r="DI151" s="493"/>
      <c r="DJ151" s="493"/>
      <c r="DK151" s="494"/>
      <c r="DL151" s="493"/>
      <c r="DM151" s="493"/>
      <c r="DN151" s="493"/>
      <c r="DO151" s="493"/>
      <c r="DP151" s="494"/>
      <c r="DQ151" s="493"/>
      <c r="DR151" s="493"/>
      <c r="DS151" s="493"/>
      <c r="DT151" s="493"/>
      <c r="DU151" s="494"/>
      <c r="DV151" s="493"/>
      <c r="DW151" s="493"/>
      <c r="DX151" s="493"/>
      <c r="DY151" s="493"/>
      <c r="DZ151" s="494"/>
      <c r="EA151" s="493"/>
      <c r="EB151" s="493"/>
      <c r="EC151" s="493"/>
      <c r="ED151" s="493"/>
      <c r="EE151" s="494"/>
      <c r="EF151" s="493"/>
      <c r="EG151" s="493"/>
      <c r="EH151" s="493"/>
      <c r="EI151" s="493"/>
      <c r="EJ151" s="494"/>
      <c r="EK151" s="493"/>
      <c r="EL151" s="451"/>
      <c r="EO151" s="13"/>
      <c r="EP151" s="14"/>
      <c r="EQ151" s="14"/>
    </row>
    <row r="152" spans="4:147" hidden="1" x14ac:dyDescent="0.2">
      <c r="D152" s="13" t="s">
        <v>443</v>
      </c>
      <c r="E152" s="198"/>
      <c r="G152" s="451">
        <f>SUM(G153:G155)</f>
        <v>0</v>
      </c>
      <c r="H152" s="451"/>
      <c r="I152" s="451"/>
      <c r="J152" s="452"/>
      <c r="K152" s="451"/>
      <c r="L152" s="451">
        <f>SUM(L153:L155)</f>
        <v>0</v>
      </c>
      <c r="M152" s="451"/>
      <c r="N152" s="451"/>
      <c r="O152" s="452"/>
      <c r="P152" s="451"/>
      <c r="Q152" s="451">
        <f>SUM(Q153:Q155)</f>
        <v>0</v>
      </c>
      <c r="R152" s="451"/>
      <c r="S152" s="451"/>
      <c r="T152" s="452"/>
      <c r="U152" s="451"/>
      <c r="V152" s="451">
        <f>SUM(V153:V155)</f>
        <v>0</v>
      </c>
      <c r="W152" s="451"/>
      <c r="X152" s="451"/>
      <c r="Y152" s="452"/>
      <c r="Z152" s="451"/>
      <c r="AA152" s="451">
        <f>SUM(AA153:AA155)</f>
        <v>0</v>
      </c>
      <c r="AB152" s="451"/>
      <c r="AC152" s="451"/>
      <c r="AD152" s="452"/>
      <c r="AE152" s="451"/>
      <c r="AF152" s="451">
        <f>SUM(AF153:AF155)</f>
        <v>0</v>
      </c>
      <c r="AG152" s="451"/>
      <c r="AH152" s="451"/>
      <c r="AI152" s="452"/>
      <c r="AJ152" s="451"/>
      <c r="AK152" s="451">
        <f>SUM(AK153:AK155)</f>
        <v>0</v>
      </c>
      <c r="AL152" s="451"/>
      <c r="AM152" s="451"/>
      <c r="AN152" s="452"/>
      <c r="AO152" s="451"/>
      <c r="AP152" s="451">
        <f>SUM(AP153:AP155)</f>
        <v>0</v>
      </c>
      <c r="AQ152" s="451"/>
      <c r="AR152" s="451"/>
      <c r="AS152" s="452"/>
      <c r="AT152" s="451"/>
      <c r="AU152" s="451">
        <f>SUM(AU153:AU155)</f>
        <v>0</v>
      </c>
      <c r="AV152" s="451"/>
      <c r="AW152" s="451"/>
      <c r="AX152" s="452"/>
      <c r="AY152" s="451"/>
      <c r="AZ152" s="451">
        <f>SUM(AZ153:AZ155)</f>
        <v>0</v>
      </c>
      <c r="BA152" s="451"/>
      <c r="BB152" s="451"/>
      <c r="BC152" s="452"/>
      <c r="BD152" s="451"/>
      <c r="BE152" s="451">
        <f>SUM(BE153:BE155)</f>
        <v>0</v>
      </c>
      <c r="BF152" s="451"/>
      <c r="BG152" s="451"/>
      <c r="BH152" s="452"/>
      <c r="BI152" s="451"/>
      <c r="BJ152" s="451">
        <f>SUM(BJ153:BJ155)</f>
        <v>0</v>
      </c>
      <c r="BK152" s="451"/>
      <c r="BL152" s="451"/>
      <c r="BM152" s="452"/>
      <c r="BN152" s="451"/>
      <c r="BO152" s="451">
        <f>SUM(BO153:BO155)</f>
        <v>0</v>
      </c>
      <c r="BP152" s="451"/>
      <c r="BQ152" s="451"/>
      <c r="BR152" s="452"/>
      <c r="BS152" s="451"/>
      <c r="BT152" s="451">
        <f>SUM(BT153:BT155)</f>
        <v>0</v>
      </c>
      <c r="BU152" s="451"/>
      <c r="BV152" s="451"/>
      <c r="BW152" s="452"/>
      <c r="BX152" s="451"/>
      <c r="BY152" s="451">
        <f>SUM(BY153:BY155)</f>
        <v>0</v>
      </c>
      <c r="BZ152" s="451"/>
      <c r="CA152" s="451"/>
      <c r="CB152" s="452"/>
      <c r="CC152" s="451"/>
      <c r="CD152" s="451">
        <f>SUM(CD153:CD155)</f>
        <v>0</v>
      </c>
      <c r="CE152" s="451"/>
      <c r="CF152" s="451"/>
      <c r="CG152" s="452"/>
      <c r="CH152" s="451"/>
      <c r="CI152" s="451">
        <f>SUM(CI153:CI155)</f>
        <v>0</v>
      </c>
      <c r="CJ152" s="451"/>
      <c r="CK152" s="451"/>
      <c r="CL152" s="452"/>
      <c r="CM152" s="451"/>
      <c r="CN152" s="451">
        <f>SUM(CN153:CN155)</f>
        <v>0</v>
      </c>
      <c r="CO152" s="451"/>
      <c r="CP152" s="451"/>
      <c r="CQ152" s="452"/>
      <c r="CR152" s="451"/>
      <c r="CS152" s="451">
        <f>SUM(CS153:CS155)</f>
        <v>0</v>
      </c>
      <c r="CT152" s="451"/>
      <c r="CU152" s="451"/>
      <c r="CV152" s="452"/>
      <c r="CW152" s="451"/>
      <c r="CX152" s="451">
        <f>SUM(CX153:CX155)</f>
        <v>0</v>
      </c>
      <c r="CY152" s="451"/>
      <c r="CZ152" s="451"/>
      <c r="DA152" s="452"/>
      <c r="DB152" s="451"/>
      <c r="DC152" s="451">
        <f>SUM(DC153:DC155)</f>
        <v>0</v>
      </c>
      <c r="DD152" s="451"/>
      <c r="DE152" s="451"/>
      <c r="DF152" s="452"/>
      <c r="DG152" s="451"/>
      <c r="DH152" s="451">
        <f>SUM(DH153:DH155)</f>
        <v>0</v>
      </c>
      <c r="DI152" s="451"/>
      <c r="DJ152" s="451"/>
      <c r="DK152" s="452"/>
      <c r="DL152" s="451"/>
      <c r="DM152" s="451">
        <f>SUM(DM153:DM155)</f>
        <v>0</v>
      </c>
      <c r="DN152" s="451"/>
      <c r="DO152" s="451"/>
      <c r="DP152" s="452"/>
      <c r="DQ152" s="451"/>
      <c r="DR152" s="451">
        <f>SUM(DR153:DR155)</f>
        <v>0</v>
      </c>
      <c r="DS152" s="451"/>
      <c r="DT152" s="451"/>
      <c r="DU152" s="452"/>
      <c r="DV152" s="451"/>
      <c r="DW152" s="451">
        <f>SUM(DW153:DW155)</f>
        <v>0</v>
      </c>
      <c r="DX152" s="451"/>
      <c r="DY152" s="451"/>
      <c r="DZ152" s="452"/>
      <c r="EA152" s="451"/>
      <c r="EB152" s="451">
        <f>SUM(EB153:EB155)</f>
        <v>0</v>
      </c>
      <c r="EC152" s="451"/>
      <c r="ED152" s="451"/>
      <c r="EE152" s="452"/>
      <c r="EF152" s="451"/>
      <c r="EG152" s="451">
        <f>SUM(EG153:EG155)</f>
        <v>0</v>
      </c>
      <c r="EH152" s="451"/>
      <c r="EI152" s="451"/>
      <c r="EJ152" s="452"/>
      <c r="EK152" s="451"/>
      <c r="EL152" s="451">
        <f>SUM(EL153:EL155)</f>
        <v>0</v>
      </c>
      <c r="EO152" s="13"/>
      <c r="EP152" s="14"/>
      <c r="EQ152" s="14"/>
    </row>
    <row r="153" spans="4:147" hidden="1" x14ac:dyDescent="0.2">
      <c r="D153" s="13" t="s">
        <v>347</v>
      </c>
      <c r="E153" s="198"/>
      <c r="F153" s="374"/>
      <c r="G153" s="449">
        <v>0</v>
      </c>
      <c r="H153" s="450"/>
      <c r="I153" s="451"/>
      <c r="J153" s="452"/>
      <c r="K153" s="453"/>
      <c r="L153" s="449">
        <v>0</v>
      </c>
      <c r="M153" s="450"/>
      <c r="N153" s="451"/>
      <c r="O153" s="452"/>
      <c r="P153" s="453"/>
      <c r="Q153" s="449">
        <v>0</v>
      </c>
      <c r="R153" s="450"/>
      <c r="S153" s="451"/>
      <c r="T153" s="452"/>
      <c r="U153" s="453"/>
      <c r="V153" s="449">
        <v>0</v>
      </c>
      <c r="W153" s="450"/>
      <c r="X153" s="451"/>
      <c r="Y153" s="452"/>
      <c r="Z153" s="453"/>
      <c r="AA153" s="449">
        <v>0</v>
      </c>
      <c r="AB153" s="450"/>
      <c r="AC153" s="451"/>
      <c r="AD153" s="452"/>
      <c r="AE153" s="453"/>
      <c r="AF153" s="449">
        <v>0</v>
      </c>
      <c r="AG153" s="450"/>
      <c r="AH153" s="451"/>
      <c r="AI153" s="452"/>
      <c r="AJ153" s="453"/>
      <c r="AK153" s="449">
        <v>0</v>
      </c>
      <c r="AL153" s="450"/>
      <c r="AM153" s="451"/>
      <c r="AN153" s="452"/>
      <c r="AO153" s="453"/>
      <c r="AP153" s="449">
        <v>0</v>
      </c>
      <c r="AQ153" s="450"/>
      <c r="AR153" s="451"/>
      <c r="AS153" s="452"/>
      <c r="AT153" s="453"/>
      <c r="AU153" s="449">
        <v>0</v>
      </c>
      <c r="AV153" s="450"/>
      <c r="AW153" s="451"/>
      <c r="AX153" s="452"/>
      <c r="AY153" s="453"/>
      <c r="AZ153" s="449">
        <v>0</v>
      </c>
      <c r="BA153" s="450"/>
      <c r="BB153" s="451"/>
      <c r="BC153" s="452"/>
      <c r="BD153" s="453"/>
      <c r="BE153" s="449">
        <v>0</v>
      </c>
      <c r="BF153" s="450"/>
      <c r="BG153" s="451"/>
      <c r="BH153" s="452"/>
      <c r="BI153" s="453"/>
      <c r="BJ153" s="449">
        <v>0</v>
      </c>
      <c r="BK153" s="450"/>
      <c r="BL153" s="451"/>
      <c r="BM153" s="452"/>
      <c r="BN153" s="453"/>
      <c r="BO153" s="449">
        <v>0</v>
      </c>
      <c r="BP153" s="450"/>
      <c r="BQ153" s="451"/>
      <c r="BR153" s="452"/>
      <c r="BS153" s="453"/>
      <c r="BT153" s="449">
        <f>SUM(L153:BO153)</f>
        <v>0</v>
      </c>
      <c r="BU153" s="450"/>
      <c r="BV153" s="451"/>
      <c r="BW153" s="452"/>
      <c r="BX153" s="453"/>
      <c r="BY153" s="449">
        <v>0</v>
      </c>
      <c r="BZ153" s="450"/>
      <c r="CA153" s="451"/>
      <c r="CB153" s="452"/>
      <c r="CC153" s="453"/>
      <c r="CD153" s="449">
        <v>0</v>
      </c>
      <c r="CE153" s="450"/>
      <c r="CF153" s="451"/>
      <c r="CG153" s="452"/>
      <c r="CH153" s="453"/>
      <c r="CI153" s="449">
        <v>0</v>
      </c>
      <c r="CJ153" s="450"/>
      <c r="CK153" s="451"/>
      <c r="CL153" s="452"/>
      <c r="CM153" s="453"/>
      <c r="CN153" s="449">
        <v>0</v>
      </c>
      <c r="CO153" s="450"/>
      <c r="CP153" s="451"/>
      <c r="CQ153" s="452"/>
      <c r="CR153" s="453"/>
      <c r="CS153" s="449">
        <v>0</v>
      </c>
      <c r="CT153" s="450"/>
      <c r="CU153" s="451"/>
      <c r="CV153" s="452"/>
      <c r="CW153" s="453"/>
      <c r="CX153" s="449">
        <v>0</v>
      </c>
      <c r="CY153" s="450"/>
      <c r="CZ153" s="451"/>
      <c r="DA153" s="452"/>
      <c r="DB153" s="453"/>
      <c r="DC153" s="449">
        <v>0</v>
      </c>
      <c r="DD153" s="450"/>
      <c r="DE153" s="451"/>
      <c r="DF153" s="452"/>
      <c r="DG153" s="453"/>
      <c r="DH153" s="449">
        <v>0</v>
      </c>
      <c r="DI153" s="450"/>
      <c r="DJ153" s="451"/>
      <c r="DK153" s="452"/>
      <c r="DL153" s="453"/>
      <c r="DM153" s="449">
        <v>0</v>
      </c>
      <c r="DN153" s="450"/>
      <c r="DO153" s="451"/>
      <c r="DP153" s="452"/>
      <c r="DQ153" s="453"/>
      <c r="DR153" s="449">
        <v>0</v>
      </c>
      <c r="DS153" s="450"/>
      <c r="DT153" s="451"/>
      <c r="DU153" s="452"/>
      <c r="DV153" s="453"/>
      <c r="DW153" s="449">
        <v>0</v>
      </c>
      <c r="DX153" s="450"/>
      <c r="DY153" s="451"/>
      <c r="DZ153" s="452"/>
      <c r="EA153" s="453"/>
      <c r="EB153" s="449">
        <v>0</v>
      </c>
      <c r="EC153" s="450"/>
      <c r="ED153" s="451"/>
      <c r="EE153" s="452"/>
      <c r="EF153" s="453"/>
      <c r="EG153" s="449">
        <v>0</v>
      </c>
      <c r="EH153" s="450"/>
      <c r="EI153" s="451"/>
      <c r="EJ153" s="452"/>
      <c r="EK153" s="453"/>
      <c r="EL153" s="449">
        <f>SUM(CD153:EG153)</f>
        <v>0</v>
      </c>
      <c r="EM153" s="375"/>
      <c r="EO153" s="13"/>
      <c r="EP153" s="14"/>
      <c r="EQ153" s="14"/>
    </row>
    <row r="154" spans="4:147" hidden="1" x14ac:dyDescent="0.2">
      <c r="D154" s="13" t="s">
        <v>436</v>
      </c>
      <c r="E154" s="198"/>
      <c r="F154" s="198"/>
      <c r="G154" s="451">
        <v>0</v>
      </c>
      <c r="H154" s="455"/>
      <c r="I154" s="451"/>
      <c r="J154" s="452"/>
      <c r="K154" s="452"/>
      <c r="L154" s="451">
        <v>0</v>
      </c>
      <c r="M154" s="455"/>
      <c r="N154" s="451"/>
      <c r="O154" s="452"/>
      <c r="P154" s="452"/>
      <c r="Q154" s="451">
        <v>0</v>
      </c>
      <c r="R154" s="455"/>
      <c r="S154" s="451"/>
      <c r="T154" s="452"/>
      <c r="U154" s="452"/>
      <c r="V154" s="451">
        <v>0</v>
      </c>
      <c r="W154" s="455"/>
      <c r="X154" s="451"/>
      <c r="Y154" s="452"/>
      <c r="Z154" s="452"/>
      <c r="AA154" s="451">
        <v>0</v>
      </c>
      <c r="AB154" s="455"/>
      <c r="AC154" s="451"/>
      <c r="AD154" s="452"/>
      <c r="AE154" s="452"/>
      <c r="AF154" s="451">
        <v>0</v>
      </c>
      <c r="AG154" s="455"/>
      <c r="AH154" s="451"/>
      <c r="AI154" s="452"/>
      <c r="AJ154" s="452"/>
      <c r="AK154" s="451">
        <v>0</v>
      </c>
      <c r="AL154" s="455"/>
      <c r="AM154" s="451"/>
      <c r="AN154" s="452"/>
      <c r="AO154" s="452"/>
      <c r="AP154" s="451">
        <v>0</v>
      </c>
      <c r="AQ154" s="455"/>
      <c r="AR154" s="451"/>
      <c r="AS154" s="452"/>
      <c r="AT154" s="452"/>
      <c r="AU154" s="451">
        <v>0</v>
      </c>
      <c r="AV154" s="455"/>
      <c r="AW154" s="451"/>
      <c r="AX154" s="452"/>
      <c r="AY154" s="452"/>
      <c r="AZ154" s="451">
        <v>0</v>
      </c>
      <c r="BA154" s="455"/>
      <c r="BB154" s="451"/>
      <c r="BC154" s="452"/>
      <c r="BD154" s="452"/>
      <c r="BE154" s="451">
        <v>0</v>
      </c>
      <c r="BF154" s="455"/>
      <c r="BG154" s="451"/>
      <c r="BH154" s="452"/>
      <c r="BI154" s="452"/>
      <c r="BJ154" s="451">
        <v>0</v>
      </c>
      <c r="BK154" s="455"/>
      <c r="BL154" s="451"/>
      <c r="BM154" s="452"/>
      <c r="BN154" s="452"/>
      <c r="BO154" s="451">
        <v>0</v>
      </c>
      <c r="BP154" s="455"/>
      <c r="BQ154" s="451"/>
      <c r="BR154" s="452"/>
      <c r="BS154" s="452"/>
      <c r="BT154" s="451">
        <f>SUM(L154:BO154)</f>
        <v>0</v>
      </c>
      <c r="BU154" s="455"/>
      <c r="BV154" s="451"/>
      <c r="BW154" s="452"/>
      <c r="BX154" s="452"/>
      <c r="BY154" s="451">
        <v>0</v>
      </c>
      <c r="BZ154" s="455"/>
      <c r="CA154" s="451"/>
      <c r="CB154" s="452"/>
      <c r="CC154" s="452"/>
      <c r="CD154" s="451">
        <v>0</v>
      </c>
      <c r="CE154" s="455"/>
      <c r="CF154" s="451"/>
      <c r="CG154" s="452"/>
      <c r="CH154" s="452"/>
      <c r="CI154" s="451">
        <v>0</v>
      </c>
      <c r="CJ154" s="455"/>
      <c r="CK154" s="451"/>
      <c r="CL154" s="452"/>
      <c r="CM154" s="452"/>
      <c r="CN154" s="451">
        <v>0</v>
      </c>
      <c r="CO154" s="455"/>
      <c r="CP154" s="451"/>
      <c r="CQ154" s="452"/>
      <c r="CR154" s="452"/>
      <c r="CS154" s="451">
        <v>0</v>
      </c>
      <c r="CT154" s="455"/>
      <c r="CU154" s="451"/>
      <c r="CV154" s="452"/>
      <c r="CW154" s="452"/>
      <c r="CX154" s="451">
        <v>0</v>
      </c>
      <c r="CY154" s="455"/>
      <c r="CZ154" s="451"/>
      <c r="DA154" s="452"/>
      <c r="DB154" s="452"/>
      <c r="DC154" s="451">
        <v>0</v>
      </c>
      <c r="DD154" s="455"/>
      <c r="DE154" s="451"/>
      <c r="DF154" s="452"/>
      <c r="DG154" s="452"/>
      <c r="DH154" s="451">
        <v>0</v>
      </c>
      <c r="DI154" s="455"/>
      <c r="DJ154" s="451"/>
      <c r="DK154" s="452"/>
      <c r="DL154" s="452"/>
      <c r="DM154" s="451">
        <v>0</v>
      </c>
      <c r="DN154" s="455"/>
      <c r="DO154" s="451"/>
      <c r="DP154" s="452"/>
      <c r="DQ154" s="452"/>
      <c r="DR154" s="451">
        <v>0</v>
      </c>
      <c r="DS154" s="455"/>
      <c r="DT154" s="451"/>
      <c r="DU154" s="452"/>
      <c r="DV154" s="452"/>
      <c r="DW154" s="451">
        <v>0</v>
      </c>
      <c r="DX154" s="455"/>
      <c r="DY154" s="451"/>
      <c r="DZ154" s="452"/>
      <c r="EA154" s="452"/>
      <c r="EB154" s="451">
        <v>0</v>
      </c>
      <c r="EC154" s="455"/>
      <c r="ED154" s="451"/>
      <c r="EE154" s="452"/>
      <c r="EF154" s="452"/>
      <c r="EG154" s="451">
        <v>0</v>
      </c>
      <c r="EH154" s="455"/>
      <c r="EI154" s="451"/>
      <c r="EJ154" s="452"/>
      <c r="EK154" s="452"/>
      <c r="EL154" s="451">
        <f>SUM(CD154:EG154)</f>
        <v>0</v>
      </c>
      <c r="EM154" s="189"/>
      <c r="EO154" s="13"/>
      <c r="EP154" s="14"/>
      <c r="EQ154" s="14"/>
    </row>
    <row r="155" spans="4:147" hidden="1" x14ac:dyDescent="0.2">
      <c r="D155" s="13" t="s">
        <v>437</v>
      </c>
      <c r="E155" s="198"/>
      <c r="F155" s="385"/>
      <c r="G155" s="463">
        <v>0</v>
      </c>
      <c r="H155" s="464"/>
      <c r="I155" s="451"/>
      <c r="J155" s="452"/>
      <c r="K155" s="465"/>
      <c r="L155" s="463">
        <v>0</v>
      </c>
      <c r="M155" s="464"/>
      <c r="N155" s="451"/>
      <c r="O155" s="452"/>
      <c r="P155" s="465"/>
      <c r="Q155" s="463">
        <v>0</v>
      </c>
      <c r="R155" s="464"/>
      <c r="S155" s="451"/>
      <c r="T155" s="452"/>
      <c r="U155" s="465"/>
      <c r="V155" s="463">
        <v>0</v>
      </c>
      <c r="W155" s="464"/>
      <c r="X155" s="451"/>
      <c r="Y155" s="452"/>
      <c r="Z155" s="465"/>
      <c r="AA155" s="463">
        <v>0</v>
      </c>
      <c r="AB155" s="464"/>
      <c r="AC155" s="451"/>
      <c r="AD155" s="452"/>
      <c r="AE155" s="465"/>
      <c r="AF155" s="463">
        <v>0</v>
      </c>
      <c r="AG155" s="464"/>
      <c r="AH155" s="451"/>
      <c r="AI155" s="452"/>
      <c r="AJ155" s="465"/>
      <c r="AK155" s="463">
        <v>0</v>
      </c>
      <c r="AL155" s="464"/>
      <c r="AM155" s="451"/>
      <c r="AN155" s="452"/>
      <c r="AO155" s="465"/>
      <c r="AP155" s="463">
        <v>0</v>
      </c>
      <c r="AQ155" s="464"/>
      <c r="AR155" s="451"/>
      <c r="AS155" s="452"/>
      <c r="AT155" s="465"/>
      <c r="AU155" s="463">
        <v>0</v>
      </c>
      <c r="AV155" s="464"/>
      <c r="AW155" s="451"/>
      <c r="AX155" s="452"/>
      <c r="AY155" s="465"/>
      <c r="AZ155" s="463">
        <v>0</v>
      </c>
      <c r="BA155" s="464"/>
      <c r="BB155" s="451"/>
      <c r="BC155" s="452"/>
      <c r="BD155" s="465"/>
      <c r="BE155" s="463">
        <v>0</v>
      </c>
      <c r="BF155" s="464"/>
      <c r="BG155" s="451"/>
      <c r="BH155" s="452"/>
      <c r="BI155" s="465"/>
      <c r="BJ155" s="463">
        <v>0</v>
      </c>
      <c r="BK155" s="464"/>
      <c r="BL155" s="451"/>
      <c r="BM155" s="452"/>
      <c r="BN155" s="465"/>
      <c r="BO155" s="463">
        <v>0</v>
      </c>
      <c r="BP155" s="464"/>
      <c r="BQ155" s="451"/>
      <c r="BR155" s="452"/>
      <c r="BS155" s="465"/>
      <c r="BT155" s="463">
        <f>SUM(L155:BO155)</f>
        <v>0</v>
      </c>
      <c r="BU155" s="464"/>
      <c r="BV155" s="451"/>
      <c r="BW155" s="452"/>
      <c r="BX155" s="465"/>
      <c r="BY155" s="463">
        <v>0</v>
      </c>
      <c r="BZ155" s="464"/>
      <c r="CA155" s="451"/>
      <c r="CB155" s="452"/>
      <c r="CC155" s="465"/>
      <c r="CD155" s="463">
        <v>0</v>
      </c>
      <c r="CE155" s="464"/>
      <c r="CF155" s="451"/>
      <c r="CG155" s="452"/>
      <c r="CH155" s="465"/>
      <c r="CI155" s="463">
        <v>0</v>
      </c>
      <c r="CJ155" s="464"/>
      <c r="CK155" s="451"/>
      <c r="CL155" s="452"/>
      <c r="CM155" s="465"/>
      <c r="CN155" s="463">
        <v>0</v>
      </c>
      <c r="CO155" s="464"/>
      <c r="CP155" s="451"/>
      <c r="CQ155" s="452"/>
      <c r="CR155" s="465"/>
      <c r="CS155" s="463">
        <v>0</v>
      </c>
      <c r="CT155" s="464"/>
      <c r="CU155" s="451"/>
      <c r="CV155" s="452"/>
      <c r="CW155" s="465"/>
      <c r="CX155" s="463">
        <v>0</v>
      </c>
      <c r="CY155" s="464"/>
      <c r="CZ155" s="451"/>
      <c r="DA155" s="452"/>
      <c r="DB155" s="465"/>
      <c r="DC155" s="463">
        <v>0</v>
      </c>
      <c r="DD155" s="464"/>
      <c r="DE155" s="451"/>
      <c r="DF155" s="452"/>
      <c r="DG155" s="465"/>
      <c r="DH155" s="463">
        <v>0</v>
      </c>
      <c r="DI155" s="464"/>
      <c r="DJ155" s="451"/>
      <c r="DK155" s="452"/>
      <c r="DL155" s="465"/>
      <c r="DM155" s="463">
        <v>0</v>
      </c>
      <c r="DN155" s="464"/>
      <c r="DO155" s="451"/>
      <c r="DP155" s="452"/>
      <c r="DQ155" s="465"/>
      <c r="DR155" s="463">
        <v>0</v>
      </c>
      <c r="DS155" s="464"/>
      <c r="DT155" s="451"/>
      <c r="DU155" s="452"/>
      <c r="DV155" s="465"/>
      <c r="DW155" s="463">
        <v>0</v>
      </c>
      <c r="DX155" s="464"/>
      <c r="DY155" s="451"/>
      <c r="DZ155" s="452"/>
      <c r="EA155" s="465"/>
      <c r="EB155" s="463">
        <v>0</v>
      </c>
      <c r="EC155" s="464"/>
      <c r="ED155" s="451"/>
      <c r="EE155" s="452"/>
      <c r="EF155" s="465"/>
      <c r="EG155" s="463">
        <v>0</v>
      </c>
      <c r="EH155" s="464"/>
      <c r="EI155" s="451"/>
      <c r="EJ155" s="452"/>
      <c r="EK155" s="465"/>
      <c r="EL155" s="463">
        <f>SUM(CD155:EG155)</f>
        <v>0</v>
      </c>
      <c r="EM155" s="212"/>
      <c r="EO155" s="13"/>
      <c r="EP155" s="14"/>
      <c r="EQ155" s="14"/>
    </row>
    <row r="156" spans="4:147" hidden="1" x14ac:dyDescent="0.2">
      <c r="D156" s="13"/>
      <c r="E156" s="198"/>
      <c r="G156" s="493"/>
      <c r="H156" s="493"/>
      <c r="I156" s="493"/>
      <c r="J156" s="494"/>
      <c r="K156" s="493"/>
      <c r="L156" s="493"/>
      <c r="M156" s="493"/>
      <c r="N156" s="493"/>
      <c r="O156" s="494"/>
      <c r="P156" s="493"/>
      <c r="Q156" s="493"/>
      <c r="R156" s="493"/>
      <c r="S156" s="493"/>
      <c r="T156" s="494"/>
      <c r="U156" s="493"/>
      <c r="V156" s="493"/>
      <c r="W156" s="493"/>
      <c r="X156" s="493"/>
      <c r="Y156" s="494"/>
      <c r="Z156" s="493"/>
      <c r="AA156" s="493"/>
      <c r="AB156" s="493"/>
      <c r="AC156" s="493"/>
      <c r="AD156" s="494"/>
      <c r="AE156" s="493"/>
      <c r="AF156" s="493"/>
      <c r="AG156" s="493"/>
      <c r="AH156" s="493"/>
      <c r="AI156" s="494"/>
      <c r="AJ156" s="493"/>
      <c r="AK156" s="493"/>
      <c r="AL156" s="493"/>
      <c r="AM156" s="493"/>
      <c r="AN156" s="494"/>
      <c r="AO156" s="493"/>
      <c r="AP156" s="493"/>
      <c r="AQ156" s="493"/>
      <c r="AR156" s="493"/>
      <c r="AS156" s="494"/>
      <c r="AT156" s="493"/>
      <c r="AU156" s="493"/>
      <c r="AV156" s="493"/>
      <c r="AW156" s="493"/>
      <c r="AX156" s="494"/>
      <c r="AY156" s="493"/>
      <c r="AZ156" s="493"/>
      <c r="BA156" s="493"/>
      <c r="BB156" s="493"/>
      <c r="BC156" s="494"/>
      <c r="BD156" s="493"/>
      <c r="BE156" s="493"/>
      <c r="BF156" s="493"/>
      <c r="BG156" s="493"/>
      <c r="BH156" s="494"/>
      <c r="BI156" s="493"/>
      <c r="BJ156" s="493"/>
      <c r="BK156" s="493"/>
      <c r="BL156" s="493"/>
      <c r="BM156" s="494"/>
      <c r="BN156" s="493"/>
      <c r="BO156" s="493"/>
      <c r="BP156" s="493"/>
      <c r="BQ156" s="493"/>
      <c r="BR156" s="494"/>
      <c r="BS156" s="493"/>
      <c r="BT156" s="451"/>
      <c r="BU156" s="451"/>
      <c r="BV156" s="451"/>
      <c r="BW156" s="452"/>
      <c r="BX156" s="451"/>
      <c r="BY156" s="493"/>
      <c r="BZ156" s="493"/>
      <c r="CA156" s="493"/>
      <c r="CB156" s="494"/>
      <c r="CC156" s="493"/>
      <c r="CD156" s="493"/>
      <c r="CE156" s="493"/>
      <c r="CF156" s="493"/>
      <c r="CG156" s="494"/>
      <c r="CH156" s="493"/>
      <c r="CI156" s="493"/>
      <c r="CJ156" s="493"/>
      <c r="CK156" s="493"/>
      <c r="CL156" s="494"/>
      <c r="CM156" s="493"/>
      <c r="CN156" s="493"/>
      <c r="CO156" s="493"/>
      <c r="CP156" s="493"/>
      <c r="CQ156" s="494"/>
      <c r="CR156" s="493"/>
      <c r="CS156" s="493"/>
      <c r="CT156" s="493"/>
      <c r="CU156" s="493"/>
      <c r="CV156" s="494"/>
      <c r="CW156" s="493"/>
      <c r="CX156" s="493"/>
      <c r="CY156" s="493"/>
      <c r="CZ156" s="493"/>
      <c r="DA156" s="494"/>
      <c r="DB156" s="493"/>
      <c r="DC156" s="493"/>
      <c r="DD156" s="493"/>
      <c r="DE156" s="493"/>
      <c r="DF156" s="494"/>
      <c r="DG156" s="493"/>
      <c r="DH156" s="493"/>
      <c r="DI156" s="493"/>
      <c r="DJ156" s="493"/>
      <c r="DK156" s="494"/>
      <c r="DL156" s="493"/>
      <c r="DM156" s="493"/>
      <c r="DN156" s="493"/>
      <c r="DO156" s="493"/>
      <c r="DP156" s="494"/>
      <c r="DQ156" s="493"/>
      <c r="DR156" s="493"/>
      <c r="DS156" s="493"/>
      <c r="DT156" s="493"/>
      <c r="DU156" s="494"/>
      <c r="DV156" s="493"/>
      <c r="DW156" s="493"/>
      <c r="DX156" s="493"/>
      <c r="DY156" s="493"/>
      <c r="DZ156" s="494"/>
      <c r="EA156" s="493"/>
      <c r="EB156" s="493"/>
      <c r="EC156" s="493"/>
      <c r="ED156" s="493"/>
      <c r="EE156" s="494"/>
      <c r="EF156" s="493"/>
      <c r="EG156" s="493"/>
      <c r="EH156" s="493"/>
      <c r="EI156" s="493"/>
      <c r="EJ156" s="494"/>
      <c r="EK156" s="493"/>
      <c r="EL156" s="451"/>
      <c r="EO156" s="13"/>
      <c r="EP156" s="14"/>
      <c r="EQ156" s="14"/>
    </row>
    <row r="157" spans="4:147" x14ac:dyDescent="0.2">
      <c r="D157" s="116"/>
      <c r="E157" s="470"/>
      <c r="F157" s="3"/>
      <c r="G157" s="495"/>
      <c r="H157" s="495"/>
      <c r="I157" s="495"/>
      <c r="J157" s="496"/>
      <c r="K157" s="495"/>
      <c r="L157" s="495"/>
      <c r="M157" s="495"/>
      <c r="N157" s="495"/>
      <c r="O157" s="496"/>
      <c r="P157" s="495"/>
      <c r="Q157" s="495"/>
      <c r="R157" s="495"/>
      <c r="S157" s="495"/>
      <c r="T157" s="496"/>
      <c r="U157" s="495"/>
      <c r="V157" s="495"/>
      <c r="W157" s="495"/>
      <c r="X157" s="495"/>
      <c r="Y157" s="496"/>
      <c r="Z157" s="495"/>
      <c r="AA157" s="495"/>
      <c r="AB157" s="495"/>
      <c r="AC157" s="495"/>
      <c r="AD157" s="496"/>
      <c r="AE157" s="495"/>
      <c r="AF157" s="495"/>
      <c r="AG157" s="495"/>
      <c r="AH157" s="495"/>
      <c r="AI157" s="496"/>
      <c r="AJ157" s="495"/>
      <c r="AK157" s="495"/>
      <c r="AL157" s="495"/>
      <c r="AM157" s="495"/>
      <c r="AN157" s="496"/>
      <c r="AO157" s="495"/>
      <c r="AP157" s="495"/>
      <c r="AQ157" s="495"/>
      <c r="AR157" s="495"/>
      <c r="AS157" s="496"/>
      <c r="AT157" s="495"/>
      <c r="AU157" s="495"/>
      <c r="AV157" s="495"/>
      <c r="AW157" s="495"/>
      <c r="AX157" s="496"/>
      <c r="AY157" s="495"/>
      <c r="AZ157" s="495"/>
      <c r="BA157" s="495"/>
      <c r="BB157" s="495"/>
      <c r="BC157" s="496"/>
      <c r="BD157" s="495"/>
      <c r="BE157" s="495"/>
      <c r="BF157" s="495"/>
      <c r="BG157" s="495"/>
      <c r="BH157" s="496"/>
      <c r="BI157" s="495"/>
      <c r="BJ157" s="495"/>
      <c r="BK157" s="495"/>
      <c r="BL157" s="495"/>
      <c r="BM157" s="496"/>
      <c r="BN157" s="495"/>
      <c r="BO157" s="495"/>
      <c r="BP157" s="495"/>
      <c r="BQ157" s="495"/>
      <c r="BR157" s="496"/>
      <c r="BS157" s="495"/>
      <c r="BT157" s="471"/>
      <c r="BU157" s="471"/>
      <c r="BV157" s="471"/>
      <c r="BW157" s="472"/>
      <c r="BX157" s="471"/>
      <c r="BY157" s="495"/>
      <c r="BZ157" s="495"/>
      <c r="CA157" s="495"/>
      <c r="CB157" s="496"/>
      <c r="CC157" s="495"/>
      <c r="CD157" s="495"/>
      <c r="CE157" s="495"/>
      <c r="CF157" s="495"/>
      <c r="CG157" s="496"/>
      <c r="CH157" s="495"/>
      <c r="CI157" s="495"/>
      <c r="CJ157" s="495"/>
      <c r="CK157" s="495"/>
      <c r="CL157" s="496"/>
      <c r="CM157" s="495"/>
      <c r="CN157" s="495"/>
      <c r="CO157" s="495"/>
      <c r="CP157" s="495"/>
      <c r="CQ157" s="496"/>
      <c r="CR157" s="495"/>
      <c r="CS157" s="495"/>
      <c r="CT157" s="495"/>
      <c r="CU157" s="495"/>
      <c r="CV157" s="496"/>
      <c r="CW157" s="495"/>
      <c r="CX157" s="495"/>
      <c r="CY157" s="495"/>
      <c r="CZ157" s="495"/>
      <c r="DA157" s="496"/>
      <c r="DB157" s="495"/>
      <c r="DC157" s="495"/>
      <c r="DD157" s="495"/>
      <c r="DE157" s="495"/>
      <c r="DF157" s="496"/>
      <c r="DG157" s="495"/>
      <c r="DH157" s="495"/>
      <c r="DI157" s="495"/>
      <c r="DJ157" s="495"/>
      <c r="DK157" s="496"/>
      <c r="DL157" s="495"/>
      <c r="DM157" s="495"/>
      <c r="DN157" s="495"/>
      <c r="DO157" s="495"/>
      <c r="DP157" s="496"/>
      <c r="DQ157" s="495"/>
      <c r="DR157" s="495"/>
      <c r="DS157" s="495"/>
      <c r="DT157" s="495"/>
      <c r="DU157" s="496"/>
      <c r="DV157" s="495"/>
      <c r="DW157" s="495"/>
      <c r="DX157" s="495"/>
      <c r="DY157" s="495"/>
      <c r="DZ157" s="496"/>
      <c r="EA157" s="495"/>
      <c r="EB157" s="495"/>
      <c r="EC157" s="495"/>
      <c r="ED157" s="495"/>
      <c r="EE157" s="496"/>
      <c r="EF157" s="495"/>
      <c r="EG157" s="495"/>
      <c r="EH157" s="495"/>
      <c r="EI157" s="495"/>
      <c r="EJ157" s="496"/>
      <c r="EK157" s="495"/>
      <c r="EL157" s="471"/>
      <c r="EM157" s="3"/>
      <c r="EN157" s="3"/>
      <c r="EO157" s="13"/>
      <c r="EP157" s="14"/>
      <c r="EQ157" s="14"/>
    </row>
    <row r="158" spans="4:147" x14ac:dyDescent="0.2">
      <c r="G158" s="493"/>
      <c r="H158" s="493"/>
      <c r="I158" s="493"/>
      <c r="J158" s="493"/>
      <c r="K158" s="493"/>
      <c r="L158" s="493"/>
      <c r="M158" s="493"/>
      <c r="N158" s="493"/>
      <c r="O158" s="493"/>
      <c r="P158" s="493"/>
      <c r="Q158" s="493"/>
      <c r="R158" s="493"/>
      <c r="S158" s="493"/>
      <c r="T158" s="493"/>
      <c r="U158" s="493"/>
      <c r="V158" s="493"/>
      <c r="W158" s="493"/>
      <c r="X158" s="493"/>
      <c r="Y158" s="493"/>
      <c r="Z158" s="493"/>
      <c r="AA158" s="493"/>
      <c r="AB158" s="493"/>
      <c r="AC158" s="493"/>
      <c r="AD158" s="497"/>
      <c r="AE158" s="497"/>
      <c r="AF158" s="497"/>
      <c r="AG158" s="497"/>
      <c r="AH158" s="497"/>
      <c r="AI158" s="497"/>
      <c r="AJ158" s="497"/>
      <c r="AK158" s="497"/>
      <c r="AL158" s="497"/>
      <c r="AM158" s="497"/>
      <c r="AN158" s="497"/>
      <c r="AO158" s="497"/>
      <c r="AP158" s="497"/>
      <c r="AQ158" s="497"/>
      <c r="AR158" s="497"/>
      <c r="AS158" s="497"/>
      <c r="AT158" s="497"/>
      <c r="AU158" s="497"/>
      <c r="AV158" s="497"/>
      <c r="AW158" s="497"/>
      <c r="AX158" s="497"/>
      <c r="AY158" s="497"/>
      <c r="AZ158" s="497"/>
      <c r="BA158" s="497"/>
      <c r="BB158" s="497"/>
      <c r="BC158" s="497"/>
      <c r="BD158" s="497"/>
      <c r="BE158" s="497"/>
      <c r="BF158" s="497"/>
      <c r="BG158" s="497"/>
      <c r="BH158" s="497"/>
      <c r="BI158" s="497"/>
      <c r="BJ158" s="497"/>
      <c r="BK158" s="497"/>
      <c r="BL158" s="497"/>
      <c r="BM158" s="497"/>
      <c r="BN158" s="497"/>
      <c r="BO158" s="497"/>
      <c r="BP158" s="497"/>
      <c r="BQ158" s="497"/>
      <c r="BR158" s="497"/>
      <c r="BS158" s="497"/>
      <c r="BT158" s="498"/>
      <c r="BU158" s="498"/>
      <c r="BV158" s="498"/>
      <c r="BW158" s="498"/>
      <c r="BX158" s="498"/>
      <c r="BY158" s="498"/>
      <c r="BZ158" s="498"/>
      <c r="CA158" s="498"/>
      <c r="CB158" s="498"/>
      <c r="CC158" s="498"/>
      <c r="CD158" s="497"/>
      <c r="CE158" s="497"/>
      <c r="CF158" s="497"/>
      <c r="CG158" s="497"/>
      <c r="CH158" s="497"/>
      <c r="CI158" s="497"/>
      <c r="CJ158" s="497"/>
      <c r="CK158" s="497"/>
      <c r="CL158" s="497"/>
      <c r="CM158" s="497"/>
      <c r="CN158" s="497"/>
      <c r="CO158" s="497"/>
      <c r="CP158" s="497"/>
      <c r="CQ158" s="497"/>
      <c r="CR158" s="497"/>
      <c r="CS158" s="497"/>
      <c r="CT158" s="497"/>
      <c r="CU158" s="497"/>
      <c r="CV158" s="497"/>
      <c r="CW158" s="493"/>
      <c r="CX158" s="493"/>
      <c r="CY158" s="493"/>
      <c r="CZ158" s="493"/>
      <c r="DA158" s="493"/>
      <c r="DB158" s="493"/>
      <c r="DC158" s="493"/>
      <c r="DD158" s="493"/>
      <c r="DE158" s="493"/>
      <c r="DF158" s="493"/>
      <c r="DG158" s="493"/>
      <c r="DH158" s="493"/>
      <c r="DI158" s="493"/>
      <c r="DJ158" s="493"/>
      <c r="DK158" s="493"/>
      <c r="DL158" s="493"/>
      <c r="DM158" s="493"/>
      <c r="DN158" s="493"/>
      <c r="DO158" s="493"/>
      <c r="DP158" s="493"/>
      <c r="DQ158" s="493"/>
      <c r="DR158" s="493"/>
      <c r="DS158" s="493"/>
      <c r="DT158" s="493"/>
      <c r="DU158" s="493"/>
      <c r="DV158" s="493"/>
      <c r="DW158" s="493"/>
      <c r="DX158" s="493"/>
      <c r="DY158" s="493"/>
      <c r="DZ158" s="493"/>
      <c r="EA158" s="493"/>
      <c r="EB158" s="493"/>
      <c r="EC158" s="493"/>
      <c r="ED158" s="493"/>
      <c r="EE158" s="493"/>
      <c r="EF158" s="493"/>
      <c r="EG158" s="493"/>
      <c r="EH158" s="493"/>
      <c r="EI158" s="493"/>
      <c r="EJ158" s="493"/>
      <c r="EK158" s="493"/>
      <c r="EL158" s="451"/>
    </row>
    <row r="159" spans="4:147" x14ac:dyDescent="0.2">
      <c r="G159" s="493"/>
      <c r="H159" s="493"/>
      <c r="I159" s="493"/>
      <c r="J159" s="493"/>
      <c r="K159" s="493"/>
      <c r="L159" s="493"/>
      <c r="M159" s="493"/>
      <c r="N159" s="493"/>
      <c r="O159" s="493"/>
      <c r="P159" s="493"/>
      <c r="Q159" s="493"/>
      <c r="R159" s="493"/>
      <c r="S159" s="493"/>
      <c r="T159" s="493"/>
      <c r="U159" s="493"/>
      <c r="V159" s="493"/>
      <c r="W159" s="493"/>
      <c r="X159" s="493"/>
      <c r="Y159" s="493"/>
      <c r="Z159" s="493"/>
      <c r="AA159" s="493"/>
      <c r="AB159" s="493"/>
      <c r="AC159" s="493"/>
      <c r="AD159" s="493"/>
      <c r="AE159" s="493"/>
      <c r="AF159" s="493"/>
      <c r="AG159" s="493"/>
      <c r="AH159" s="493"/>
      <c r="AI159" s="493"/>
      <c r="AJ159" s="493"/>
      <c r="AK159" s="493"/>
      <c r="AL159" s="493"/>
      <c r="AM159" s="493"/>
      <c r="AN159" s="493"/>
      <c r="AO159" s="493"/>
      <c r="AP159" s="493"/>
      <c r="AQ159" s="493"/>
      <c r="AR159" s="493"/>
      <c r="AS159" s="493"/>
      <c r="AT159" s="493"/>
      <c r="AU159" s="493"/>
      <c r="AV159" s="493"/>
      <c r="AW159" s="493"/>
      <c r="AX159" s="493"/>
      <c r="AY159" s="493"/>
      <c r="AZ159" s="493"/>
      <c r="BA159" s="493"/>
      <c r="BB159" s="493"/>
      <c r="BC159" s="493"/>
      <c r="BD159" s="493"/>
      <c r="BE159" s="493"/>
      <c r="BF159" s="493"/>
      <c r="BG159" s="493"/>
      <c r="BH159" s="493"/>
      <c r="BI159" s="493"/>
      <c r="BJ159" s="493"/>
      <c r="BK159" s="493"/>
      <c r="BL159" s="493"/>
      <c r="BM159" s="493"/>
      <c r="BN159" s="493"/>
      <c r="BO159" s="493"/>
      <c r="BP159" s="493"/>
      <c r="BQ159" s="493"/>
      <c r="BR159" s="493"/>
      <c r="BS159" s="493"/>
      <c r="BT159" s="451"/>
      <c r="BU159" s="451"/>
      <c r="BV159" s="451"/>
      <c r="BW159" s="451"/>
      <c r="BX159" s="451"/>
      <c r="BY159" s="451"/>
      <c r="BZ159" s="451"/>
      <c r="CA159" s="451"/>
      <c r="CB159" s="451"/>
      <c r="CC159" s="451"/>
      <c r="CD159" s="493"/>
      <c r="CE159" s="493"/>
      <c r="CF159" s="493"/>
      <c r="CG159" s="493"/>
      <c r="CH159" s="493"/>
      <c r="CI159" s="493"/>
      <c r="CJ159" s="493"/>
      <c r="CK159" s="493"/>
      <c r="CL159" s="493"/>
      <c r="CM159" s="493"/>
      <c r="CN159" s="493"/>
      <c r="CO159" s="493"/>
      <c r="CP159" s="493"/>
      <c r="CQ159" s="493"/>
      <c r="CR159" s="493"/>
      <c r="CS159" s="493"/>
      <c r="CT159" s="493"/>
      <c r="CU159" s="493"/>
      <c r="CV159" s="493"/>
      <c r="CW159" s="493"/>
      <c r="CX159" s="493"/>
      <c r="CY159" s="493"/>
      <c r="CZ159" s="493"/>
      <c r="DA159" s="493"/>
      <c r="DB159" s="493"/>
      <c r="DC159" s="493"/>
      <c r="DD159" s="493"/>
      <c r="DE159" s="493"/>
      <c r="DF159" s="493"/>
      <c r="DG159" s="493"/>
      <c r="DH159" s="493"/>
      <c r="DI159" s="493"/>
      <c r="DJ159" s="493"/>
      <c r="DK159" s="493"/>
      <c r="DL159" s="493"/>
      <c r="DM159" s="493"/>
      <c r="DN159" s="493"/>
      <c r="DO159" s="493"/>
      <c r="DP159" s="493"/>
      <c r="DQ159" s="493"/>
      <c r="DR159" s="493"/>
      <c r="DS159" s="493"/>
      <c r="DT159" s="493"/>
      <c r="DU159" s="493"/>
      <c r="DV159" s="493"/>
      <c r="DW159" s="493"/>
      <c r="DX159" s="493"/>
      <c r="DY159" s="493"/>
      <c r="DZ159" s="493"/>
      <c r="EA159" s="493"/>
      <c r="EB159" s="493"/>
      <c r="EC159" s="493"/>
      <c r="ED159" s="493"/>
      <c r="EE159" s="493"/>
      <c r="EF159" s="493"/>
      <c r="EG159" s="493"/>
      <c r="EH159" s="493"/>
      <c r="EI159" s="493"/>
      <c r="EJ159" s="493"/>
      <c r="EK159" s="493"/>
      <c r="EL159" s="451"/>
    </row>
    <row r="160" spans="4:147" x14ac:dyDescent="0.2">
      <c r="G160" s="493"/>
      <c r="H160" s="493"/>
      <c r="I160" s="493"/>
      <c r="J160" s="493"/>
      <c r="K160" s="493"/>
      <c r="L160" s="493"/>
      <c r="M160" s="493"/>
      <c r="N160" s="493"/>
      <c r="O160" s="493"/>
      <c r="P160" s="493"/>
      <c r="Q160" s="493"/>
      <c r="R160" s="493"/>
      <c r="S160" s="493"/>
      <c r="T160" s="493"/>
      <c r="U160" s="493"/>
      <c r="V160" s="493"/>
      <c r="W160" s="493"/>
      <c r="X160" s="493"/>
      <c r="Y160" s="493"/>
      <c r="Z160" s="493"/>
      <c r="AA160" s="493"/>
      <c r="AB160" s="493"/>
      <c r="AC160" s="493"/>
      <c r="AD160" s="493"/>
      <c r="AE160" s="493"/>
      <c r="AF160" s="493"/>
      <c r="AG160" s="493"/>
      <c r="AH160" s="493"/>
      <c r="AI160" s="493"/>
      <c r="AJ160" s="493"/>
      <c r="AK160" s="493"/>
      <c r="AL160" s="493"/>
      <c r="AM160" s="493"/>
      <c r="AN160" s="493"/>
      <c r="AO160" s="493"/>
      <c r="AP160" s="493"/>
      <c r="AQ160" s="493"/>
      <c r="AR160" s="493"/>
      <c r="AS160" s="493"/>
      <c r="AT160" s="493"/>
      <c r="AU160" s="493"/>
      <c r="AV160" s="493"/>
      <c r="AW160" s="493"/>
      <c r="AX160" s="493"/>
      <c r="AY160" s="493"/>
      <c r="AZ160" s="493"/>
      <c r="BA160" s="493"/>
      <c r="BB160" s="493"/>
      <c r="BC160" s="493"/>
      <c r="BD160" s="493"/>
      <c r="BE160" s="493"/>
      <c r="BF160" s="493"/>
      <c r="BG160" s="493"/>
      <c r="BH160" s="493"/>
      <c r="BI160" s="493"/>
      <c r="BJ160" s="493"/>
      <c r="BK160" s="493"/>
      <c r="BL160" s="493"/>
      <c r="BM160" s="493"/>
      <c r="BN160" s="493"/>
      <c r="BO160" s="493"/>
      <c r="BP160" s="493"/>
      <c r="BQ160" s="493"/>
      <c r="BR160" s="493"/>
      <c r="BS160" s="493"/>
      <c r="BT160" s="451"/>
      <c r="BU160" s="451"/>
      <c r="BV160" s="451"/>
      <c r="BW160" s="451"/>
      <c r="BX160" s="451"/>
      <c r="BY160" s="451"/>
      <c r="BZ160" s="451"/>
      <c r="CA160" s="451"/>
      <c r="CB160" s="451"/>
      <c r="CC160" s="451"/>
      <c r="CD160" s="493"/>
      <c r="CE160" s="493"/>
      <c r="CF160" s="493"/>
      <c r="CG160" s="493"/>
      <c r="CH160" s="493"/>
      <c r="CI160" s="493"/>
      <c r="CJ160" s="493"/>
      <c r="CK160" s="493"/>
      <c r="CL160" s="493"/>
      <c r="CM160" s="493"/>
      <c r="CN160" s="493"/>
      <c r="CO160" s="493"/>
      <c r="CP160" s="493"/>
      <c r="CQ160" s="493"/>
      <c r="CR160" s="493"/>
      <c r="CS160" s="493"/>
      <c r="CT160" s="493"/>
      <c r="CU160" s="493"/>
      <c r="CV160" s="493"/>
      <c r="CW160" s="493"/>
      <c r="CX160" s="493"/>
      <c r="CY160" s="493"/>
      <c r="CZ160" s="493"/>
      <c r="DA160" s="493"/>
      <c r="DB160" s="493"/>
      <c r="DC160" s="493"/>
      <c r="DD160" s="493"/>
      <c r="DE160" s="493"/>
      <c r="DF160" s="493"/>
      <c r="DG160" s="493"/>
      <c r="DH160" s="493"/>
      <c r="DI160" s="493"/>
      <c r="DJ160" s="493"/>
      <c r="DK160" s="493"/>
      <c r="DL160" s="493"/>
      <c r="DM160" s="493"/>
      <c r="DN160" s="493"/>
      <c r="DO160" s="493"/>
      <c r="DP160" s="493"/>
      <c r="DQ160" s="493"/>
      <c r="DR160" s="493"/>
      <c r="DS160" s="493"/>
      <c r="DT160" s="493"/>
      <c r="DU160" s="493"/>
      <c r="DV160" s="493"/>
      <c r="DW160" s="493"/>
      <c r="DX160" s="493"/>
      <c r="DY160" s="493"/>
      <c r="DZ160" s="493"/>
      <c r="EA160" s="493"/>
      <c r="EB160" s="493"/>
      <c r="EC160" s="493"/>
      <c r="ED160" s="493"/>
      <c r="EE160" s="493"/>
      <c r="EF160" s="493"/>
      <c r="EG160" s="493"/>
      <c r="EH160" s="493"/>
      <c r="EI160" s="493"/>
      <c r="EJ160" s="493"/>
      <c r="EK160" s="493"/>
      <c r="EL160" s="451"/>
    </row>
    <row r="166" spans="142:142" x14ac:dyDescent="0.2">
      <c r="EL166" s="451"/>
    </row>
  </sheetData>
  <mergeCells count="2">
    <mergeCell ref="G8:BT8"/>
    <mergeCell ref="BY8:EL8"/>
  </mergeCells>
  <pageMargins left="0.7" right="0.7" top="0.75" bottom="0.75" header="0.3" footer="0.3"/>
  <pageSetup paperSize="9" scale="4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AD1F1-DBE3-4343-A9FE-58FEE41C2E4A}">
  <dimension ref="C1:ER191"/>
  <sheetViews>
    <sheetView view="pageBreakPreview" topLeftCell="A121" zoomScaleNormal="100" zoomScaleSheetLayoutView="100" workbookViewId="0">
      <selection activeCell="J22" sqref="J22"/>
    </sheetView>
  </sheetViews>
  <sheetFormatPr defaultColWidth="10" defaultRowHeight="12.75" x14ac:dyDescent="0.2"/>
  <cols>
    <col min="1" max="1" width="1.85546875" style="1" customWidth="1"/>
    <col min="2" max="2" width="1" style="1" customWidth="1"/>
    <col min="3" max="3" width="0.85546875" style="1" customWidth="1"/>
    <col min="4" max="4" width="58.28515625" style="1" customWidth="1"/>
    <col min="5" max="6" width="1" style="1" customWidth="1"/>
    <col min="7" max="7" width="16.85546875" style="1" customWidth="1"/>
    <col min="8" max="9" width="1" style="1" customWidth="1"/>
    <col min="10" max="11" width="1" style="1" hidden="1" customWidth="1"/>
    <col min="12" max="12" width="17.85546875" style="1" hidden="1" customWidth="1"/>
    <col min="13" max="16" width="1" style="1" hidden="1" customWidth="1"/>
    <col min="17" max="17" width="17.85546875" style="1" hidden="1" customWidth="1"/>
    <col min="18" max="21" width="1" style="1" hidden="1" customWidth="1"/>
    <col min="22" max="22" width="17.85546875" style="1" hidden="1" customWidth="1"/>
    <col min="23" max="26" width="1" style="1" hidden="1" customWidth="1"/>
    <col min="27" max="27" width="17.85546875" style="1" hidden="1" customWidth="1"/>
    <col min="28" max="31" width="1" style="1" hidden="1" customWidth="1"/>
    <col min="32" max="32" width="17.85546875" style="1" hidden="1" customWidth="1"/>
    <col min="33" max="36" width="1" style="1" hidden="1" customWidth="1"/>
    <col min="37" max="37" width="17.85546875" style="1" hidden="1" customWidth="1"/>
    <col min="38" max="41" width="1" style="1" hidden="1" customWidth="1"/>
    <col min="42" max="42" width="17.85546875" style="1" hidden="1" customWidth="1"/>
    <col min="43" max="46" width="1" style="1" hidden="1" customWidth="1"/>
    <col min="47" max="47" width="15.7109375" style="1" hidden="1" customWidth="1"/>
    <col min="48" max="51" width="1" style="1" hidden="1" customWidth="1"/>
    <col min="52" max="52" width="17.85546875" style="1" hidden="1" customWidth="1"/>
    <col min="53" max="54" width="1" style="1" hidden="1" customWidth="1"/>
    <col min="55" max="56" width="1" style="1" customWidth="1"/>
    <col min="57" max="57" width="17.85546875" style="1" customWidth="1"/>
    <col min="58" max="59" width="1" style="1" customWidth="1"/>
    <col min="60" max="61" width="1" style="1" hidden="1" customWidth="1"/>
    <col min="62" max="62" width="17.85546875" style="1" hidden="1" customWidth="1"/>
    <col min="63" max="66" width="1" style="1" hidden="1" customWidth="1"/>
    <col min="67" max="67" width="17.85546875" style="1" hidden="1" customWidth="1"/>
    <col min="68" max="69" width="1" style="1" hidden="1" customWidth="1"/>
    <col min="70" max="71" width="1" style="1" customWidth="1"/>
    <col min="72" max="72" width="16.140625" style="1" customWidth="1"/>
    <col min="73" max="76" width="1" style="1" customWidth="1"/>
    <col min="77" max="77" width="15.140625" style="1" customWidth="1"/>
    <col min="78" max="79" width="1" style="1" customWidth="1"/>
    <col min="80" max="81" width="1" style="1" hidden="1" customWidth="1"/>
    <col min="82" max="82" width="17.85546875" style="1" hidden="1" customWidth="1"/>
    <col min="83" max="86" width="1" style="1" hidden="1" customWidth="1"/>
    <col min="87" max="87" width="17.85546875" style="1" hidden="1" customWidth="1"/>
    <col min="88" max="91" width="1" style="1" hidden="1" customWidth="1"/>
    <col min="92" max="92" width="17.85546875" style="1" hidden="1" customWidth="1"/>
    <col min="93" max="96" width="1" style="1" hidden="1" customWidth="1"/>
    <col min="97" max="97" width="17.85546875" style="1" hidden="1" customWidth="1"/>
    <col min="98" max="101" width="1" style="1" hidden="1" customWidth="1"/>
    <col min="102" max="102" width="17.85546875" style="1" hidden="1" customWidth="1"/>
    <col min="103" max="106" width="1" style="1" hidden="1" customWidth="1"/>
    <col min="107" max="107" width="17.85546875" style="1" hidden="1" customWidth="1"/>
    <col min="108" max="111" width="1" style="1" hidden="1" customWidth="1"/>
    <col min="112" max="112" width="17.85546875" style="1" hidden="1" customWidth="1"/>
    <col min="113" max="116" width="1" style="1" hidden="1" customWidth="1"/>
    <col min="117" max="117" width="16" style="1" hidden="1" customWidth="1"/>
    <col min="118" max="121" width="1" style="1" hidden="1" customWidth="1"/>
    <col min="122" max="122" width="17.85546875" style="1" hidden="1" customWidth="1"/>
    <col min="123" max="124" width="1" style="1" hidden="1" customWidth="1"/>
    <col min="125" max="126" width="1" style="1" customWidth="1"/>
    <col min="127" max="127" width="17.85546875" style="1" customWidth="1"/>
    <col min="128" max="129" width="1" style="1" customWidth="1"/>
    <col min="130" max="131" width="1" style="1" hidden="1" customWidth="1"/>
    <col min="132" max="132" width="17.85546875" style="1" hidden="1" customWidth="1"/>
    <col min="133" max="136" width="1" style="1" hidden="1" customWidth="1"/>
    <col min="137" max="137" width="17.85546875" style="1" hidden="1" customWidth="1"/>
    <col min="138" max="139" width="1" style="1" hidden="1" customWidth="1"/>
    <col min="140" max="141" width="1" style="1" customWidth="1"/>
    <col min="142" max="142" width="15.7109375" style="1" customWidth="1"/>
    <col min="143" max="144" width="1" style="1" customWidth="1"/>
    <col min="145" max="145" width="0.7109375" style="1" customWidth="1"/>
    <col min="146" max="146" width="3.28515625" style="1" customWidth="1"/>
    <col min="147" max="147" width="10" style="1"/>
    <col min="148" max="148" width="10.42578125" style="1" bestFit="1" customWidth="1"/>
    <col min="149" max="256" width="10" style="1"/>
    <col min="257" max="257" width="1.85546875" style="1" customWidth="1"/>
    <col min="258" max="258" width="1" style="1" customWidth="1"/>
    <col min="259" max="259" width="0.85546875" style="1" customWidth="1"/>
    <col min="260" max="260" width="58.28515625" style="1" customWidth="1"/>
    <col min="261" max="262" width="1" style="1" customWidth="1"/>
    <col min="263" max="263" width="16.85546875" style="1" customWidth="1"/>
    <col min="264" max="265" width="1" style="1" customWidth="1"/>
    <col min="266" max="310" width="0" style="1" hidden="1" customWidth="1"/>
    <col min="311" max="312" width="1" style="1" customWidth="1"/>
    <col min="313" max="313" width="17.85546875" style="1" customWidth="1"/>
    <col min="314" max="315" width="1" style="1" customWidth="1"/>
    <col min="316" max="325" width="0" style="1" hidden="1" customWidth="1"/>
    <col min="326" max="327" width="1" style="1" customWidth="1"/>
    <col min="328" max="328" width="16.140625" style="1" customWidth="1"/>
    <col min="329" max="332" width="1" style="1" customWidth="1"/>
    <col min="333" max="333" width="15.140625" style="1" customWidth="1"/>
    <col min="334" max="335" width="1" style="1" customWidth="1"/>
    <col min="336" max="380" width="0" style="1" hidden="1" customWidth="1"/>
    <col min="381" max="382" width="1" style="1" customWidth="1"/>
    <col min="383" max="383" width="17.85546875" style="1" customWidth="1"/>
    <col min="384" max="385" width="1" style="1" customWidth="1"/>
    <col min="386" max="395" width="0" style="1" hidden="1" customWidth="1"/>
    <col min="396" max="397" width="1" style="1" customWidth="1"/>
    <col min="398" max="398" width="15.7109375" style="1" customWidth="1"/>
    <col min="399" max="400" width="1" style="1" customWidth="1"/>
    <col min="401" max="401" width="0.7109375" style="1" customWidth="1"/>
    <col min="402" max="402" width="3.28515625" style="1" customWidth="1"/>
    <col min="403" max="403" width="10" style="1"/>
    <col min="404" max="404" width="10.42578125" style="1" bestFit="1" customWidth="1"/>
    <col min="405" max="512" width="10" style="1"/>
    <col min="513" max="513" width="1.85546875" style="1" customWidth="1"/>
    <col min="514" max="514" width="1" style="1" customWidth="1"/>
    <col min="515" max="515" width="0.85546875" style="1" customWidth="1"/>
    <col min="516" max="516" width="58.28515625" style="1" customWidth="1"/>
    <col min="517" max="518" width="1" style="1" customWidth="1"/>
    <col min="519" max="519" width="16.85546875" style="1" customWidth="1"/>
    <col min="520" max="521" width="1" style="1" customWidth="1"/>
    <col min="522" max="566" width="0" style="1" hidden="1" customWidth="1"/>
    <col min="567" max="568" width="1" style="1" customWidth="1"/>
    <col min="569" max="569" width="17.85546875" style="1" customWidth="1"/>
    <col min="570" max="571" width="1" style="1" customWidth="1"/>
    <col min="572" max="581" width="0" style="1" hidden="1" customWidth="1"/>
    <col min="582" max="583" width="1" style="1" customWidth="1"/>
    <col min="584" max="584" width="16.140625" style="1" customWidth="1"/>
    <col min="585" max="588" width="1" style="1" customWidth="1"/>
    <col min="589" max="589" width="15.140625" style="1" customWidth="1"/>
    <col min="590" max="591" width="1" style="1" customWidth="1"/>
    <col min="592" max="636" width="0" style="1" hidden="1" customWidth="1"/>
    <col min="637" max="638" width="1" style="1" customWidth="1"/>
    <col min="639" max="639" width="17.85546875" style="1" customWidth="1"/>
    <col min="640" max="641" width="1" style="1" customWidth="1"/>
    <col min="642" max="651" width="0" style="1" hidden="1" customWidth="1"/>
    <col min="652" max="653" width="1" style="1" customWidth="1"/>
    <col min="654" max="654" width="15.7109375" style="1" customWidth="1"/>
    <col min="655" max="656" width="1" style="1" customWidth="1"/>
    <col min="657" max="657" width="0.7109375" style="1" customWidth="1"/>
    <col min="658" max="658" width="3.28515625" style="1" customWidth="1"/>
    <col min="659" max="659" width="10" style="1"/>
    <col min="660" max="660" width="10.42578125" style="1" bestFit="1" customWidth="1"/>
    <col min="661" max="768" width="10" style="1"/>
    <col min="769" max="769" width="1.85546875" style="1" customWidth="1"/>
    <col min="770" max="770" width="1" style="1" customWidth="1"/>
    <col min="771" max="771" width="0.85546875" style="1" customWidth="1"/>
    <col min="772" max="772" width="58.28515625" style="1" customWidth="1"/>
    <col min="773" max="774" width="1" style="1" customWidth="1"/>
    <col min="775" max="775" width="16.85546875" style="1" customWidth="1"/>
    <col min="776" max="777" width="1" style="1" customWidth="1"/>
    <col min="778" max="822" width="0" style="1" hidden="1" customWidth="1"/>
    <col min="823" max="824" width="1" style="1" customWidth="1"/>
    <col min="825" max="825" width="17.85546875" style="1" customWidth="1"/>
    <col min="826" max="827" width="1" style="1" customWidth="1"/>
    <col min="828" max="837" width="0" style="1" hidden="1" customWidth="1"/>
    <col min="838" max="839" width="1" style="1" customWidth="1"/>
    <col min="840" max="840" width="16.140625" style="1" customWidth="1"/>
    <col min="841" max="844" width="1" style="1" customWidth="1"/>
    <col min="845" max="845" width="15.140625" style="1" customWidth="1"/>
    <col min="846" max="847" width="1" style="1" customWidth="1"/>
    <col min="848" max="892" width="0" style="1" hidden="1" customWidth="1"/>
    <col min="893" max="894" width="1" style="1" customWidth="1"/>
    <col min="895" max="895" width="17.85546875" style="1" customWidth="1"/>
    <col min="896" max="897" width="1" style="1" customWidth="1"/>
    <col min="898" max="907" width="0" style="1" hidden="1" customWidth="1"/>
    <col min="908" max="909" width="1" style="1" customWidth="1"/>
    <col min="910" max="910" width="15.7109375" style="1" customWidth="1"/>
    <col min="911" max="912" width="1" style="1" customWidth="1"/>
    <col min="913" max="913" width="0.7109375" style="1" customWidth="1"/>
    <col min="914" max="914" width="3.28515625" style="1" customWidth="1"/>
    <col min="915" max="915" width="10" style="1"/>
    <col min="916" max="916" width="10.42578125" style="1" bestFit="1" customWidth="1"/>
    <col min="917" max="1024" width="10" style="1"/>
    <col min="1025" max="1025" width="1.85546875" style="1" customWidth="1"/>
    <col min="1026" max="1026" width="1" style="1" customWidth="1"/>
    <col min="1027" max="1027" width="0.85546875" style="1" customWidth="1"/>
    <col min="1028" max="1028" width="58.28515625" style="1" customWidth="1"/>
    <col min="1029" max="1030" width="1" style="1" customWidth="1"/>
    <col min="1031" max="1031" width="16.85546875" style="1" customWidth="1"/>
    <col min="1032" max="1033" width="1" style="1" customWidth="1"/>
    <col min="1034" max="1078" width="0" style="1" hidden="1" customWidth="1"/>
    <col min="1079" max="1080" width="1" style="1" customWidth="1"/>
    <col min="1081" max="1081" width="17.85546875" style="1" customWidth="1"/>
    <col min="1082" max="1083" width="1" style="1" customWidth="1"/>
    <col min="1084" max="1093" width="0" style="1" hidden="1" customWidth="1"/>
    <col min="1094" max="1095" width="1" style="1" customWidth="1"/>
    <col min="1096" max="1096" width="16.140625" style="1" customWidth="1"/>
    <col min="1097" max="1100" width="1" style="1" customWidth="1"/>
    <col min="1101" max="1101" width="15.140625" style="1" customWidth="1"/>
    <col min="1102" max="1103" width="1" style="1" customWidth="1"/>
    <col min="1104" max="1148" width="0" style="1" hidden="1" customWidth="1"/>
    <col min="1149" max="1150" width="1" style="1" customWidth="1"/>
    <col min="1151" max="1151" width="17.85546875" style="1" customWidth="1"/>
    <col min="1152" max="1153" width="1" style="1" customWidth="1"/>
    <col min="1154" max="1163" width="0" style="1" hidden="1" customWidth="1"/>
    <col min="1164" max="1165" width="1" style="1" customWidth="1"/>
    <col min="1166" max="1166" width="15.7109375" style="1" customWidth="1"/>
    <col min="1167" max="1168" width="1" style="1" customWidth="1"/>
    <col min="1169" max="1169" width="0.7109375" style="1" customWidth="1"/>
    <col min="1170" max="1170" width="3.28515625" style="1" customWidth="1"/>
    <col min="1171" max="1171" width="10" style="1"/>
    <col min="1172" max="1172" width="10.42578125" style="1" bestFit="1" customWidth="1"/>
    <col min="1173" max="1280" width="10" style="1"/>
    <col min="1281" max="1281" width="1.85546875" style="1" customWidth="1"/>
    <col min="1282" max="1282" width="1" style="1" customWidth="1"/>
    <col min="1283" max="1283" width="0.85546875" style="1" customWidth="1"/>
    <col min="1284" max="1284" width="58.28515625" style="1" customWidth="1"/>
    <col min="1285" max="1286" width="1" style="1" customWidth="1"/>
    <col min="1287" max="1287" width="16.85546875" style="1" customWidth="1"/>
    <col min="1288" max="1289" width="1" style="1" customWidth="1"/>
    <col min="1290" max="1334" width="0" style="1" hidden="1" customWidth="1"/>
    <col min="1335" max="1336" width="1" style="1" customWidth="1"/>
    <col min="1337" max="1337" width="17.85546875" style="1" customWidth="1"/>
    <col min="1338" max="1339" width="1" style="1" customWidth="1"/>
    <col min="1340" max="1349" width="0" style="1" hidden="1" customWidth="1"/>
    <col min="1350" max="1351" width="1" style="1" customWidth="1"/>
    <col min="1352" max="1352" width="16.140625" style="1" customWidth="1"/>
    <col min="1353" max="1356" width="1" style="1" customWidth="1"/>
    <col min="1357" max="1357" width="15.140625" style="1" customWidth="1"/>
    <col min="1358" max="1359" width="1" style="1" customWidth="1"/>
    <col min="1360" max="1404" width="0" style="1" hidden="1" customWidth="1"/>
    <col min="1405" max="1406" width="1" style="1" customWidth="1"/>
    <col min="1407" max="1407" width="17.85546875" style="1" customWidth="1"/>
    <col min="1408" max="1409" width="1" style="1" customWidth="1"/>
    <col min="1410" max="1419" width="0" style="1" hidden="1" customWidth="1"/>
    <col min="1420" max="1421" width="1" style="1" customWidth="1"/>
    <col min="1422" max="1422" width="15.7109375" style="1" customWidth="1"/>
    <col min="1423" max="1424" width="1" style="1" customWidth="1"/>
    <col min="1425" max="1425" width="0.7109375" style="1" customWidth="1"/>
    <col min="1426" max="1426" width="3.28515625" style="1" customWidth="1"/>
    <col min="1427" max="1427" width="10" style="1"/>
    <col min="1428" max="1428" width="10.42578125" style="1" bestFit="1" customWidth="1"/>
    <col min="1429" max="1536" width="10" style="1"/>
    <col min="1537" max="1537" width="1.85546875" style="1" customWidth="1"/>
    <col min="1538" max="1538" width="1" style="1" customWidth="1"/>
    <col min="1539" max="1539" width="0.85546875" style="1" customWidth="1"/>
    <col min="1540" max="1540" width="58.28515625" style="1" customWidth="1"/>
    <col min="1541" max="1542" width="1" style="1" customWidth="1"/>
    <col min="1543" max="1543" width="16.85546875" style="1" customWidth="1"/>
    <col min="1544" max="1545" width="1" style="1" customWidth="1"/>
    <col min="1546" max="1590" width="0" style="1" hidden="1" customWidth="1"/>
    <col min="1591" max="1592" width="1" style="1" customWidth="1"/>
    <col min="1593" max="1593" width="17.85546875" style="1" customWidth="1"/>
    <col min="1594" max="1595" width="1" style="1" customWidth="1"/>
    <col min="1596" max="1605" width="0" style="1" hidden="1" customWidth="1"/>
    <col min="1606" max="1607" width="1" style="1" customWidth="1"/>
    <col min="1608" max="1608" width="16.140625" style="1" customWidth="1"/>
    <col min="1609" max="1612" width="1" style="1" customWidth="1"/>
    <col min="1613" max="1613" width="15.140625" style="1" customWidth="1"/>
    <col min="1614" max="1615" width="1" style="1" customWidth="1"/>
    <col min="1616" max="1660" width="0" style="1" hidden="1" customWidth="1"/>
    <col min="1661" max="1662" width="1" style="1" customWidth="1"/>
    <col min="1663" max="1663" width="17.85546875" style="1" customWidth="1"/>
    <col min="1664" max="1665" width="1" style="1" customWidth="1"/>
    <col min="1666" max="1675" width="0" style="1" hidden="1" customWidth="1"/>
    <col min="1676" max="1677" width="1" style="1" customWidth="1"/>
    <col min="1678" max="1678" width="15.7109375" style="1" customWidth="1"/>
    <col min="1679" max="1680" width="1" style="1" customWidth="1"/>
    <col min="1681" max="1681" width="0.7109375" style="1" customWidth="1"/>
    <col min="1682" max="1682" width="3.28515625" style="1" customWidth="1"/>
    <col min="1683" max="1683" width="10" style="1"/>
    <col min="1684" max="1684" width="10.42578125" style="1" bestFit="1" customWidth="1"/>
    <col min="1685" max="1792" width="10" style="1"/>
    <col min="1793" max="1793" width="1.85546875" style="1" customWidth="1"/>
    <col min="1794" max="1794" width="1" style="1" customWidth="1"/>
    <col min="1795" max="1795" width="0.85546875" style="1" customWidth="1"/>
    <col min="1796" max="1796" width="58.28515625" style="1" customWidth="1"/>
    <col min="1797" max="1798" width="1" style="1" customWidth="1"/>
    <col min="1799" max="1799" width="16.85546875" style="1" customWidth="1"/>
    <col min="1800" max="1801" width="1" style="1" customWidth="1"/>
    <col min="1802" max="1846" width="0" style="1" hidden="1" customWidth="1"/>
    <col min="1847" max="1848" width="1" style="1" customWidth="1"/>
    <col min="1849" max="1849" width="17.85546875" style="1" customWidth="1"/>
    <col min="1850" max="1851" width="1" style="1" customWidth="1"/>
    <col min="1852" max="1861" width="0" style="1" hidden="1" customWidth="1"/>
    <col min="1862" max="1863" width="1" style="1" customWidth="1"/>
    <col min="1864" max="1864" width="16.140625" style="1" customWidth="1"/>
    <col min="1865" max="1868" width="1" style="1" customWidth="1"/>
    <col min="1869" max="1869" width="15.140625" style="1" customWidth="1"/>
    <col min="1870" max="1871" width="1" style="1" customWidth="1"/>
    <col min="1872" max="1916" width="0" style="1" hidden="1" customWidth="1"/>
    <col min="1917" max="1918" width="1" style="1" customWidth="1"/>
    <col min="1919" max="1919" width="17.85546875" style="1" customWidth="1"/>
    <col min="1920" max="1921" width="1" style="1" customWidth="1"/>
    <col min="1922" max="1931" width="0" style="1" hidden="1" customWidth="1"/>
    <col min="1932" max="1933" width="1" style="1" customWidth="1"/>
    <col min="1934" max="1934" width="15.7109375" style="1" customWidth="1"/>
    <col min="1935" max="1936" width="1" style="1" customWidth="1"/>
    <col min="1937" max="1937" width="0.7109375" style="1" customWidth="1"/>
    <col min="1938" max="1938" width="3.28515625" style="1" customWidth="1"/>
    <col min="1939" max="1939" width="10" style="1"/>
    <col min="1940" max="1940" width="10.42578125" style="1" bestFit="1" customWidth="1"/>
    <col min="1941" max="2048" width="10" style="1"/>
    <col min="2049" max="2049" width="1.85546875" style="1" customWidth="1"/>
    <col min="2050" max="2050" width="1" style="1" customWidth="1"/>
    <col min="2051" max="2051" width="0.85546875" style="1" customWidth="1"/>
    <col min="2052" max="2052" width="58.28515625" style="1" customWidth="1"/>
    <col min="2053" max="2054" width="1" style="1" customWidth="1"/>
    <col min="2055" max="2055" width="16.85546875" style="1" customWidth="1"/>
    <col min="2056" max="2057" width="1" style="1" customWidth="1"/>
    <col min="2058" max="2102" width="0" style="1" hidden="1" customWidth="1"/>
    <col min="2103" max="2104" width="1" style="1" customWidth="1"/>
    <col min="2105" max="2105" width="17.85546875" style="1" customWidth="1"/>
    <col min="2106" max="2107" width="1" style="1" customWidth="1"/>
    <col min="2108" max="2117" width="0" style="1" hidden="1" customWidth="1"/>
    <col min="2118" max="2119" width="1" style="1" customWidth="1"/>
    <col min="2120" max="2120" width="16.140625" style="1" customWidth="1"/>
    <col min="2121" max="2124" width="1" style="1" customWidth="1"/>
    <col min="2125" max="2125" width="15.140625" style="1" customWidth="1"/>
    <col min="2126" max="2127" width="1" style="1" customWidth="1"/>
    <col min="2128" max="2172" width="0" style="1" hidden="1" customWidth="1"/>
    <col min="2173" max="2174" width="1" style="1" customWidth="1"/>
    <col min="2175" max="2175" width="17.85546875" style="1" customWidth="1"/>
    <col min="2176" max="2177" width="1" style="1" customWidth="1"/>
    <col min="2178" max="2187" width="0" style="1" hidden="1" customWidth="1"/>
    <col min="2188" max="2189" width="1" style="1" customWidth="1"/>
    <col min="2190" max="2190" width="15.7109375" style="1" customWidth="1"/>
    <col min="2191" max="2192" width="1" style="1" customWidth="1"/>
    <col min="2193" max="2193" width="0.7109375" style="1" customWidth="1"/>
    <col min="2194" max="2194" width="3.28515625" style="1" customWidth="1"/>
    <col min="2195" max="2195" width="10" style="1"/>
    <col min="2196" max="2196" width="10.42578125" style="1" bestFit="1" customWidth="1"/>
    <col min="2197" max="2304" width="10" style="1"/>
    <col min="2305" max="2305" width="1.85546875" style="1" customWidth="1"/>
    <col min="2306" max="2306" width="1" style="1" customWidth="1"/>
    <col min="2307" max="2307" width="0.85546875" style="1" customWidth="1"/>
    <col min="2308" max="2308" width="58.28515625" style="1" customWidth="1"/>
    <col min="2309" max="2310" width="1" style="1" customWidth="1"/>
    <col min="2311" max="2311" width="16.85546875" style="1" customWidth="1"/>
    <col min="2312" max="2313" width="1" style="1" customWidth="1"/>
    <col min="2314" max="2358" width="0" style="1" hidden="1" customWidth="1"/>
    <col min="2359" max="2360" width="1" style="1" customWidth="1"/>
    <col min="2361" max="2361" width="17.85546875" style="1" customWidth="1"/>
    <col min="2362" max="2363" width="1" style="1" customWidth="1"/>
    <col min="2364" max="2373" width="0" style="1" hidden="1" customWidth="1"/>
    <col min="2374" max="2375" width="1" style="1" customWidth="1"/>
    <col min="2376" max="2376" width="16.140625" style="1" customWidth="1"/>
    <col min="2377" max="2380" width="1" style="1" customWidth="1"/>
    <col min="2381" max="2381" width="15.140625" style="1" customWidth="1"/>
    <col min="2382" max="2383" width="1" style="1" customWidth="1"/>
    <col min="2384" max="2428" width="0" style="1" hidden="1" customWidth="1"/>
    <col min="2429" max="2430" width="1" style="1" customWidth="1"/>
    <col min="2431" max="2431" width="17.85546875" style="1" customWidth="1"/>
    <col min="2432" max="2433" width="1" style="1" customWidth="1"/>
    <col min="2434" max="2443" width="0" style="1" hidden="1" customWidth="1"/>
    <col min="2444" max="2445" width="1" style="1" customWidth="1"/>
    <col min="2446" max="2446" width="15.7109375" style="1" customWidth="1"/>
    <col min="2447" max="2448" width="1" style="1" customWidth="1"/>
    <col min="2449" max="2449" width="0.7109375" style="1" customWidth="1"/>
    <col min="2450" max="2450" width="3.28515625" style="1" customWidth="1"/>
    <col min="2451" max="2451" width="10" style="1"/>
    <col min="2452" max="2452" width="10.42578125" style="1" bestFit="1" customWidth="1"/>
    <col min="2453" max="2560" width="10" style="1"/>
    <col min="2561" max="2561" width="1.85546875" style="1" customWidth="1"/>
    <col min="2562" max="2562" width="1" style="1" customWidth="1"/>
    <col min="2563" max="2563" width="0.85546875" style="1" customWidth="1"/>
    <col min="2564" max="2564" width="58.28515625" style="1" customWidth="1"/>
    <col min="2565" max="2566" width="1" style="1" customWidth="1"/>
    <col min="2567" max="2567" width="16.85546875" style="1" customWidth="1"/>
    <col min="2568" max="2569" width="1" style="1" customWidth="1"/>
    <col min="2570" max="2614" width="0" style="1" hidden="1" customWidth="1"/>
    <col min="2615" max="2616" width="1" style="1" customWidth="1"/>
    <col min="2617" max="2617" width="17.85546875" style="1" customWidth="1"/>
    <col min="2618" max="2619" width="1" style="1" customWidth="1"/>
    <col min="2620" max="2629" width="0" style="1" hidden="1" customWidth="1"/>
    <col min="2630" max="2631" width="1" style="1" customWidth="1"/>
    <col min="2632" max="2632" width="16.140625" style="1" customWidth="1"/>
    <col min="2633" max="2636" width="1" style="1" customWidth="1"/>
    <col min="2637" max="2637" width="15.140625" style="1" customWidth="1"/>
    <col min="2638" max="2639" width="1" style="1" customWidth="1"/>
    <col min="2640" max="2684" width="0" style="1" hidden="1" customWidth="1"/>
    <col min="2685" max="2686" width="1" style="1" customWidth="1"/>
    <col min="2687" max="2687" width="17.85546875" style="1" customWidth="1"/>
    <col min="2688" max="2689" width="1" style="1" customWidth="1"/>
    <col min="2690" max="2699" width="0" style="1" hidden="1" customWidth="1"/>
    <col min="2700" max="2701" width="1" style="1" customWidth="1"/>
    <col min="2702" max="2702" width="15.7109375" style="1" customWidth="1"/>
    <col min="2703" max="2704" width="1" style="1" customWidth="1"/>
    <col min="2705" max="2705" width="0.7109375" style="1" customWidth="1"/>
    <col min="2706" max="2706" width="3.28515625" style="1" customWidth="1"/>
    <col min="2707" max="2707" width="10" style="1"/>
    <col min="2708" max="2708" width="10.42578125" style="1" bestFit="1" customWidth="1"/>
    <col min="2709" max="2816" width="10" style="1"/>
    <col min="2817" max="2817" width="1.85546875" style="1" customWidth="1"/>
    <col min="2818" max="2818" width="1" style="1" customWidth="1"/>
    <col min="2819" max="2819" width="0.85546875" style="1" customWidth="1"/>
    <col min="2820" max="2820" width="58.28515625" style="1" customWidth="1"/>
    <col min="2821" max="2822" width="1" style="1" customWidth="1"/>
    <col min="2823" max="2823" width="16.85546875" style="1" customWidth="1"/>
    <col min="2824" max="2825" width="1" style="1" customWidth="1"/>
    <col min="2826" max="2870" width="0" style="1" hidden="1" customWidth="1"/>
    <col min="2871" max="2872" width="1" style="1" customWidth="1"/>
    <col min="2873" max="2873" width="17.85546875" style="1" customWidth="1"/>
    <col min="2874" max="2875" width="1" style="1" customWidth="1"/>
    <col min="2876" max="2885" width="0" style="1" hidden="1" customWidth="1"/>
    <col min="2886" max="2887" width="1" style="1" customWidth="1"/>
    <col min="2888" max="2888" width="16.140625" style="1" customWidth="1"/>
    <col min="2889" max="2892" width="1" style="1" customWidth="1"/>
    <col min="2893" max="2893" width="15.140625" style="1" customWidth="1"/>
    <col min="2894" max="2895" width="1" style="1" customWidth="1"/>
    <col min="2896" max="2940" width="0" style="1" hidden="1" customWidth="1"/>
    <col min="2941" max="2942" width="1" style="1" customWidth="1"/>
    <col min="2943" max="2943" width="17.85546875" style="1" customWidth="1"/>
    <col min="2944" max="2945" width="1" style="1" customWidth="1"/>
    <col min="2946" max="2955" width="0" style="1" hidden="1" customWidth="1"/>
    <col min="2956" max="2957" width="1" style="1" customWidth="1"/>
    <col min="2958" max="2958" width="15.7109375" style="1" customWidth="1"/>
    <col min="2959" max="2960" width="1" style="1" customWidth="1"/>
    <col min="2961" max="2961" width="0.7109375" style="1" customWidth="1"/>
    <col min="2962" max="2962" width="3.28515625" style="1" customWidth="1"/>
    <col min="2963" max="2963" width="10" style="1"/>
    <col min="2964" max="2964" width="10.42578125" style="1" bestFit="1" customWidth="1"/>
    <col min="2965" max="3072" width="10" style="1"/>
    <col min="3073" max="3073" width="1.85546875" style="1" customWidth="1"/>
    <col min="3074" max="3074" width="1" style="1" customWidth="1"/>
    <col min="3075" max="3075" width="0.85546875" style="1" customWidth="1"/>
    <col min="3076" max="3076" width="58.28515625" style="1" customWidth="1"/>
    <col min="3077" max="3078" width="1" style="1" customWidth="1"/>
    <col min="3079" max="3079" width="16.85546875" style="1" customWidth="1"/>
    <col min="3080" max="3081" width="1" style="1" customWidth="1"/>
    <col min="3082" max="3126" width="0" style="1" hidden="1" customWidth="1"/>
    <col min="3127" max="3128" width="1" style="1" customWidth="1"/>
    <col min="3129" max="3129" width="17.85546875" style="1" customWidth="1"/>
    <col min="3130" max="3131" width="1" style="1" customWidth="1"/>
    <col min="3132" max="3141" width="0" style="1" hidden="1" customWidth="1"/>
    <col min="3142" max="3143" width="1" style="1" customWidth="1"/>
    <col min="3144" max="3144" width="16.140625" style="1" customWidth="1"/>
    <col min="3145" max="3148" width="1" style="1" customWidth="1"/>
    <col min="3149" max="3149" width="15.140625" style="1" customWidth="1"/>
    <col min="3150" max="3151" width="1" style="1" customWidth="1"/>
    <col min="3152" max="3196" width="0" style="1" hidden="1" customWidth="1"/>
    <col min="3197" max="3198" width="1" style="1" customWidth="1"/>
    <col min="3199" max="3199" width="17.85546875" style="1" customWidth="1"/>
    <col min="3200" max="3201" width="1" style="1" customWidth="1"/>
    <col min="3202" max="3211" width="0" style="1" hidden="1" customWidth="1"/>
    <col min="3212" max="3213" width="1" style="1" customWidth="1"/>
    <col min="3214" max="3214" width="15.7109375" style="1" customWidth="1"/>
    <col min="3215" max="3216" width="1" style="1" customWidth="1"/>
    <col min="3217" max="3217" width="0.7109375" style="1" customWidth="1"/>
    <col min="3218" max="3218" width="3.28515625" style="1" customWidth="1"/>
    <col min="3219" max="3219" width="10" style="1"/>
    <col min="3220" max="3220" width="10.42578125" style="1" bestFit="1" customWidth="1"/>
    <col min="3221" max="3328" width="10" style="1"/>
    <col min="3329" max="3329" width="1.85546875" style="1" customWidth="1"/>
    <col min="3330" max="3330" width="1" style="1" customWidth="1"/>
    <col min="3331" max="3331" width="0.85546875" style="1" customWidth="1"/>
    <col min="3332" max="3332" width="58.28515625" style="1" customWidth="1"/>
    <col min="3333" max="3334" width="1" style="1" customWidth="1"/>
    <col min="3335" max="3335" width="16.85546875" style="1" customWidth="1"/>
    <col min="3336" max="3337" width="1" style="1" customWidth="1"/>
    <col min="3338" max="3382" width="0" style="1" hidden="1" customWidth="1"/>
    <col min="3383" max="3384" width="1" style="1" customWidth="1"/>
    <col min="3385" max="3385" width="17.85546875" style="1" customWidth="1"/>
    <col min="3386" max="3387" width="1" style="1" customWidth="1"/>
    <col min="3388" max="3397" width="0" style="1" hidden="1" customWidth="1"/>
    <col min="3398" max="3399" width="1" style="1" customWidth="1"/>
    <col min="3400" max="3400" width="16.140625" style="1" customWidth="1"/>
    <col min="3401" max="3404" width="1" style="1" customWidth="1"/>
    <col min="3405" max="3405" width="15.140625" style="1" customWidth="1"/>
    <col min="3406" max="3407" width="1" style="1" customWidth="1"/>
    <col min="3408" max="3452" width="0" style="1" hidden="1" customWidth="1"/>
    <col min="3453" max="3454" width="1" style="1" customWidth="1"/>
    <col min="3455" max="3455" width="17.85546875" style="1" customWidth="1"/>
    <col min="3456" max="3457" width="1" style="1" customWidth="1"/>
    <col min="3458" max="3467" width="0" style="1" hidden="1" customWidth="1"/>
    <col min="3468" max="3469" width="1" style="1" customWidth="1"/>
    <col min="3470" max="3470" width="15.7109375" style="1" customWidth="1"/>
    <col min="3471" max="3472" width="1" style="1" customWidth="1"/>
    <col min="3473" max="3473" width="0.7109375" style="1" customWidth="1"/>
    <col min="3474" max="3474" width="3.28515625" style="1" customWidth="1"/>
    <col min="3475" max="3475" width="10" style="1"/>
    <col min="3476" max="3476" width="10.42578125" style="1" bestFit="1" customWidth="1"/>
    <col min="3477" max="3584" width="10" style="1"/>
    <col min="3585" max="3585" width="1.85546875" style="1" customWidth="1"/>
    <col min="3586" max="3586" width="1" style="1" customWidth="1"/>
    <col min="3587" max="3587" width="0.85546875" style="1" customWidth="1"/>
    <col min="3588" max="3588" width="58.28515625" style="1" customWidth="1"/>
    <col min="3589" max="3590" width="1" style="1" customWidth="1"/>
    <col min="3591" max="3591" width="16.85546875" style="1" customWidth="1"/>
    <col min="3592" max="3593" width="1" style="1" customWidth="1"/>
    <col min="3594" max="3638" width="0" style="1" hidden="1" customWidth="1"/>
    <col min="3639" max="3640" width="1" style="1" customWidth="1"/>
    <col min="3641" max="3641" width="17.85546875" style="1" customWidth="1"/>
    <col min="3642" max="3643" width="1" style="1" customWidth="1"/>
    <col min="3644" max="3653" width="0" style="1" hidden="1" customWidth="1"/>
    <col min="3654" max="3655" width="1" style="1" customWidth="1"/>
    <col min="3656" max="3656" width="16.140625" style="1" customWidth="1"/>
    <col min="3657" max="3660" width="1" style="1" customWidth="1"/>
    <col min="3661" max="3661" width="15.140625" style="1" customWidth="1"/>
    <col min="3662" max="3663" width="1" style="1" customWidth="1"/>
    <col min="3664" max="3708" width="0" style="1" hidden="1" customWidth="1"/>
    <col min="3709" max="3710" width="1" style="1" customWidth="1"/>
    <col min="3711" max="3711" width="17.85546875" style="1" customWidth="1"/>
    <col min="3712" max="3713" width="1" style="1" customWidth="1"/>
    <col min="3714" max="3723" width="0" style="1" hidden="1" customWidth="1"/>
    <col min="3724" max="3725" width="1" style="1" customWidth="1"/>
    <col min="3726" max="3726" width="15.7109375" style="1" customWidth="1"/>
    <col min="3727" max="3728" width="1" style="1" customWidth="1"/>
    <col min="3729" max="3729" width="0.7109375" style="1" customWidth="1"/>
    <col min="3730" max="3730" width="3.28515625" style="1" customWidth="1"/>
    <col min="3731" max="3731" width="10" style="1"/>
    <col min="3732" max="3732" width="10.42578125" style="1" bestFit="1" customWidth="1"/>
    <col min="3733" max="3840" width="10" style="1"/>
    <col min="3841" max="3841" width="1.85546875" style="1" customWidth="1"/>
    <col min="3842" max="3842" width="1" style="1" customWidth="1"/>
    <col min="3843" max="3843" width="0.85546875" style="1" customWidth="1"/>
    <col min="3844" max="3844" width="58.28515625" style="1" customWidth="1"/>
    <col min="3845" max="3846" width="1" style="1" customWidth="1"/>
    <col min="3847" max="3847" width="16.85546875" style="1" customWidth="1"/>
    <col min="3848" max="3849" width="1" style="1" customWidth="1"/>
    <col min="3850" max="3894" width="0" style="1" hidden="1" customWidth="1"/>
    <col min="3895" max="3896" width="1" style="1" customWidth="1"/>
    <col min="3897" max="3897" width="17.85546875" style="1" customWidth="1"/>
    <col min="3898" max="3899" width="1" style="1" customWidth="1"/>
    <col min="3900" max="3909" width="0" style="1" hidden="1" customWidth="1"/>
    <col min="3910" max="3911" width="1" style="1" customWidth="1"/>
    <col min="3912" max="3912" width="16.140625" style="1" customWidth="1"/>
    <col min="3913" max="3916" width="1" style="1" customWidth="1"/>
    <col min="3917" max="3917" width="15.140625" style="1" customWidth="1"/>
    <col min="3918" max="3919" width="1" style="1" customWidth="1"/>
    <col min="3920" max="3964" width="0" style="1" hidden="1" customWidth="1"/>
    <col min="3965" max="3966" width="1" style="1" customWidth="1"/>
    <col min="3967" max="3967" width="17.85546875" style="1" customWidth="1"/>
    <col min="3968" max="3969" width="1" style="1" customWidth="1"/>
    <col min="3970" max="3979" width="0" style="1" hidden="1" customWidth="1"/>
    <col min="3980" max="3981" width="1" style="1" customWidth="1"/>
    <col min="3982" max="3982" width="15.7109375" style="1" customWidth="1"/>
    <col min="3983" max="3984" width="1" style="1" customWidth="1"/>
    <col min="3985" max="3985" width="0.7109375" style="1" customWidth="1"/>
    <col min="3986" max="3986" width="3.28515625" style="1" customWidth="1"/>
    <col min="3987" max="3987" width="10" style="1"/>
    <col min="3988" max="3988" width="10.42578125" style="1" bestFit="1" customWidth="1"/>
    <col min="3989" max="4096" width="10" style="1"/>
    <col min="4097" max="4097" width="1.85546875" style="1" customWidth="1"/>
    <col min="4098" max="4098" width="1" style="1" customWidth="1"/>
    <col min="4099" max="4099" width="0.85546875" style="1" customWidth="1"/>
    <col min="4100" max="4100" width="58.28515625" style="1" customWidth="1"/>
    <col min="4101" max="4102" width="1" style="1" customWidth="1"/>
    <col min="4103" max="4103" width="16.85546875" style="1" customWidth="1"/>
    <col min="4104" max="4105" width="1" style="1" customWidth="1"/>
    <col min="4106" max="4150" width="0" style="1" hidden="1" customWidth="1"/>
    <col min="4151" max="4152" width="1" style="1" customWidth="1"/>
    <col min="4153" max="4153" width="17.85546875" style="1" customWidth="1"/>
    <col min="4154" max="4155" width="1" style="1" customWidth="1"/>
    <col min="4156" max="4165" width="0" style="1" hidden="1" customWidth="1"/>
    <col min="4166" max="4167" width="1" style="1" customWidth="1"/>
    <col min="4168" max="4168" width="16.140625" style="1" customWidth="1"/>
    <col min="4169" max="4172" width="1" style="1" customWidth="1"/>
    <col min="4173" max="4173" width="15.140625" style="1" customWidth="1"/>
    <col min="4174" max="4175" width="1" style="1" customWidth="1"/>
    <col min="4176" max="4220" width="0" style="1" hidden="1" customWidth="1"/>
    <col min="4221" max="4222" width="1" style="1" customWidth="1"/>
    <col min="4223" max="4223" width="17.85546875" style="1" customWidth="1"/>
    <col min="4224" max="4225" width="1" style="1" customWidth="1"/>
    <col min="4226" max="4235" width="0" style="1" hidden="1" customWidth="1"/>
    <col min="4236" max="4237" width="1" style="1" customWidth="1"/>
    <col min="4238" max="4238" width="15.7109375" style="1" customWidth="1"/>
    <col min="4239" max="4240" width="1" style="1" customWidth="1"/>
    <col min="4241" max="4241" width="0.7109375" style="1" customWidth="1"/>
    <col min="4242" max="4242" width="3.28515625" style="1" customWidth="1"/>
    <col min="4243" max="4243" width="10" style="1"/>
    <col min="4244" max="4244" width="10.42578125" style="1" bestFit="1" customWidth="1"/>
    <col min="4245" max="4352" width="10" style="1"/>
    <col min="4353" max="4353" width="1.85546875" style="1" customWidth="1"/>
    <col min="4354" max="4354" width="1" style="1" customWidth="1"/>
    <col min="4355" max="4355" width="0.85546875" style="1" customWidth="1"/>
    <col min="4356" max="4356" width="58.28515625" style="1" customWidth="1"/>
    <col min="4357" max="4358" width="1" style="1" customWidth="1"/>
    <col min="4359" max="4359" width="16.85546875" style="1" customWidth="1"/>
    <col min="4360" max="4361" width="1" style="1" customWidth="1"/>
    <col min="4362" max="4406" width="0" style="1" hidden="1" customWidth="1"/>
    <col min="4407" max="4408" width="1" style="1" customWidth="1"/>
    <col min="4409" max="4409" width="17.85546875" style="1" customWidth="1"/>
    <col min="4410" max="4411" width="1" style="1" customWidth="1"/>
    <col min="4412" max="4421" width="0" style="1" hidden="1" customWidth="1"/>
    <col min="4422" max="4423" width="1" style="1" customWidth="1"/>
    <col min="4424" max="4424" width="16.140625" style="1" customWidth="1"/>
    <col min="4425" max="4428" width="1" style="1" customWidth="1"/>
    <col min="4429" max="4429" width="15.140625" style="1" customWidth="1"/>
    <col min="4430" max="4431" width="1" style="1" customWidth="1"/>
    <col min="4432" max="4476" width="0" style="1" hidden="1" customWidth="1"/>
    <col min="4477" max="4478" width="1" style="1" customWidth="1"/>
    <col min="4479" max="4479" width="17.85546875" style="1" customWidth="1"/>
    <col min="4480" max="4481" width="1" style="1" customWidth="1"/>
    <col min="4482" max="4491" width="0" style="1" hidden="1" customWidth="1"/>
    <col min="4492" max="4493" width="1" style="1" customWidth="1"/>
    <col min="4494" max="4494" width="15.7109375" style="1" customWidth="1"/>
    <col min="4495" max="4496" width="1" style="1" customWidth="1"/>
    <col min="4497" max="4497" width="0.7109375" style="1" customWidth="1"/>
    <col min="4498" max="4498" width="3.28515625" style="1" customWidth="1"/>
    <col min="4499" max="4499" width="10" style="1"/>
    <col min="4500" max="4500" width="10.42578125" style="1" bestFit="1" customWidth="1"/>
    <col min="4501" max="4608" width="10" style="1"/>
    <col min="4609" max="4609" width="1.85546875" style="1" customWidth="1"/>
    <col min="4610" max="4610" width="1" style="1" customWidth="1"/>
    <col min="4611" max="4611" width="0.85546875" style="1" customWidth="1"/>
    <col min="4612" max="4612" width="58.28515625" style="1" customWidth="1"/>
    <col min="4613" max="4614" width="1" style="1" customWidth="1"/>
    <col min="4615" max="4615" width="16.85546875" style="1" customWidth="1"/>
    <col min="4616" max="4617" width="1" style="1" customWidth="1"/>
    <col min="4618" max="4662" width="0" style="1" hidden="1" customWidth="1"/>
    <col min="4663" max="4664" width="1" style="1" customWidth="1"/>
    <col min="4665" max="4665" width="17.85546875" style="1" customWidth="1"/>
    <col min="4666" max="4667" width="1" style="1" customWidth="1"/>
    <col min="4668" max="4677" width="0" style="1" hidden="1" customWidth="1"/>
    <col min="4678" max="4679" width="1" style="1" customWidth="1"/>
    <col min="4680" max="4680" width="16.140625" style="1" customWidth="1"/>
    <col min="4681" max="4684" width="1" style="1" customWidth="1"/>
    <col min="4685" max="4685" width="15.140625" style="1" customWidth="1"/>
    <col min="4686" max="4687" width="1" style="1" customWidth="1"/>
    <col min="4688" max="4732" width="0" style="1" hidden="1" customWidth="1"/>
    <col min="4733" max="4734" width="1" style="1" customWidth="1"/>
    <col min="4735" max="4735" width="17.85546875" style="1" customWidth="1"/>
    <col min="4736" max="4737" width="1" style="1" customWidth="1"/>
    <col min="4738" max="4747" width="0" style="1" hidden="1" customWidth="1"/>
    <col min="4748" max="4749" width="1" style="1" customWidth="1"/>
    <col min="4750" max="4750" width="15.7109375" style="1" customWidth="1"/>
    <col min="4751" max="4752" width="1" style="1" customWidth="1"/>
    <col min="4753" max="4753" width="0.7109375" style="1" customWidth="1"/>
    <col min="4754" max="4754" width="3.28515625" style="1" customWidth="1"/>
    <col min="4755" max="4755" width="10" style="1"/>
    <col min="4756" max="4756" width="10.42578125" style="1" bestFit="1" customWidth="1"/>
    <col min="4757" max="4864" width="10" style="1"/>
    <col min="4865" max="4865" width="1.85546875" style="1" customWidth="1"/>
    <col min="4866" max="4866" width="1" style="1" customWidth="1"/>
    <col min="4867" max="4867" width="0.85546875" style="1" customWidth="1"/>
    <col min="4868" max="4868" width="58.28515625" style="1" customWidth="1"/>
    <col min="4869" max="4870" width="1" style="1" customWidth="1"/>
    <col min="4871" max="4871" width="16.85546875" style="1" customWidth="1"/>
    <col min="4872" max="4873" width="1" style="1" customWidth="1"/>
    <col min="4874" max="4918" width="0" style="1" hidden="1" customWidth="1"/>
    <col min="4919" max="4920" width="1" style="1" customWidth="1"/>
    <col min="4921" max="4921" width="17.85546875" style="1" customWidth="1"/>
    <col min="4922" max="4923" width="1" style="1" customWidth="1"/>
    <col min="4924" max="4933" width="0" style="1" hidden="1" customWidth="1"/>
    <col min="4934" max="4935" width="1" style="1" customWidth="1"/>
    <col min="4936" max="4936" width="16.140625" style="1" customWidth="1"/>
    <col min="4937" max="4940" width="1" style="1" customWidth="1"/>
    <col min="4941" max="4941" width="15.140625" style="1" customWidth="1"/>
    <col min="4942" max="4943" width="1" style="1" customWidth="1"/>
    <col min="4944" max="4988" width="0" style="1" hidden="1" customWidth="1"/>
    <col min="4989" max="4990" width="1" style="1" customWidth="1"/>
    <col min="4991" max="4991" width="17.85546875" style="1" customWidth="1"/>
    <col min="4992" max="4993" width="1" style="1" customWidth="1"/>
    <col min="4994" max="5003" width="0" style="1" hidden="1" customWidth="1"/>
    <col min="5004" max="5005" width="1" style="1" customWidth="1"/>
    <col min="5006" max="5006" width="15.7109375" style="1" customWidth="1"/>
    <col min="5007" max="5008" width="1" style="1" customWidth="1"/>
    <col min="5009" max="5009" width="0.7109375" style="1" customWidth="1"/>
    <col min="5010" max="5010" width="3.28515625" style="1" customWidth="1"/>
    <col min="5011" max="5011" width="10" style="1"/>
    <col min="5012" max="5012" width="10.42578125" style="1" bestFit="1" customWidth="1"/>
    <col min="5013" max="5120" width="10" style="1"/>
    <col min="5121" max="5121" width="1.85546875" style="1" customWidth="1"/>
    <col min="5122" max="5122" width="1" style="1" customWidth="1"/>
    <col min="5123" max="5123" width="0.85546875" style="1" customWidth="1"/>
    <col min="5124" max="5124" width="58.28515625" style="1" customWidth="1"/>
    <col min="5125" max="5126" width="1" style="1" customWidth="1"/>
    <col min="5127" max="5127" width="16.85546875" style="1" customWidth="1"/>
    <col min="5128" max="5129" width="1" style="1" customWidth="1"/>
    <col min="5130" max="5174" width="0" style="1" hidden="1" customWidth="1"/>
    <col min="5175" max="5176" width="1" style="1" customWidth="1"/>
    <col min="5177" max="5177" width="17.85546875" style="1" customWidth="1"/>
    <col min="5178" max="5179" width="1" style="1" customWidth="1"/>
    <col min="5180" max="5189" width="0" style="1" hidden="1" customWidth="1"/>
    <col min="5190" max="5191" width="1" style="1" customWidth="1"/>
    <col min="5192" max="5192" width="16.140625" style="1" customWidth="1"/>
    <col min="5193" max="5196" width="1" style="1" customWidth="1"/>
    <col min="5197" max="5197" width="15.140625" style="1" customWidth="1"/>
    <col min="5198" max="5199" width="1" style="1" customWidth="1"/>
    <col min="5200" max="5244" width="0" style="1" hidden="1" customWidth="1"/>
    <col min="5245" max="5246" width="1" style="1" customWidth="1"/>
    <col min="5247" max="5247" width="17.85546875" style="1" customWidth="1"/>
    <col min="5248" max="5249" width="1" style="1" customWidth="1"/>
    <col min="5250" max="5259" width="0" style="1" hidden="1" customWidth="1"/>
    <col min="5260" max="5261" width="1" style="1" customWidth="1"/>
    <col min="5262" max="5262" width="15.7109375" style="1" customWidth="1"/>
    <col min="5263" max="5264" width="1" style="1" customWidth="1"/>
    <col min="5265" max="5265" width="0.7109375" style="1" customWidth="1"/>
    <col min="5266" max="5266" width="3.28515625" style="1" customWidth="1"/>
    <col min="5267" max="5267" width="10" style="1"/>
    <col min="5268" max="5268" width="10.42578125" style="1" bestFit="1" customWidth="1"/>
    <col min="5269" max="5376" width="10" style="1"/>
    <col min="5377" max="5377" width="1.85546875" style="1" customWidth="1"/>
    <col min="5378" max="5378" width="1" style="1" customWidth="1"/>
    <col min="5379" max="5379" width="0.85546875" style="1" customWidth="1"/>
    <col min="5380" max="5380" width="58.28515625" style="1" customWidth="1"/>
    <col min="5381" max="5382" width="1" style="1" customWidth="1"/>
    <col min="5383" max="5383" width="16.85546875" style="1" customWidth="1"/>
    <col min="5384" max="5385" width="1" style="1" customWidth="1"/>
    <col min="5386" max="5430" width="0" style="1" hidden="1" customWidth="1"/>
    <col min="5431" max="5432" width="1" style="1" customWidth="1"/>
    <col min="5433" max="5433" width="17.85546875" style="1" customWidth="1"/>
    <col min="5434" max="5435" width="1" style="1" customWidth="1"/>
    <col min="5436" max="5445" width="0" style="1" hidden="1" customWidth="1"/>
    <col min="5446" max="5447" width="1" style="1" customWidth="1"/>
    <col min="5448" max="5448" width="16.140625" style="1" customWidth="1"/>
    <col min="5449" max="5452" width="1" style="1" customWidth="1"/>
    <col min="5453" max="5453" width="15.140625" style="1" customWidth="1"/>
    <col min="5454" max="5455" width="1" style="1" customWidth="1"/>
    <col min="5456" max="5500" width="0" style="1" hidden="1" customWidth="1"/>
    <col min="5501" max="5502" width="1" style="1" customWidth="1"/>
    <col min="5503" max="5503" width="17.85546875" style="1" customWidth="1"/>
    <col min="5504" max="5505" width="1" style="1" customWidth="1"/>
    <col min="5506" max="5515" width="0" style="1" hidden="1" customWidth="1"/>
    <col min="5516" max="5517" width="1" style="1" customWidth="1"/>
    <col min="5518" max="5518" width="15.7109375" style="1" customWidth="1"/>
    <col min="5519" max="5520" width="1" style="1" customWidth="1"/>
    <col min="5521" max="5521" width="0.7109375" style="1" customWidth="1"/>
    <col min="5522" max="5522" width="3.28515625" style="1" customWidth="1"/>
    <col min="5523" max="5523" width="10" style="1"/>
    <col min="5524" max="5524" width="10.42578125" style="1" bestFit="1" customWidth="1"/>
    <col min="5525" max="5632" width="10" style="1"/>
    <col min="5633" max="5633" width="1.85546875" style="1" customWidth="1"/>
    <col min="5634" max="5634" width="1" style="1" customWidth="1"/>
    <col min="5635" max="5635" width="0.85546875" style="1" customWidth="1"/>
    <col min="5636" max="5636" width="58.28515625" style="1" customWidth="1"/>
    <col min="5637" max="5638" width="1" style="1" customWidth="1"/>
    <col min="5639" max="5639" width="16.85546875" style="1" customWidth="1"/>
    <col min="5640" max="5641" width="1" style="1" customWidth="1"/>
    <col min="5642" max="5686" width="0" style="1" hidden="1" customWidth="1"/>
    <col min="5687" max="5688" width="1" style="1" customWidth="1"/>
    <col min="5689" max="5689" width="17.85546875" style="1" customWidth="1"/>
    <col min="5690" max="5691" width="1" style="1" customWidth="1"/>
    <col min="5692" max="5701" width="0" style="1" hidden="1" customWidth="1"/>
    <col min="5702" max="5703" width="1" style="1" customWidth="1"/>
    <col min="5704" max="5704" width="16.140625" style="1" customWidth="1"/>
    <col min="5705" max="5708" width="1" style="1" customWidth="1"/>
    <col min="5709" max="5709" width="15.140625" style="1" customWidth="1"/>
    <col min="5710" max="5711" width="1" style="1" customWidth="1"/>
    <col min="5712" max="5756" width="0" style="1" hidden="1" customWidth="1"/>
    <col min="5757" max="5758" width="1" style="1" customWidth="1"/>
    <col min="5759" max="5759" width="17.85546875" style="1" customWidth="1"/>
    <col min="5760" max="5761" width="1" style="1" customWidth="1"/>
    <col min="5762" max="5771" width="0" style="1" hidden="1" customWidth="1"/>
    <col min="5772" max="5773" width="1" style="1" customWidth="1"/>
    <col min="5774" max="5774" width="15.7109375" style="1" customWidth="1"/>
    <col min="5775" max="5776" width="1" style="1" customWidth="1"/>
    <col min="5777" max="5777" width="0.7109375" style="1" customWidth="1"/>
    <col min="5778" max="5778" width="3.28515625" style="1" customWidth="1"/>
    <col min="5779" max="5779" width="10" style="1"/>
    <col min="5780" max="5780" width="10.42578125" style="1" bestFit="1" customWidth="1"/>
    <col min="5781" max="5888" width="10" style="1"/>
    <col min="5889" max="5889" width="1.85546875" style="1" customWidth="1"/>
    <col min="5890" max="5890" width="1" style="1" customWidth="1"/>
    <col min="5891" max="5891" width="0.85546875" style="1" customWidth="1"/>
    <col min="5892" max="5892" width="58.28515625" style="1" customWidth="1"/>
    <col min="5893" max="5894" width="1" style="1" customWidth="1"/>
    <col min="5895" max="5895" width="16.85546875" style="1" customWidth="1"/>
    <col min="5896" max="5897" width="1" style="1" customWidth="1"/>
    <col min="5898" max="5942" width="0" style="1" hidden="1" customWidth="1"/>
    <col min="5943" max="5944" width="1" style="1" customWidth="1"/>
    <col min="5945" max="5945" width="17.85546875" style="1" customWidth="1"/>
    <col min="5946" max="5947" width="1" style="1" customWidth="1"/>
    <col min="5948" max="5957" width="0" style="1" hidden="1" customWidth="1"/>
    <col min="5958" max="5959" width="1" style="1" customWidth="1"/>
    <col min="5960" max="5960" width="16.140625" style="1" customWidth="1"/>
    <col min="5961" max="5964" width="1" style="1" customWidth="1"/>
    <col min="5965" max="5965" width="15.140625" style="1" customWidth="1"/>
    <col min="5966" max="5967" width="1" style="1" customWidth="1"/>
    <col min="5968" max="6012" width="0" style="1" hidden="1" customWidth="1"/>
    <col min="6013" max="6014" width="1" style="1" customWidth="1"/>
    <col min="6015" max="6015" width="17.85546875" style="1" customWidth="1"/>
    <col min="6016" max="6017" width="1" style="1" customWidth="1"/>
    <col min="6018" max="6027" width="0" style="1" hidden="1" customWidth="1"/>
    <col min="6028" max="6029" width="1" style="1" customWidth="1"/>
    <col min="6030" max="6030" width="15.7109375" style="1" customWidth="1"/>
    <col min="6031" max="6032" width="1" style="1" customWidth="1"/>
    <col min="6033" max="6033" width="0.7109375" style="1" customWidth="1"/>
    <col min="6034" max="6034" width="3.28515625" style="1" customWidth="1"/>
    <col min="6035" max="6035" width="10" style="1"/>
    <col min="6036" max="6036" width="10.42578125" style="1" bestFit="1" customWidth="1"/>
    <col min="6037" max="6144" width="10" style="1"/>
    <col min="6145" max="6145" width="1.85546875" style="1" customWidth="1"/>
    <col min="6146" max="6146" width="1" style="1" customWidth="1"/>
    <col min="6147" max="6147" width="0.85546875" style="1" customWidth="1"/>
    <col min="6148" max="6148" width="58.28515625" style="1" customWidth="1"/>
    <col min="6149" max="6150" width="1" style="1" customWidth="1"/>
    <col min="6151" max="6151" width="16.85546875" style="1" customWidth="1"/>
    <col min="6152" max="6153" width="1" style="1" customWidth="1"/>
    <col min="6154" max="6198" width="0" style="1" hidden="1" customWidth="1"/>
    <col min="6199" max="6200" width="1" style="1" customWidth="1"/>
    <col min="6201" max="6201" width="17.85546875" style="1" customWidth="1"/>
    <col min="6202" max="6203" width="1" style="1" customWidth="1"/>
    <col min="6204" max="6213" width="0" style="1" hidden="1" customWidth="1"/>
    <col min="6214" max="6215" width="1" style="1" customWidth="1"/>
    <col min="6216" max="6216" width="16.140625" style="1" customWidth="1"/>
    <col min="6217" max="6220" width="1" style="1" customWidth="1"/>
    <col min="6221" max="6221" width="15.140625" style="1" customWidth="1"/>
    <col min="6222" max="6223" width="1" style="1" customWidth="1"/>
    <col min="6224" max="6268" width="0" style="1" hidden="1" customWidth="1"/>
    <col min="6269" max="6270" width="1" style="1" customWidth="1"/>
    <col min="6271" max="6271" width="17.85546875" style="1" customWidth="1"/>
    <col min="6272" max="6273" width="1" style="1" customWidth="1"/>
    <col min="6274" max="6283" width="0" style="1" hidden="1" customWidth="1"/>
    <col min="6284" max="6285" width="1" style="1" customWidth="1"/>
    <col min="6286" max="6286" width="15.7109375" style="1" customWidth="1"/>
    <col min="6287" max="6288" width="1" style="1" customWidth="1"/>
    <col min="6289" max="6289" width="0.7109375" style="1" customWidth="1"/>
    <col min="6290" max="6290" width="3.28515625" style="1" customWidth="1"/>
    <col min="6291" max="6291" width="10" style="1"/>
    <col min="6292" max="6292" width="10.42578125" style="1" bestFit="1" customWidth="1"/>
    <col min="6293" max="6400" width="10" style="1"/>
    <col min="6401" max="6401" width="1.85546875" style="1" customWidth="1"/>
    <col min="6402" max="6402" width="1" style="1" customWidth="1"/>
    <col min="6403" max="6403" width="0.85546875" style="1" customWidth="1"/>
    <col min="6404" max="6404" width="58.28515625" style="1" customWidth="1"/>
    <col min="6405" max="6406" width="1" style="1" customWidth="1"/>
    <col min="6407" max="6407" width="16.85546875" style="1" customWidth="1"/>
    <col min="6408" max="6409" width="1" style="1" customWidth="1"/>
    <col min="6410" max="6454" width="0" style="1" hidden="1" customWidth="1"/>
    <col min="6455" max="6456" width="1" style="1" customWidth="1"/>
    <col min="6457" max="6457" width="17.85546875" style="1" customWidth="1"/>
    <col min="6458" max="6459" width="1" style="1" customWidth="1"/>
    <col min="6460" max="6469" width="0" style="1" hidden="1" customWidth="1"/>
    <col min="6470" max="6471" width="1" style="1" customWidth="1"/>
    <col min="6472" max="6472" width="16.140625" style="1" customWidth="1"/>
    <col min="6473" max="6476" width="1" style="1" customWidth="1"/>
    <col min="6477" max="6477" width="15.140625" style="1" customWidth="1"/>
    <col min="6478" max="6479" width="1" style="1" customWidth="1"/>
    <col min="6480" max="6524" width="0" style="1" hidden="1" customWidth="1"/>
    <col min="6525" max="6526" width="1" style="1" customWidth="1"/>
    <col min="6527" max="6527" width="17.85546875" style="1" customWidth="1"/>
    <col min="6528" max="6529" width="1" style="1" customWidth="1"/>
    <col min="6530" max="6539" width="0" style="1" hidden="1" customWidth="1"/>
    <col min="6540" max="6541" width="1" style="1" customWidth="1"/>
    <col min="6542" max="6542" width="15.7109375" style="1" customWidth="1"/>
    <col min="6543" max="6544" width="1" style="1" customWidth="1"/>
    <col min="6545" max="6545" width="0.7109375" style="1" customWidth="1"/>
    <col min="6546" max="6546" width="3.28515625" style="1" customWidth="1"/>
    <col min="6547" max="6547" width="10" style="1"/>
    <col min="6548" max="6548" width="10.42578125" style="1" bestFit="1" customWidth="1"/>
    <col min="6549" max="6656" width="10" style="1"/>
    <col min="6657" max="6657" width="1.85546875" style="1" customWidth="1"/>
    <col min="6658" max="6658" width="1" style="1" customWidth="1"/>
    <col min="6659" max="6659" width="0.85546875" style="1" customWidth="1"/>
    <col min="6660" max="6660" width="58.28515625" style="1" customWidth="1"/>
    <col min="6661" max="6662" width="1" style="1" customWidth="1"/>
    <col min="6663" max="6663" width="16.85546875" style="1" customWidth="1"/>
    <col min="6664" max="6665" width="1" style="1" customWidth="1"/>
    <col min="6666" max="6710" width="0" style="1" hidden="1" customWidth="1"/>
    <col min="6711" max="6712" width="1" style="1" customWidth="1"/>
    <col min="6713" max="6713" width="17.85546875" style="1" customWidth="1"/>
    <col min="6714" max="6715" width="1" style="1" customWidth="1"/>
    <col min="6716" max="6725" width="0" style="1" hidden="1" customWidth="1"/>
    <col min="6726" max="6727" width="1" style="1" customWidth="1"/>
    <col min="6728" max="6728" width="16.140625" style="1" customWidth="1"/>
    <col min="6729" max="6732" width="1" style="1" customWidth="1"/>
    <col min="6733" max="6733" width="15.140625" style="1" customWidth="1"/>
    <col min="6734" max="6735" width="1" style="1" customWidth="1"/>
    <col min="6736" max="6780" width="0" style="1" hidden="1" customWidth="1"/>
    <col min="6781" max="6782" width="1" style="1" customWidth="1"/>
    <col min="6783" max="6783" width="17.85546875" style="1" customWidth="1"/>
    <col min="6784" max="6785" width="1" style="1" customWidth="1"/>
    <col min="6786" max="6795" width="0" style="1" hidden="1" customWidth="1"/>
    <col min="6796" max="6797" width="1" style="1" customWidth="1"/>
    <col min="6798" max="6798" width="15.7109375" style="1" customWidth="1"/>
    <col min="6799" max="6800" width="1" style="1" customWidth="1"/>
    <col min="6801" max="6801" width="0.7109375" style="1" customWidth="1"/>
    <col min="6802" max="6802" width="3.28515625" style="1" customWidth="1"/>
    <col min="6803" max="6803" width="10" style="1"/>
    <col min="6804" max="6804" width="10.42578125" style="1" bestFit="1" customWidth="1"/>
    <col min="6805" max="6912" width="10" style="1"/>
    <col min="6913" max="6913" width="1.85546875" style="1" customWidth="1"/>
    <col min="6914" max="6914" width="1" style="1" customWidth="1"/>
    <col min="6915" max="6915" width="0.85546875" style="1" customWidth="1"/>
    <col min="6916" max="6916" width="58.28515625" style="1" customWidth="1"/>
    <col min="6917" max="6918" width="1" style="1" customWidth="1"/>
    <col min="6919" max="6919" width="16.85546875" style="1" customWidth="1"/>
    <col min="6920" max="6921" width="1" style="1" customWidth="1"/>
    <col min="6922" max="6966" width="0" style="1" hidden="1" customWidth="1"/>
    <col min="6967" max="6968" width="1" style="1" customWidth="1"/>
    <col min="6969" max="6969" width="17.85546875" style="1" customWidth="1"/>
    <col min="6970" max="6971" width="1" style="1" customWidth="1"/>
    <col min="6972" max="6981" width="0" style="1" hidden="1" customWidth="1"/>
    <col min="6982" max="6983" width="1" style="1" customWidth="1"/>
    <col min="6984" max="6984" width="16.140625" style="1" customWidth="1"/>
    <col min="6985" max="6988" width="1" style="1" customWidth="1"/>
    <col min="6989" max="6989" width="15.140625" style="1" customWidth="1"/>
    <col min="6990" max="6991" width="1" style="1" customWidth="1"/>
    <col min="6992" max="7036" width="0" style="1" hidden="1" customWidth="1"/>
    <col min="7037" max="7038" width="1" style="1" customWidth="1"/>
    <col min="7039" max="7039" width="17.85546875" style="1" customWidth="1"/>
    <col min="7040" max="7041" width="1" style="1" customWidth="1"/>
    <col min="7042" max="7051" width="0" style="1" hidden="1" customWidth="1"/>
    <col min="7052" max="7053" width="1" style="1" customWidth="1"/>
    <col min="7054" max="7054" width="15.7109375" style="1" customWidth="1"/>
    <col min="7055" max="7056" width="1" style="1" customWidth="1"/>
    <col min="7057" max="7057" width="0.7109375" style="1" customWidth="1"/>
    <col min="7058" max="7058" width="3.28515625" style="1" customWidth="1"/>
    <col min="7059" max="7059" width="10" style="1"/>
    <col min="7060" max="7060" width="10.42578125" style="1" bestFit="1" customWidth="1"/>
    <col min="7061" max="7168" width="10" style="1"/>
    <col min="7169" max="7169" width="1.85546875" style="1" customWidth="1"/>
    <col min="7170" max="7170" width="1" style="1" customWidth="1"/>
    <col min="7171" max="7171" width="0.85546875" style="1" customWidth="1"/>
    <col min="7172" max="7172" width="58.28515625" style="1" customWidth="1"/>
    <col min="7173" max="7174" width="1" style="1" customWidth="1"/>
    <col min="7175" max="7175" width="16.85546875" style="1" customWidth="1"/>
    <col min="7176" max="7177" width="1" style="1" customWidth="1"/>
    <col min="7178" max="7222" width="0" style="1" hidden="1" customWidth="1"/>
    <col min="7223" max="7224" width="1" style="1" customWidth="1"/>
    <col min="7225" max="7225" width="17.85546875" style="1" customWidth="1"/>
    <col min="7226" max="7227" width="1" style="1" customWidth="1"/>
    <col min="7228" max="7237" width="0" style="1" hidden="1" customWidth="1"/>
    <col min="7238" max="7239" width="1" style="1" customWidth="1"/>
    <col min="7240" max="7240" width="16.140625" style="1" customWidth="1"/>
    <col min="7241" max="7244" width="1" style="1" customWidth="1"/>
    <col min="7245" max="7245" width="15.140625" style="1" customWidth="1"/>
    <col min="7246" max="7247" width="1" style="1" customWidth="1"/>
    <col min="7248" max="7292" width="0" style="1" hidden="1" customWidth="1"/>
    <col min="7293" max="7294" width="1" style="1" customWidth="1"/>
    <col min="7295" max="7295" width="17.85546875" style="1" customWidth="1"/>
    <col min="7296" max="7297" width="1" style="1" customWidth="1"/>
    <col min="7298" max="7307" width="0" style="1" hidden="1" customWidth="1"/>
    <col min="7308" max="7309" width="1" style="1" customWidth="1"/>
    <col min="7310" max="7310" width="15.7109375" style="1" customWidth="1"/>
    <col min="7311" max="7312" width="1" style="1" customWidth="1"/>
    <col min="7313" max="7313" width="0.7109375" style="1" customWidth="1"/>
    <col min="7314" max="7314" width="3.28515625" style="1" customWidth="1"/>
    <col min="7315" max="7315" width="10" style="1"/>
    <col min="7316" max="7316" width="10.42578125" style="1" bestFit="1" customWidth="1"/>
    <col min="7317" max="7424" width="10" style="1"/>
    <col min="7425" max="7425" width="1.85546875" style="1" customWidth="1"/>
    <col min="7426" max="7426" width="1" style="1" customWidth="1"/>
    <col min="7427" max="7427" width="0.85546875" style="1" customWidth="1"/>
    <col min="7428" max="7428" width="58.28515625" style="1" customWidth="1"/>
    <col min="7429" max="7430" width="1" style="1" customWidth="1"/>
    <col min="7431" max="7431" width="16.85546875" style="1" customWidth="1"/>
    <col min="7432" max="7433" width="1" style="1" customWidth="1"/>
    <col min="7434" max="7478" width="0" style="1" hidden="1" customWidth="1"/>
    <col min="7479" max="7480" width="1" style="1" customWidth="1"/>
    <col min="7481" max="7481" width="17.85546875" style="1" customWidth="1"/>
    <col min="7482" max="7483" width="1" style="1" customWidth="1"/>
    <col min="7484" max="7493" width="0" style="1" hidden="1" customWidth="1"/>
    <col min="7494" max="7495" width="1" style="1" customWidth="1"/>
    <col min="7496" max="7496" width="16.140625" style="1" customWidth="1"/>
    <col min="7497" max="7500" width="1" style="1" customWidth="1"/>
    <col min="7501" max="7501" width="15.140625" style="1" customWidth="1"/>
    <col min="7502" max="7503" width="1" style="1" customWidth="1"/>
    <col min="7504" max="7548" width="0" style="1" hidden="1" customWidth="1"/>
    <col min="7549" max="7550" width="1" style="1" customWidth="1"/>
    <col min="7551" max="7551" width="17.85546875" style="1" customWidth="1"/>
    <col min="7552" max="7553" width="1" style="1" customWidth="1"/>
    <col min="7554" max="7563" width="0" style="1" hidden="1" customWidth="1"/>
    <col min="7564" max="7565" width="1" style="1" customWidth="1"/>
    <col min="7566" max="7566" width="15.7109375" style="1" customWidth="1"/>
    <col min="7567" max="7568" width="1" style="1" customWidth="1"/>
    <col min="7569" max="7569" width="0.7109375" style="1" customWidth="1"/>
    <col min="7570" max="7570" width="3.28515625" style="1" customWidth="1"/>
    <col min="7571" max="7571" width="10" style="1"/>
    <col min="7572" max="7572" width="10.42578125" style="1" bestFit="1" customWidth="1"/>
    <col min="7573" max="7680" width="10" style="1"/>
    <col min="7681" max="7681" width="1.85546875" style="1" customWidth="1"/>
    <col min="7682" max="7682" width="1" style="1" customWidth="1"/>
    <col min="7683" max="7683" width="0.85546875" style="1" customWidth="1"/>
    <col min="7684" max="7684" width="58.28515625" style="1" customWidth="1"/>
    <col min="7685" max="7686" width="1" style="1" customWidth="1"/>
    <col min="7687" max="7687" width="16.85546875" style="1" customWidth="1"/>
    <col min="7688" max="7689" width="1" style="1" customWidth="1"/>
    <col min="7690" max="7734" width="0" style="1" hidden="1" customWidth="1"/>
    <col min="7735" max="7736" width="1" style="1" customWidth="1"/>
    <col min="7737" max="7737" width="17.85546875" style="1" customWidth="1"/>
    <col min="7738" max="7739" width="1" style="1" customWidth="1"/>
    <col min="7740" max="7749" width="0" style="1" hidden="1" customWidth="1"/>
    <col min="7750" max="7751" width="1" style="1" customWidth="1"/>
    <col min="7752" max="7752" width="16.140625" style="1" customWidth="1"/>
    <col min="7753" max="7756" width="1" style="1" customWidth="1"/>
    <col min="7757" max="7757" width="15.140625" style="1" customWidth="1"/>
    <col min="7758" max="7759" width="1" style="1" customWidth="1"/>
    <col min="7760" max="7804" width="0" style="1" hidden="1" customWidth="1"/>
    <col min="7805" max="7806" width="1" style="1" customWidth="1"/>
    <col min="7807" max="7807" width="17.85546875" style="1" customWidth="1"/>
    <col min="7808" max="7809" width="1" style="1" customWidth="1"/>
    <col min="7810" max="7819" width="0" style="1" hidden="1" customWidth="1"/>
    <col min="7820" max="7821" width="1" style="1" customWidth="1"/>
    <col min="7822" max="7822" width="15.7109375" style="1" customWidth="1"/>
    <col min="7823" max="7824" width="1" style="1" customWidth="1"/>
    <col min="7825" max="7825" width="0.7109375" style="1" customWidth="1"/>
    <col min="7826" max="7826" width="3.28515625" style="1" customWidth="1"/>
    <col min="7827" max="7827" width="10" style="1"/>
    <col min="7828" max="7828" width="10.42578125" style="1" bestFit="1" customWidth="1"/>
    <col min="7829" max="7936" width="10" style="1"/>
    <col min="7937" max="7937" width="1.85546875" style="1" customWidth="1"/>
    <col min="7938" max="7938" width="1" style="1" customWidth="1"/>
    <col min="7939" max="7939" width="0.85546875" style="1" customWidth="1"/>
    <col min="7940" max="7940" width="58.28515625" style="1" customWidth="1"/>
    <col min="7941" max="7942" width="1" style="1" customWidth="1"/>
    <col min="7943" max="7943" width="16.85546875" style="1" customWidth="1"/>
    <col min="7944" max="7945" width="1" style="1" customWidth="1"/>
    <col min="7946" max="7990" width="0" style="1" hidden="1" customWidth="1"/>
    <col min="7991" max="7992" width="1" style="1" customWidth="1"/>
    <col min="7993" max="7993" width="17.85546875" style="1" customWidth="1"/>
    <col min="7994" max="7995" width="1" style="1" customWidth="1"/>
    <col min="7996" max="8005" width="0" style="1" hidden="1" customWidth="1"/>
    <col min="8006" max="8007" width="1" style="1" customWidth="1"/>
    <col min="8008" max="8008" width="16.140625" style="1" customWidth="1"/>
    <col min="8009" max="8012" width="1" style="1" customWidth="1"/>
    <col min="8013" max="8013" width="15.140625" style="1" customWidth="1"/>
    <col min="8014" max="8015" width="1" style="1" customWidth="1"/>
    <col min="8016" max="8060" width="0" style="1" hidden="1" customWidth="1"/>
    <col min="8061" max="8062" width="1" style="1" customWidth="1"/>
    <col min="8063" max="8063" width="17.85546875" style="1" customWidth="1"/>
    <col min="8064" max="8065" width="1" style="1" customWidth="1"/>
    <col min="8066" max="8075" width="0" style="1" hidden="1" customWidth="1"/>
    <col min="8076" max="8077" width="1" style="1" customWidth="1"/>
    <col min="8078" max="8078" width="15.7109375" style="1" customWidth="1"/>
    <col min="8079" max="8080" width="1" style="1" customWidth="1"/>
    <col min="8081" max="8081" width="0.7109375" style="1" customWidth="1"/>
    <col min="8082" max="8082" width="3.28515625" style="1" customWidth="1"/>
    <col min="8083" max="8083" width="10" style="1"/>
    <col min="8084" max="8084" width="10.42578125" style="1" bestFit="1" customWidth="1"/>
    <col min="8085" max="8192" width="10" style="1"/>
    <col min="8193" max="8193" width="1.85546875" style="1" customWidth="1"/>
    <col min="8194" max="8194" width="1" style="1" customWidth="1"/>
    <col min="8195" max="8195" width="0.85546875" style="1" customWidth="1"/>
    <col min="8196" max="8196" width="58.28515625" style="1" customWidth="1"/>
    <col min="8197" max="8198" width="1" style="1" customWidth="1"/>
    <col min="8199" max="8199" width="16.85546875" style="1" customWidth="1"/>
    <col min="8200" max="8201" width="1" style="1" customWidth="1"/>
    <col min="8202" max="8246" width="0" style="1" hidden="1" customWidth="1"/>
    <col min="8247" max="8248" width="1" style="1" customWidth="1"/>
    <col min="8249" max="8249" width="17.85546875" style="1" customWidth="1"/>
    <col min="8250" max="8251" width="1" style="1" customWidth="1"/>
    <col min="8252" max="8261" width="0" style="1" hidden="1" customWidth="1"/>
    <col min="8262" max="8263" width="1" style="1" customWidth="1"/>
    <col min="8264" max="8264" width="16.140625" style="1" customWidth="1"/>
    <col min="8265" max="8268" width="1" style="1" customWidth="1"/>
    <col min="8269" max="8269" width="15.140625" style="1" customWidth="1"/>
    <col min="8270" max="8271" width="1" style="1" customWidth="1"/>
    <col min="8272" max="8316" width="0" style="1" hidden="1" customWidth="1"/>
    <col min="8317" max="8318" width="1" style="1" customWidth="1"/>
    <col min="8319" max="8319" width="17.85546875" style="1" customWidth="1"/>
    <col min="8320" max="8321" width="1" style="1" customWidth="1"/>
    <col min="8322" max="8331" width="0" style="1" hidden="1" customWidth="1"/>
    <col min="8332" max="8333" width="1" style="1" customWidth="1"/>
    <col min="8334" max="8334" width="15.7109375" style="1" customWidth="1"/>
    <col min="8335" max="8336" width="1" style="1" customWidth="1"/>
    <col min="8337" max="8337" width="0.7109375" style="1" customWidth="1"/>
    <col min="8338" max="8338" width="3.28515625" style="1" customWidth="1"/>
    <col min="8339" max="8339" width="10" style="1"/>
    <col min="8340" max="8340" width="10.42578125" style="1" bestFit="1" customWidth="1"/>
    <col min="8341" max="8448" width="10" style="1"/>
    <col min="8449" max="8449" width="1.85546875" style="1" customWidth="1"/>
    <col min="8450" max="8450" width="1" style="1" customWidth="1"/>
    <col min="8451" max="8451" width="0.85546875" style="1" customWidth="1"/>
    <col min="8452" max="8452" width="58.28515625" style="1" customWidth="1"/>
    <col min="8453" max="8454" width="1" style="1" customWidth="1"/>
    <col min="8455" max="8455" width="16.85546875" style="1" customWidth="1"/>
    <col min="8456" max="8457" width="1" style="1" customWidth="1"/>
    <col min="8458" max="8502" width="0" style="1" hidden="1" customWidth="1"/>
    <col min="8503" max="8504" width="1" style="1" customWidth="1"/>
    <col min="8505" max="8505" width="17.85546875" style="1" customWidth="1"/>
    <col min="8506" max="8507" width="1" style="1" customWidth="1"/>
    <col min="8508" max="8517" width="0" style="1" hidden="1" customWidth="1"/>
    <col min="8518" max="8519" width="1" style="1" customWidth="1"/>
    <col min="8520" max="8520" width="16.140625" style="1" customWidth="1"/>
    <col min="8521" max="8524" width="1" style="1" customWidth="1"/>
    <col min="8525" max="8525" width="15.140625" style="1" customWidth="1"/>
    <col min="8526" max="8527" width="1" style="1" customWidth="1"/>
    <col min="8528" max="8572" width="0" style="1" hidden="1" customWidth="1"/>
    <col min="8573" max="8574" width="1" style="1" customWidth="1"/>
    <col min="8575" max="8575" width="17.85546875" style="1" customWidth="1"/>
    <col min="8576" max="8577" width="1" style="1" customWidth="1"/>
    <col min="8578" max="8587" width="0" style="1" hidden="1" customWidth="1"/>
    <col min="8588" max="8589" width="1" style="1" customWidth="1"/>
    <col min="8590" max="8590" width="15.7109375" style="1" customWidth="1"/>
    <col min="8591" max="8592" width="1" style="1" customWidth="1"/>
    <col min="8593" max="8593" width="0.7109375" style="1" customWidth="1"/>
    <col min="8594" max="8594" width="3.28515625" style="1" customWidth="1"/>
    <col min="8595" max="8595" width="10" style="1"/>
    <col min="8596" max="8596" width="10.42578125" style="1" bestFit="1" customWidth="1"/>
    <col min="8597" max="8704" width="10" style="1"/>
    <col min="8705" max="8705" width="1.85546875" style="1" customWidth="1"/>
    <col min="8706" max="8706" width="1" style="1" customWidth="1"/>
    <col min="8707" max="8707" width="0.85546875" style="1" customWidth="1"/>
    <col min="8708" max="8708" width="58.28515625" style="1" customWidth="1"/>
    <col min="8709" max="8710" width="1" style="1" customWidth="1"/>
    <col min="8711" max="8711" width="16.85546875" style="1" customWidth="1"/>
    <col min="8712" max="8713" width="1" style="1" customWidth="1"/>
    <col min="8714" max="8758" width="0" style="1" hidden="1" customWidth="1"/>
    <col min="8759" max="8760" width="1" style="1" customWidth="1"/>
    <col min="8761" max="8761" width="17.85546875" style="1" customWidth="1"/>
    <col min="8762" max="8763" width="1" style="1" customWidth="1"/>
    <col min="8764" max="8773" width="0" style="1" hidden="1" customWidth="1"/>
    <col min="8774" max="8775" width="1" style="1" customWidth="1"/>
    <col min="8776" max="8776" width="16.140625" style="1" customWidth="1"/>
    <col min="8777" max="8780" width="1" style="1" customWidth="1"/>
    <col min="8781" max="8781" width="15.140625" style="1" customWidth="1"/>
    <col min="8782" max="8783" width="1" style="1" customWidth="1"/>
    <col min="8784" max="8828" width="0" style="1" hidden="1" customWidth="1"/>
    <col min="8829" max="8830" width="1" style="1" customWidth="1"/>
    <col min="8831" max="8831" width="17.85546875" style="1" customWidth="1"/>
    <col min="8832" max="8833" width="1" style="1" customWidth="1"/>
    <col min="8834" max="8843" width="0" style="1" hidden="1" customWidth="1"/>
    <col min="8844" max="8845" width="1" style="1" customWidth="1"/>
    <col min="8846" max="8846" width="15.7109375" style="1" customWidth="1"/>
    <col min="8847" max="8848" width="1" style="1" customWidth="1"/>
    <col min="8849" max="8849" width="0.7109375" style="1" customWidth="1"/>
    <col min="8850" max="8850" width="3.28515625" style="1" customWidth="1"/>
    <col min="8851" max="8851" width="10" style="1"/>
    <col min="8852" max="8852" width="10.42578125" style="1" bestFit="1" customWidth="1"/>
    <col min="8853" max="8960" width="10" style="1"/>
    <col min="8961" max="8961" width="1.85546875" style="1" customWidth="1"/>
    <col min="8962" max="8962" width="1" style="1" customWidth="1"/>
    <col min="8963" max="8963" width="0.85546875" style="1" customWidth="1"/>
    <col min="8964" max="8964" width="58.28515625" style="1" customWidth="1"/>
    <col min="8965" max="8966" width="1" style="1" customWidth="1"/>
    <col min="8967" max="8967" width="16.85546875" style="1" customWidth="1"/>
    <col min="8968" max="8969" width="1" style="1" customWidth="1"/>
    <col min="8970" max="9014" width="0" style="1" hidden="1" customWidth="1"/>
    <col min="9015" max="9016" width="1" style="1" customWidth="1"/>
    <col min="9017" max="9017" width="17.85546875" style="1" customWidth="1"/>
    <col min="9018" max="9019" width="1" style="1" customWidth="1"/>
    <col min="9020" max="9029" width="0" style="1" hidden="1" customWidth="1"/>
    <col min="9030" max="9031" width="1" style="1" customWidth="1"/>
    <col min="9032" max="9032" width="16.140625" style="1" customWidth="1"/>
    <col min="9033" max="9036" width="1" style="1" customWidth="1"/>
    <col min="9037" max="9037" width="15.140625" style="1" customWidth="1"/>
    <col min="9038" max="9039" width="1" style="1" customWidth="1"/>
    <col min="9040" max="9084" width="0" style="1" hidden="1" customWidth="1"/>
    <col min="9085" max="9086" width="1" style="1" customWidth="1"/>
    <col min="9087" max="9087" width="17.85546875" style="1" customWidth="1"/>
    <col min="9088" max="9089" width="1" style="1" customWidth="1"/>
    <col min="9090" max="9099" width="0" style="1" hidden="1" customWidth="1"/>
    <col min="9100" max="9101" width="1" style="1" customWidth="1"/>
    <col min="9102" max="9102" width="15.7109375" style="1" customWidth="1"/>
    <col min="9103" max="9104" width="1" style="1" customWidth="1"/>
    <col min="9105" max="9105" width="0.7109375" style="1" customWidth="1"/>
    <col min="9106" max="9106" width="3.28515625" style="1" customWidth="1"/>
    <col min="9107" max="9107" width="10" style="1"/>
    <col min="9108" max="9108" width="10.42578125" style="1" bestFit="1" customWidth="1"/>
    <col min="9109" max="9216" width="10" style="1"/>
    <col min="9217" max="9217" width="1.85546875" style="1" customWidth="1"/>
    <col min="9218" max="9218" width="1" style="1" customWidth="1"/>
    <col min="9219" max="9219" width="0.85546875" style="1" customWidth="1"/>
    <col min="9220" max="9220" width="58.28515625" style="1" customWidth="1"/>
    <col min="9221" max="9222" width="1" style="1" customWidth="1"/>
    <col min="9223" max="9223" width="16.85546875" style="1" customWidth="1"/>
    <col min="9224" max="9225" width="1" style="1" customWidth="1"/>
    <col min="9226" max="9270" width="0" style="1" hidden="1" customWidth="1"/>
    <col min="9271" max="9272" width="1" style="1" customWidth="1"/>
    <col min="9273" max="9273" width="17.85546875" style="1" customWidth="1"/>
    <col min="9274" max="9275" width="1" style="1" customWidth="1"/>
    <col min="9276" max="9285" width="0" style="1" hidden="1" customWidth="1"/>
    <col min="9286" max="9287" width="1" style="1" customWidth="1"/>
    <col min="9288" max="9288" width="16.140625" style="1" customWidth="1"/>
    <col min="9289" max="9292" width="1" style="1" customWidth="1"/>
    <col min="9293" max="9293" width="15.140625" style="1" customWidth="1"/>
    <col min="9294" max="9295" width="1" style="1" customWidth="1"/>
    <col min="9296" max="9340" width="0" style="1" hidden="1" customWidth="1"/>
    <col min="9341" max="9342" width="1" style="1" customWidth="1"/>
    <col min="9343" max="9343" width="17.85546875" style="1" customWidth="1"/>
    <col min="9344" max="9345" width="1" style="1" customWidth="1"/>
    <col min="9346" max="9355" width="0" style="1" hidden="1" customWidth="1"/>
    <col min="9356" max="9357" width="1" style="1" customWidth="1"/>
    <col min="9358" max="9358" width="15.7109375" style="1" customWidth="1"/>
    <col min="9359" max="9360" width="1" style="1" customWidth="1"/>
    <col min="9361" max="9361" width="0.7109375" style="1" customWidth="1"/>
    <col min="9362" max="9362" width="3.28515625" style="1" customWidth="1"/>
    <col min="9363" max="9363" width="10" style="1"/>
    <col min="9364" max="9364" width="10.42578125" style="1" bestFit="1" customWidth="1"/>
    <col min="9365" max="9472" width="10" style="1"/>
    <col min="9473" max="9473" width="1.85546875" style="1" customWidth="1"/>
    <col min="9474" max="9474" width="1" style="1" customWidth="1"/>
    <col min="9475" max="9475" width="0.85546875" style="1" customWidth="1"/>
    <col min="9476" max="9476" width="58.28515625" style="1" customWidth="1"/>
    <col min="9477" max="9478" width="1" style="1" customWidth="1"/>
    <col min="9479" max="9479" width="16.85546875" style="1" customWidth="1"/>
    <col min="9480" max="9481" width="1" style="1" customWidth="1"/>
    <col min="9482" max="9526" width="0" style="1" hidden="1" customWidth="1"/>
    <col min="9527" max="9528" width="1" style="1" customWidth="1"/>
    <col min="9529" max="9529" width="17.85546875" style="1" customWidth="1"/>
    <col min="9530" max="9531" width="1" style="1" customWidth="1"/>
    <col min="9532" max="9541" width="0" style="1" hidden="1" customWidth="1"/>
    <col min="9542" max="9543" width="1" style="1" customWidth="1"/>
    <col min="9544" max="9544" width="16.140625" style="1" customWidth="1"/>
    <col min="9545" max="9548" width="1" style="1" customWidth="1"/>
    <col min="9549" max="9549" width="15.140625" style="1" customWidth="1"/>
    <col min="9550" max="9551" width="1" style="1" customWidth="1"/>
    <col min="9552" max="9596" width="0" style="1" hidden="1" customWidth="1"/>
    <col min="9597" max="9598" width="1" style="1" customWidth="1"/>
    <col min="9599" max="9599" width="17.85546875" style="1" customWidth="1"/>
    <col min="9600" max="9601" width="1" style="1" customWidth="1"/>
    <col min="9602" max="9611" width="0" style="1" hidden="1" customWidth="1"/>
    <col min="9612" max="9613" width="1" style="1" customWidth="1"/>
    <col min="9614" max="9614" width="15.7109375" style="1" customWidth="1"/>
    <col min="9615" max="9616" width="1" style="1" customWidth="1"/>
    <col min="9617" max="9617" width="0.7109375" style="1" customWidth="1"/>
    <col min="9618" max="9618" width="3.28515625" style="1" customWidth="1"/>
    <col min="9619" max="9619" width="10" style="1"/>
    <col min="9620" max="9620" width="10.42578125" style="1" bestFit="1" customWidth="1"/>
    <col min="9621" max="9728" width="10" style="1"/>
    <col min="9729" max="9729" width="1.85546875" style="1" customWidth="1"/>
    <col min="9730" max="9730" width="1" style="1" customWidth="1"/>
    <col min="9731" max="9731" width="0.85546875" style="1" customWidth="1"/>
    <col min="9732" max="9732" width="58.28515625" style="1" customWidth="1"/>
    <col min="9733" max="9734" width="1" style="1" customWidth="1"/>
    <col min="9735" max="9735" width="16.85546875" style="1" customWidth="1"/>
    <col min="9736" max="9737" width="1" style="1" customWidth="1"/>
    <col min="9738" max="9782" width="0" style="1" hidden="1" customWidth="1"/>
    <col min="9783" max="9784" width="1" style="1" customWidth="1"/>
    <col min="9785" max="9785" width="17.85546875" style="1" customWidth="1"/>
    <col min="9786" max="9787" width="1" style="1" customWidth="1"/>
    <col min="9788" max="9797" width="0" style="1" hidden="1" customWidth="1"/>
    <col min="9798" max="9799" width="1" style="1" customWidth="1"/>
    <col min="9800" max="9800" width="16.140625" style="1" customWidth="1"/>
    <col min="9801" max="9804" width="1" style="1" customWidth="1"/>
    <col min="9805" max="9805" width="15.140625" style="1" customWidth="1"/>
    <col min="9806" max="9807" width="1" style="1" customWidth="1"/>
    <col min="9808" max="9852" width="0" style="1" hidden="1" customWidth="1"/>
    <col min="9853" max="9854" width="1" style="1" customWidth="1"/>
    <col min="9855" max="9855" width="17.85546875" style="1" customWidth="1"/>
    <col min="9856" max="9857" width="1" style="1" customWidth="1"/>
    <col min="9858" max="9867" width="0" style="1" hidden="1" customWidth="1"/>
    <col min="9868" max="9869" width="1" style="1" customWidth="1"/>
    <col min="9870" max="9870" width="15.7109375" style="1" customWidth="1"/>
    <col min="9871" max="9872" width="1" style="1" customWidth="1"/>
    <col min="9873" max="9873" width="0.7109375" style="1" customWidth="1"/>
    <col min="9874" max="9874" width="3.28515625" style="1" customWidth="1"/>
    <col min="9875" max="9875" width="10" style="1"/>
    <col min="9876" max="9876" width="10.42578125" style="1" bestFit="1" customWidth="1"/>
    <col min="9877" max="9984" width="10" style="1"/>
    <col min="9985" max="9985" width="1.85546875" style="1" customWidth="1"/>
    <col min="9986" max="9986" width="1" style="1" customWidth="1"/>
    <col min="9987" max="9987" width="0.85546875" style="1" customWidth="1"/>
    <col min="9988" max="9988" width="58.28515625" style="1" customWidth="1"/>
    <col min="9989" max="9990" width="1" style="1" customWidth="1"/>
    <col min="9991" max="9991" width="16.85546875" style="1" customWidth="1"/>
    <col min="9992" max="9993" width="1" style="1" customWidth="1"/>
    <col min="9994" max="10038" width="0" style="1" hidden="1" customWidth="1"/>
    <col min="10039" max="10040" width="1" style="1" customWidth="1"/>
    <col min="10041" max="10041" width="17.85546875" style="1" customWidth="1"/>
    <col min="10042" max="10043" width="1" style="1" customWidth="1"/>
    <col min="10044" max="10053" width="0" style="1" hidden="1" customWidth="1"/>
    <col min="10054" max="10055" width="1" style="1" customWidth="1"/>
    <col min="10056" max="10056" width="16.140625" style="1" customWidth="1"/>
    <col min="10057" max="10060" width="1" style="1" customWidth="1"/>
    <col min="10061" max="10061" width="15.140625" style="1" customWidth="1"/>
    <col min="10062" max="10063" width="1" style="1" customWidth="1"/>
    <col min="10064" max="10108" width="0" style="1" hidden="1" customWidth="1"/>
    <col min="10109" max="10110" width="1" style="1" customWidth="1"/>
    <col min="10111" max="10111" width="17.85546875" style="1" customWidth="1"/>
    <col min="10112" max="10113" width="1" style="1" customWidth="1"/>
    <col min="10114" max="10123" width="0" style="1" hidden="1" customWidth="1"/>
    <col min="10124" max="10125" width="1" style="1" customWidth="1"/>
    <col min="10126" max="10126" width="15.7109375" style="1" customWidth="1"/>
    <col min="10127" max="10128" width="1" style="1" customWidth="1"/>
    <col min="10129" max="10129" width="0.7109375" style="1" customWidth="1"/>
    <col min="10130" max="10130" width="3.28515625" style="1" customWidth="1"/>
    <col min="10131" max="10131" width="10" style="1"/>
    <col min="10132" max="10132" width="10.42578125" style="1" bestFit="1" customWidth="1"/>
    <col min="10133" max="10240" width="10" style="1"/>
    <col min="10241" max="10241" width="1.85546875" style="1" customWidth="1"/>
    <col min="10242" max="10242" width="1" style="1" customWidth="1"/>
    <col min="10243" max="10243" width="0.85546875" style="1" customWidth="1"/>
    <col min="10244" max="10244" width="58.28515625" style="1" customWidth="1"/>
    <col min="10245" max="10246" width="1" style="1" customWidth="1"/>
    <col min="10247" max="10247" width="16.85546875" style="1" customWidth="1"/>
    <col min="10248" max="10249" width="1" style="1" customWidth="1"/>
    <col min="10250" max="10294" width="0" style="1" hidden="1" customWidth="1"/>
    <col min="10295" max="10296" width="1" style="1" customWidth="1"/>
    <col min="10297" max="10297" width="17.85546875" style="1" customWidth="1"/>
    <col min="10298" max="10299" width="1" style="1" customWidth="1"/>
    <col min="10300" max="10309" width="0" style="1" hidden="1" customWidth="1"/>
    <col min="10310" max="10311" width="1" style="1" customWidth="1"/>
    <col min="10312" max="10312" width="16.140625" style="1" customWidth="1"/>
    <col min="10313" max="10316" width="1" style="1" customWidth="1"/>
    <col min="10317" max="10317" width="15.140625" style="1" customWidth="1"/>
    <col min="10318" max="10319" width="1" style="1" customWidth="1"/>
    <col min="10320" max="10364" width="0" style="1" hidden="1" customWidth="1"/>
    <col min="10365" max="10366" width="1" style="1" customWidth="1"/>
    <col min="10367" max="10367" width="17.85546875" style="1" customWidth="1"/>
    <col min="10368" max="10369" width="1" style="1" customWidth="1"/>
    <col min="10370" max="10379" width="0" style="1" hidden="1" customWidth="1"/>
    <col min="10380" max="10381" width="1" style="1" customWidth="1"/>
    <col min="10382" max="10382" width="15.7109375" style="1" customWidth="1"/>
    <col min="10383" max="10384" width="1" style="1" customWidth="1"/>
    <col min="10385" max="10385" width="0.7109375" style="1" customWidth="1"/>
    <col min="10386" max="10386" width="3.28515625" style="1" customWidth="1"/>
    <col min="10387" max="10387" width="10" style="1"/>
    <col min="10388" max="10388" width="10.42578125" style="1" bestFit="1" customWidth="1"/>
    <col min="10389" max="10496" width="10" style="1"/>
    <col min="10497" max="10497" width="1.85546875" style="1" customWidth="1"/>
    <col min="10498" max="10498" width="1" style="1" customWidth="1"/>
    <col min="10499" max="10499" width="0.85546875" style="1" customWidth="1"/>
    <col min="10500" max="10500" width="58.28515625" style="1" customWidth="1"/>
    <col min="10501" max="10502" width="1" style="1" customWidth="1"/>
    <col min="10503" max="10503" width="16.85546875" style="1" customWidth="1"/>
    <col min="10504" max="10505" width="1" style="1" customWidth="1"/>
    <col min="10506" max="10550" width="0" style="1" hidden="1" customWidth="1"/>
    <col min="10551" max="10552" width="1" style="1" customWidth="1"/>
    <col min="10553" max="10553" width="17.85546875" style="1" customWidth="1"/>
    <col min="10554" max="10555" width="1" style="1" customWidth="1"/>
    <col min="10556" max="10565" width="0" style="1" hidden="1" customWidth="1"/>
    <col min="10566" max="10567" width="1" style="1" customWidth="1"/>
    <col min="10568" max="10568" width="16.140625" style="1" customWidth="1"/>
    <col min="10569" max="10572" width="1" style="1" customWidth="1"/>
    <col min="10573" max="10573" width="15.140625" style="1" customWidth="1"/>
    <col min="10574" max="10575" width="1" style="1" customWidth="1"/>
    <col min="10576" max="10620" width="0" style="1" hidden="1" customWidth="1"/>
    <col min="10621" max="10622" width="1" style="1" customWidth="1"/>
    <col min="10623" max="10623" width="17.85546875" style="1" customWidth="1"/>
    <col min="10624" max="10625" width="1" style="1" customWidth="1"/>
    <col min="10626" max="10635" width="0" style="1" hidden="1" customWidth="1"/>
    <col min="10636" max="10637" width="1" style="1" customWidth="1"/>
    <col min="10638" max="10638" width="15.7109375" style="1" customWidth="1"/>
    <col min="10639" max="10640" width="1" style="1" customWidth="1"/>
    <col min="10641" max="10641" width="0.7109375" style="1" customWidth="1"/>
    <col min="10642" max="10642" width="3.28515625" style="1" customWidth="1"/>
    <col min="10643" max="10643" width="10" style="1"/>
    <col min="10644" max="10644" width="10.42578125" style="1" bestFit="1" customWidth="1"/>
    <col min="10645" max="10752" width="10" style="1"/>
    <col min="10753" max="10753" width="1.85546875" style="1" customWidth="1"/>
    <col min="10754" max="10754" width="1" style="1" customWidth="1"/>
    <col min="10755" max="10755" width="0.85546875" style="1" customWidth="1"/>
    <col min="10756" max="10756" width="58.28515625" style="1" customWidth="1"/>
    <col min="10757" max="10758" width="1" style="1" customWidth="1"/>
    <col min="10759" max="10759" width="16.85546875" style="1" customWidth="1"/>
    <col min="10760" max="10761" width="1" style="1" customWidth="1"/>
    <col min="10762" max="10806" width="0" style="1" hidden="1" customWidth="1"/>
    <col min="10807" max="10808" width="1" style="1" customWidth="1"/>
    <col min="10809" max="10809" width="17.85546875" style="1" customWidth="1"/>
    <col min="10810" max="10811" width="1" style="1" customWidth="1"/>
    <col min="10812" max="10821" width="0" style="1" hidden="1" customWidth="1"/>
    <col min="10822" max="10823" width="1" style="1" customWidth="1"/>
    <col min="10824" max="10824" width="16.140625" style="1" customWidth="1"/>
    <col min="10825" max="10828" width="1" style="1" customWidth="1"/>
    <col min="10829" max="10829" width="15.140625" style="1" customWidth="1"/>
    <col min="10830" max="10831" width="1" style="1" customWidth="1"/>
    <col min="10832" max="10876" width="0" style="1" hidden="1" customWidth="1"/>
    <col min="10877" max="10878" width="1" style="1" customWidth="1"/>
    <col min="10879" max="10879" width="17.85546875" style="1" customWidth="1"/>
    <col min="10880" max="10881" width="1" style="1" customWidth="1"/>
    <col min="10882" max="10891" width="0" style="1" hidden="1" customWidth="1"/>
    <col min="10892" max="10893" width="1" style="1" customWidth="1"/>
    <col min="10894" max="10894" width="15.7109375" style="1" customWidth="1"/>
    <col min="10895" max="10896" width="1" style="1" customWidth="1"/>
    <col min="10897" max="10897" width="0.7109375" style="1" customWidth="1"/>
    <col min="10898" max="10898" width="3.28515625" style="1" customWidth="1"/>
    <col min="10899" max="10899" width="10" style="1"/>
    <col min="10900" max="10900" width="10.42578125" style="1" bestFit="1" customWidth="1"/>
    <col min="10901" max="11008" width="10" style="1"/>
    <col min="11009" max="11009" width="1.85546875" style="1" customWidth="1"/>
    <col min="11010" max="11010" width="1" style="1" customWidth="1"/>
    <col min="11011" max="11011" width="0.85546875" style="1" customWidth="1"/>
    <col min="11012" max="11012" width="58.28515625" style="1" customWidth="1"/>
    <col min="11013" max="11014" width="1" style="1" customWidth="1"/>
    <col min="11015" max="11015" width="16.85546875" style="1" customWidth="1"/>
    <col min="11016" max="11017" width="1" style="1" customWidth="1"/>
    <col min="11018" max="11062" width="0" style="1" hidden="1" customWidth="1"/>
    <col min="11063" max="11064" width="1" style="1" customWidth="1"/>
    <col min="11065" max="11065" width="17.85546875" style="1" customWidth="1"/>
    <col min="11066" max="11067" width="1" style="1" customWidth="1"/>
    <col min="11068" max="11077" width="0" style="1" hidden="1" customWidth="1"/>
    <col min="11078" max="11079" width="1" style="1" customWidth="1"/>
    <col min="11080" max="11080" width="16.140625" style="1" customWidth="1"/>
    <col min="11081" max="11084" width="1" style="1" customWidth="1"/>
    <col min="11085" max="11085" width="15.140625" style="1" customWidth="1"/>
    <col min="11086" max="11087" width="1" style="1" customWidth="1"/>
    <col min="11088" max="11132" width="0" style="1" hidden="1" customWidth="1"/>
    <col min="11133" max="11134" width="1" style="1" customWidth="1"/>
    <col min="11135" max="11135" width="17.85546875" style="1" customWidth="1"/>
    <col min="11136" max="11137" width="1" style="1" customWidth="1"/>
    <col min="11138" max="11147" width="0" style="1" hidden="1" customWidth="1"/>
    <col min="11148" max="11149" width="1" style="1" customWidth="1"/>
    <col min="11150" max="11150" width="15.7109375" style="1" customWidth="1"/>
    <col min="11151" max="11152" width="1" style="1" customWidth="1"/>
    <col min="11153" max="11153" width="0.7109375" style="1" customWidth="1"/>
    <col min="11154" max="11154" width="3.28515625" style="1" customWidth="1"/>
    <col min="11155" max="11155" width="10" style="1"/>
    <col min="11156" max="11156" width="10.42578125" style="1" bestFit="1" customWidth="1"/>
    <col min="11157" max="11264" width="10" style="1"/>
    <col min="11265" max="11265" width="1.85546875" style="1" customWidth="1"/>
    <col min="11266" max="11266" width="1" style="1" customWidth="1"/>
    <col min="11267" max="11267" width="0.85546875" style="1" customWidth="1"/>
    <col min="11268" max="11268" width="58.28515625" style="1" customWidth="1"/>
    <col min="11269" max="11270" width="1" style="1" customWidth="1"/>
    <col min="11271" max="11271" width="16.85546875" style="1" customWidth="1"/>
    <col min="11272" max="11273" width="1" style="1" customWidth="1"/>
    <col min="11274" max="11318" width="0" style="1" hidden="1" customWidth="1"/>
    <col min="11319" max="11320" width="1" style="1" customWidth="1"/>
    <col min="11321" max="11321" width="17.85546875" style="1" customWidth="1"/>
    <col min="11322" max="11323" width="1" style="1" customWidth="1"/>
    <col min="11324" max="11333" width="0" style="1" hidden="1" customWidth="1"/>
    <col min="11334" max="11335" width="1" style="1" customWidth="1"/>
    <col min="11336" max="11336" width="16.140625" style="1" customWidth="1"/>
    <col min="11337" max="11340" width="1" style="1" customWidth="1"/>
    <col min="11341" max="11341" width="15.140625" style="1" customWidth="1"/>
    <col min="11342" max="11343" width="1" style="1" customWidth="1"/>
    <col min="11344" max="11388" width="0" style="1" hidden="1" customWidth="1"/>
    <col min="11389" max="11390" width="1" style="1" customWidth="1"/>
    <col min="11391" max="11391" width="17.85546875" style="1" customWidth="1"/>
    <col min="11392" max="11393" width="1" style="1" customWidth="1"/>
    <col min="11394" max="11403" width="0" style="1" hidden="1" customWidth="1"/>
    <col min="11404" max="11405" width="1" style="1" customWidth="1"/>
    <col min="11406" max="11406" width="15.7109375" style="1" customWidth="1"/>
    <col min="11407" max="11408" width="1" style="1" customWidth="1"/>
    <col min="11409" max="11409" width="0.7109375" style="1" customWidth="1"/>
    <col min="11410" max="11410" width="3.28515625" style="1" customWidth="1"/>
    <col min="11411" max="11411" width="10" style="1"/>
    <col min="11412" max="11412" width="10.42578125" style="1" bestFit="1" customWidth="1"/>
    <col min="11413" max="11520" width="10" style="1"/>
    <col min="11521" max="11521" width="1.85546875" style="1" customWidth="1"/>
    <col min="11522" max="11522" width="1" style="1" customWidth="1"/>
    <col min="11523" max="11523" width="0.85546875" style="1" customWidth="1"/>
    <col min="11524" max="11524" width="58.28515625" style="1" customWidth="1"/>
    <col min="11525" max="11526" width="1" style="1" customWidth="1"/>
    <col min="11527" max="11527" width="16.85546875" style="1" customWidth="1"/>
    <col min="11528" max="11529" width="1" style="1" customWidth="1"/>
    <col min="11530" max="11574" width="0" style="1" hidden="1" customWidth="1"/>
    <col min="11575" max="11576" width="1" style="1" customWidth="1"/>
    <col min="11577" max="11577" width="17.85546875" style="1" customWidth="1"/>
    <col min="11578" max="11579" width="1" style="1" customWidth="1"/>
    <col min="11580" max="11589" width="0" style="1" hidden="1" customWidth="1"/>
    <col min="11590" max="11591" width="1" style="1" customWidth="1"/>
    <col min="11592" max="11592" width="16.140625" style="1" customWidth="1"/>
    <col min="11593" max="11596" width="1" style="1" customWidth="1"/>
    <col min="11597" max="11597" width="15.140625" style="1" customWidth="1"/>
    <col min="11598" max="11599" width="1" style="1" customWidth="1"/>
    <col min="11600" max="11644" width="0" style="1" hidden="1" customWidth="1"/>
    <col min="11645" max="11646" width="1" style="1" customWidth="1"/>
    <col min="11647" max="11647" width="17.85546875" style="1" customWidth="1"/>
    <col min="11648" max="11649" width="1" style="1" customWidth="1"/>
    <col min="11650" max="11659" width="0" style="1" hidden="1" customWidth="1"/>
    <col min="11660" max="11661" width="1" style="1" customWidth="1"/>
    <col min="11662" max="11662" width="15.7109375" style="1" customWidth="1"/>
    <col min="11663" max="11664" width="1" style="1" customWidth="1"/>
    <col min="11665" max="11665" width="0.7109375" style="1" customWidth="1"/>
    <col min="11666" max="11666" width="3.28515625" style="1" customWidth="1"/>
    <col min="11667" max="11667" width="10" style="1"/>
    <col min="11668" max="11668" width="10.42578125" style="1" bestFit="1" customWidth="1"/>
    <col min="11669" max="11776" width="10" style="1"/>
    <col min="11777" max="11777" width="1.85546875" style="1" customWidth="1"/>
    <col min="11778" max="11778" width="1" style="1" customWidth="1"/>
    <col min="11779" max="11779" width="0.85546875" style="1" customWidth="1"/>
    <col min="11780" max="11780" width="58.28515625" style="1" customWidth="1"/>
    <col min="11781" max="11782" width="1" style="1" customWidth="1"/>
    <col min="11783" max="11783" width="16.85546875" style="1" customWidth="1"/>
    <col min="11784" max="11785" width="1" style="1" customWidth="1"/>
    <col min="11786" max="11830" width="0" style="1" hidden="1" customWidth="1"/>
    <col min="11831" max="11832" width="1" style="1" customWidth="1"/>
    <col min="11833" max="11833" width="17.85546875" style="1" customWidth="1"/>
    <col min="11834" max="11835" width="1" style="1" customWidth="1"/>
    <col min="11836" max="11845" width="0" style="1" hidden="1" customWidth="1"/>
    <col min="11846" max="11847" width="1" style="1" customWidth="1"/>
    <col min="11848" max="11848" width="16.140625" style="1" customWidth="1"/>
    <col min="11849" max="11852" width="1" style="1" customWidth="1"/>
    <col min="11853" max="11853" width="15.140625" style="1" customWidth="1"/>
    <col min="11854" max="11855" width="1" style="1" customWidth="1"/>
    <col min="11856" max="11900" width="0" style="1" hidden="1" customWidth="1"/>
    <col min="11901" max="11902" width="1" style="1" customWidth="1"/>
    <col min="11903" max="11903" width="17.85546875" style="1" customWidth="1"/>
    <col min="11904" max="11905" width="1" style="1" customWidth="1"/>
    <col min="11906" max="11915" width="0" style="1" hidden="1" customWidth="1"/>
    <col min="11916" max="11917" width="1" style="1" customWidth="1"/>
    <col min="11918" max="11918" width="15.7109375" style="1" customWidth="1"/>
    <col min="11919" max="11920" width="1" style="1" customWidth="1"/>
    <col min="11921" max="11921" width="0.7109375" style="1" customWidth="1"/>
    <col min="11922" max="11922" width="3.28515625" style="1" customWidth="1"/>
    <col min="11923" max="11923" width="10" style="1"/>
    <col min="11924" max="11924" width="10.42578125" style="1" bestFit="1" customWidth="1"/>
    <col min="11925" max="12032" width="10" style="1"/>
    <col min="12033" max="12033" width="1.85546875" style="1" customWidth="1"/>
    <col min="12034" max="12034" width="1" style="1" customWidth="1"/>
    <col min="12035" max="12035" width="0.85546875" style="1" customWidth="1"/>
    <col min="12036" max="12036" width="58.28515625" style="1" customWidth="1"/>
    <col min="12037" max="12038" width="1" style="1" customWidth="1"/>
    <col min="12039" max="12039" width="16.85546875" style="1" customWidth="1"/>
    <col min="12040" max="12041" width="1" style="1" customWidth="1"/>
    <col min="12042" max="12086" width="0" style="1" hidden="1" customWidth="1"/>
    <col min="12087" max="12088" width="1" style="1" customWidth="1"/>
    <col min="12089" max="12089" width="17.85546875" style="1" customWidth="1"/>
    <col min="12090" max="12091" width="1" style="1" customWidth="1"/>
    <col min="12092" max="12101" width="0" style="1" hidden="1" customWidth="1"/>
    <col min="12102" max="12103" width="1" style="1" customWidth="1"/>
    <col min="12104" max="12104" width="16.140625" style="1" customWidth="1"/>
    <col min="12105" max="12108" width="1" style="1" customWidth="1"/>
    <col min="12109" max="12109" width="15.140625" style="1" customWidth="1"/>
    <col min="12110" max="12111" width="1" style="1" customWidth="1"/>
    <col min="12112" max="12156" width="0" style="1" hidden="1" customWidth="1"/>
    <col min="12157" max="12158" width="1" style="1" customWidth="1"/>
    <col min="12159" max="12159" width="17.85546875" style="1" customWidth="1"/>
    <col min="12160" max="12161" width="1" style="1" customWidth="1"/>
    <col min="12162" max="12171" width="0" style="1" hidden="1" customWidth="1"/>
    <col min="12172" max="12173" width="1" style="1" customWidth="1"/>
    <col min="12174" max="12174" width="15.7109375" style="1" customWidth="1"/>
    <col min="12175" max="12176" width="1" style="1" customWidth="1"/>
    <col min="12177" max="12177" width="0.7109375" style="1" customWidth="1"/>
    <col min="12178" max="12178" width="3.28515625" style="1" customWidth="1"/>
    <col min="12179" max="12179" width="10" style="1"/>
    <col min="12180" max="12180" width="10.42578125" style="1" bestFit="1" customWidth="1"/>
    <col min="12181" max="12288" width="10" style="1"/>
    <col min="12289" max="12289" width="1.85546875" style="1" customWidth="1"/>
    <col min="12290" max="12290" width="1" style="1" customWidth="1"/>
    <col min="12291" max="12291" width="0.85546875" style="1" customWidth="1"/>
    <col min="12292" max="12292" width="58.28515625" style="1" customWidth="1"/>
    <col min="12293" max="12294" width="1" style="1" customWidth="1"/>
    <col min="12295" max="12295" width="16.85546875" style="1" customWidth="1"/>
    <col min="12296" max="12297" width="1" style="1" customWidth="1"/>
    <col min="12298" max="12342" width="0" style="1" hidden="1" customWidth="1"/>
    <col min="12343" max="12344" width="1" style="1" customWidth="1"/>
    <col min="12345" max="12345" width="17.85546875" style="1" customWidth="1"/>
    <col min="12346" max="12347" width="1" style="1" customWidth="1"/>
    <col min="12348" max="12357" width="0" style="1" hidden="1" customWidth="1"/>
    <col min="12358" max="12359" width="1" style="1" customWidth="1"/>
    <col min="12360" max="12360" width="16.140625" style="1" customWidth="1"/>
    <col min="12361" max="12364" width="1" style="1" customWidth="1"/>
    <col min="12365" max="12365" width="15.140625" style="1" customWidth="1"/>
    <col min="12366" max="12367" width="1" style="1" customWidth="1"/>
    <col min="12368" max="12412" width="0" style="1" hidden="1" customWidth="1"/>
    <col min="12413" max="12414" width="1" style="1" customWidth="1"/>
    <col min="12415" max="12415" width="17.85546875" style="1" customWidth="1"/>
    <col min="12416" max="12417" width="1" style="1" customWidth="1"/>
    <col min="12418" max="12427" width="0" style="1" hidden="1" customWidth="1"/>
    <col min="12428" max="12429" width="1" style="1" customWidth="1"/>
    <col min="12430" max="12430" width="15.7109375" style="1" customWidth="1"/>
    <col min="12431" max="12432" width="1" style="1" customWidth="1"/>
    <col min="12433" max="12433" width="0.7109375" style="1" customWidth="1"/>
    <col min="12434" max="12434" width="3.28515625" style="1" customWidth="1"/>
    <col min="12435" max="12435" width="10" style="1"/>
    <col min="12436" max="12436" width="10.42578125" style="1" bestFit="1" customWidth="1"/>
    <col min="12437" max="12544" width="10" style="1"/>
    <col min="12545" max="12545" width="1.85546875" style="1" customWidth="1"/>
    <col min="12546" max="12546" width="1" style="1" customWidth="1"/>
    <col min="12547" max="12547" width="0.85546875" style="1" customWidth="1"/>
    <col min="12548" max="12548" width="58.28515625" style="1" customWidth="1"/>
    <col min="12549" max="12550" width="1" style="1" customWidth="1"/>
    <col min="12551" max="12551" width="16.85546875" style="1" customWidth="1"/>
    <col min="12552" max="12553" width="1" style="1" customWidth="1"/>
    <col min="12554" max="12598" width="0" style="1" hidden="1" customWidth="1"/>
    <col min="12599" max="12600" width="1" style="1" customWidth="1"/>
    <col min="12601" max="12601" width="17.85546875" style="1" customWidth="1"/>
    <col min="12602" max="12603" width="1" style="1" customWidth="1"/>
    <col min="12604" max="12613" width="0" style="1" hidden="1" customWidth="1"/>
    <col min="12614" max="12615" width="1" style="1" customWidth="1"/>
    <col min="12616" max="12616" width="16.140625" style="1" customWidth="1"/>
    <col min="12617" max="12620" width="1" style="1" customWidth="1"/>
    <col min="12621" max="12621" width="15.140625" style="1" customWidth="1"/>
    <col min="12622" max="12623" width="1" style="1" customWidth="1"/>
    <col min="12624" max="12668" width="0" style="1" hidden="1" customWidth="1"/>
    <col min="12669" max="12670" width="1" style="1" customWidth="1"/>
    <col min="12671" max="12671" width="17.85546875" style="1" customWidth="1"/>
    <col min="12672" max="12673" width="1" style="1" customWidth="1"/>
    <col min="12674" max="12683" width="0" style="1" hidden="1" customWidth="1"/>
    <col min="12684" max="12685" width="1" style="1" customWidth="1"/>
    <col min="12686" max="12686" width="15.7109375" style="1" customWidth="1"/>
    <col min="12687" max="12688" width="1" style="1" customWidth="1"/>
    <col min="12689" max="12689" width="0.7109375" style="1" customWidth="1"/>
    <col min="12690" max="12690" width="3.28515625" style="1" customWidth="1"/>
    <col min="12691" max="12691" width="10" style="1"/>
    <col min="12692" max="12692" width="10.42578125" style="1" bestFit="1" customWidth="1"/>
    <col min="12693" max="12800" width="10" style="1"/>
    <col min="12801" max="12801" width="1.85546875" style="1" customWidth="1"/>
    <col min="12802" max="12802" width="1" style="1" customWidth="1"/>
    <col min="12803" max="12803" width="0.85546875" style="1" customWidth="1"/>
    <col min="12804" max="12804" width="58.28515625" style="1" customWidth="1"/>
    <col min="12805" max="12806" width="1" style="1" customWidth="1"/>
    <col min="12807" max="12807" width="16.85546875" style="1" customWidth="1"/>
    <col min="12808" max="12809" width="1" style="1" customWidth="1"/>
    <col min="12810" max="12854" width="0" style="1" hidden="1" customWidth="1"/>
    <col min="12855" max="12856" width="1" style="1" customWidth="1"/>
    <col min="12857" max="12857" width="17.85546875" style="1" customWidth="1"/>
    <col min="12858" max="12859" width="1" style="1" customWidth="1"/>
    <col min="12860" max="12869" width="0" style="1" hidden="1" customWidth="1"/>
    <col min="12870" max="12871" width="1" style="1" customWidth="1"/>
    <col min="12872" max="12872" width="16.140625" style="1" customWidth="1"/>
    <col min="12873" max="12876" width="1" style="1" customWidth="1"/>
    <col min="12877" max="12877" width="15.140625" style="1" customWidth="1"/>
    <col min="12878" max="12879" width="1" style="1" customWidth="1"/>
    <col min="12880" max="12924" width="0" style="1" hidden="1" customWidth="1"/>
    <col min="12925" max="12926" width="1" style="1" customWidth="1"/>
    <col min="12927" max="12927" width="17.85546875" style="1" customWidth="1"/>
    <col min="12928" max="12929" width="1" style="1" customWidth="1"/>
    <col min="12930" max="12939" width="0" style="1" hidden="1" customWidth="1"/>
    <col min="12940" max="12941" width="1" style="1" customWidth="1"/>
    <col min="12942" max="12942" width="15.7109375" style="1" customWidth="1"/>
    <col min="12943" max="12944" width="1" style="1" customWidth="1"/>
    <col min="12945" max="12945" width="0.7109375" style="1" customWidth="1"/>
    <col min="12946" max="12946" width="3.28515625" style="1" customWidth="1"/>
    <col min="12947" max="12947" width="10" style="1"/>
    <col min="12948" max="12948" width="10.42578125" style="1" bestFit="1" customWidth="1"/>
    <col min="12949" max="13056" width="10" style="1"/>
    <col min="13057" max="13057" width="1.85546875" style="1" customWidth="1"/>
    <col min="13058" max="13058" width="1" style="1" customWidth="1"/>
    <col min="13059" max="13059" width="0.85546875" style="1" customWidth="1"/>
    <col min="13060" max="13060" width="58.28515625" style="1" customWidth="1"/>
    <col min="13061" max="13062" width="1" style="1" customWidth="1"/>
    <col min="13063" max="13063" width="16.85546875" style="1" customWidth="1"/>
    <col min="13064" max="13065" width="1" style="1" customWidth="1"/>
    <col min="13066" max="13110" width="0" style="1" hidden="1" customWidth="1"/>
    <col min="13111" max="13112" width="1" style="1" customWidth="1"/>
    <col min="13113" max="13113" width="17.85546875" style="1" customWidth="1"/>
    <col min="13114" max="13115" width="1" style="1" customWidth="1"/>
    <col min="13116" max="13125" width="0" style="1" hidden="1" customWidth="1"/>
    <col min="13126" max="13127" width="1" style="1" customWidth="1"/>
    <col min="13128" max="13128" width="16.140625" style="1" customWidth="1"/>
    <col min="13129" max="13132" width="1" style="1" customWidth="1"/>
    <col min="13133" max="13133" width="15.140625" style="1" customWidth="1"/>
    <col min="13134" max="13135" width="1" style="1" customWidth="1"/>
    <col min="13136" max="13180" width="0" style="1" hidden="1" customWidth="1"/>
    <col min="13181" max="13182" width="1" style="1" customWidth="1"/>
    <col min="13183" max="13183" width="17.85546875" style="1" customWidth="1"/>
    <col min="13184" max="13185" width="1" style="1" customWidth="1"/>
    <col min="13186" max="13195" width="0" style="1" hidden="1" customWidth="1"/>
    <col min="13196" max="13197" width="1" style="1" customWidth="1"/>
    <col min="13198" max="13198" width="15.7109375" style="1" customWidth="1"/>
    <col min="13199" max="13200" width="1" style="1" customWidth="1"/>
    <col min="13201" max="13201" width="0.7109375" style="1" customWidth="1"/>
    <col min="13202" max="13202" width="3.28515625" style="1" customWidth="1"/>
    <col min="13203" max="13203" width="10" style="1"/>
    <col min="13204" max="13204" width="10.42578125" style="1" bestFit="1" customWidth="1"/>
    <col min="13205" max="13312" width="10" style="1"/>
    <col min="13313" max="13313" width="1.85546875" style="1" customWidth="1"/>
    <col min="13314" max="13314" width="1" style="1" customWidth="1"/>
    <col min="13315" max="13315" width="0.85546875" style="1" customWidth="1"/>
    <col min="13316" max="13316" width="58.28515625" style="1" customWidth="1"/>
    <col min="13317" max="13318" width="1" style="1" customWidth="1"/>
    <col min="13319" max="13319" width="16.85546875" style="1" customWidth="1"/>
    <col min="13320" max="13321" width="1" style="1" customWidth="1"/>
    <col min="13322" max="13366" width="0" style="1" hidden="1" customWidth="1"/>
    <col min="13367" max="13368" width="1" style="1" customWidth="1"/>
    <col min="13369" max="13369" width="17.85546875" style="1" customWidth="1"/>
    <col min="13370" max="13371" width="1" style="1" customWidth="1"/>
    <col min="13372" max="13381" width="0" style="1" hidden="1" customWidth="1"/>
    <col min="13382" max="13383" width="1" style="1" customWidth="1"/>
    <col min="13384" max="13384" width="16.140625" style="1" customWidth="1"/>
    <col min="13385" max="13388" width="1" style="1" customWidth="1"/>
    <col min="13389" max="13389" width="15.140625" style="1" customWidth="1"/>
    <col min="13390" max="13391" width="1" style="1" customWidth="1"/>
    <col min="13392" max="13436" width="0" style="1" hidden="1" customWidth="1"/>
    <col min="13437" max="13438" width="1" style="1" customWidth="1"/>
    <col min="13439" max="13439" width="17.85546875" style="1" customWidth="1"/>
    <col min="13440" max="13441" width="1" style="1" customWidth="1"/>
    <col min="13442" max="13451" width="0" style="1" hidden="1" customWidth="1"/>
    <col min="13452" max="13453" width="1" style="1" customWidth="1"/>
    <col min="13454" max="13454" width="15.7109375" style="1" customWidth="1"/>
    <col min="13455" max="13456" width="1" style="1" customWidth="1"/>
    <col min="13457" max="13457" width="0.7109375" style="1" customWidth="1"/>
    <col min="13458" max="13458" width="3.28515625" style="1" customWidth="1"/>
    <col min="13459" max="13459" width="10" style="1"/>
    <col min="13460" max="13460" width="10.42578125" style="1" bestFit="1" customWidth="1"/>
    <col min="13461" max="13568" width="10" style="1"/>
    <col min="13569" max="13569" width="1.85546875" style="1" customWidth="1"/>
    <col min="13570" max="13570" width="1" style="1" customWidth="1"/>
    <col min="13571" max="13571" width="0.85546875" style="1" customWidth="1"/>
    <col min="13572" max="13572" width="58.28515625" style="1" customWidth="1"/>
    <col min="13573" max="13574" width="1" style="1" customWidth="1"/>
    <col min="13575" max="13575" width="16.85546875" style="1" customWidth="1"/>
    <col min="13576" max="13577" width="1" style="1" customWidth="1"/>
    <col min="13578" max="13622" width="0" style="1" hidden="1" customWidth="1"/>
    <col min="13623" max="13624" width="1" style="1" customWidth="1"/>
    <col min="13625" max="13625" width="17.85546875" style="1" customWidth="1"/>
    <col min="13626" max="13627" width="1" style="1" customWidth="1"/>
    <col min="13628" max="13637" width="0" style="1" hidden="1" customWidth="1"/>
    <col min="13638" max="13639" width="1" style="1" customWidth="1"/>
    <col min="13640" max="13640" width="16.140625" style="1" customWidth="1"/>
    <col min="13641" max="13644" width="1" style="1" customWidth="1"/>
    <col min="13645" max="13645" width="15.140625" style="1" customWidth="1"/>
    <col min="13646" max="13647" width="1" style="1" customWidth="1"/>
    <col min="13648" max="13692" width="0" style="1" hidden="1" customWidth="1"/>
    <col min="13693" max="13694" width="1" style="1" customWidth="1"/>
    <col min="13695" max="13695" width="17.85546875" style="1" customWidth="1"/>
    <col min="13696" max="13697" width="1" style="1" customWidth="1"/>
    <col min="13698" max="13707" width="0" style="1" hidden="1" customWidth="1"/>
    <col min="13708" max="13709" width="1" style="1" customWidth="1"/>
    <col min="13710" max="13710" width="15.7109375" style="1" customWidth="1"/>
    <col min="13711" max="13712" width="1" style="1" customWidth="1"/>
    <col min="13713" max="13713" width="0.7109375" style="1" customWidth="1"/>
    <col min="13714" max="13714" width="3.28515625" style="1" customWidth="1"/>
    <col min="13715" max="13715" width="10" style="1"/>
    <col min="13716" max="13716" width="10.42578125" style="1" bestFit="1" customWidth="1"/>
    <col min="13717" max="13824" width="10" style="1"/>
    <col min="13825" max="13825" width="1.85546875" style="1" customWidth="1"/>
    <col min="13826" max="13826" width="1" style="1" customWidth="1"/>
    <col min="13827" max="13827" width="0.85546875" style="1" customWidth="1"/>
    <col min="13828" max="13828" width="58.28515625" style="1" customWidth="1"/>
    <col min="13829" max="13830" width="1" style="1" customWidth="1"/>
    <col min="13831" max="13831" width="16.85546875" style="1" customWidth="1"/>
    <col min="13832" max="13833" width="1" style="1" customWidth="1"/>
    <col min="13834" max="13878" width="0" style="1" hidden="1" customWidth="1"/>
    <col min="13879" max="13880" width="1" style="1" customWidth="1"/>
    <col min="13881" max="13881" width="17.85546875" style="1" customWidth="1"/>
    <col min="13882" max="13883" width="1" style="1" customWidth="1"/>
    <col min="13884" max="13893" width="0" style="1" hidden="1" customWidth="1"/>
    <col min="13894" max="13895" width="1" style="1" customWidth="1"/>
    <col min="13896" max="13896" width="16.140625" style="1" customWidth="1"/>
    <col min="13897" max="13900" width="1" style="1" customWidth="1"/>
    <col min="13901" max="13901" width="15.140625" style="1" customWidth="1"/>
    <col min="13902" max="13903" width="1" style="1" customWidth="1"/>
    <col min="13904" max="13948" width="0" style="1" hidden="1" customWidth="1"/>
    <col min="13949" max="13950" width="1" style="1" customWidth="1"/>
    <col min="13951" max="13951" width="17.85546875" style="1" customWidth="1"/>
    <col min="13952" max="13953" width="1" style="1" customWidth="1"/>
    <col min="13954" max="13963" width="0" style="1" hidden="1" customWidth="1"/>
    <col min="13964" max="13965" width="1" style="1" customWidth="1"/>
    <col min="13966" max="13966" width="15.7109375" style="1" customWidth="1"/>
    <col min="13967" max="13968" width="1" style="1" customWidth="1"/>
    <col min="13969" max="13969" width="0.7109375" style="1" customWidth="1"/>
    <col min="13970" max="13970" width="3.28515625" style="1" customWidth="1"/>
    <col min="13971" max="13971" width="10" style="1"/>
    <col min="13972" max="13972" width="10.42578125" style="1" bestFit="1" customWidth="1"/>
    <col min="13973" max="14080" width="10" style="1"/>
    <col min="14081" max="14081" width="1.85546875" style="1" customWidth="1"/>
    <col min="14082" max="14082" width="1" style="1" customWidth="1"/>
    <col min="14083" max="14083" width="0.85546875" style="1" customWidth="1"/>
    <col min="14084" max="14084" width="58.28515625" style="1" customWidth="1"/>
    <col min="14085" max="14086" width="1" style="1" customWidth="1"/>
    <col min="14087" max="14087" width="16.85546875" style="1" customWidth="1"/>
    <col min="14088" max="14089" width="1" style="1" customWidth="1"/>
    <col min="14090" max="14134" width="0" style="1" hidden="1" customWidth="1"/>
    <col min="14135" max="14136" width="1" style="1" customWidth="1"/>
    <col min="14137" max="14137" width="17.85546875" style="1" customWidth="1"/>
    <col min="14138" max="14139" width="1" style="1" customWidth="1"/>
    <col min="14140" max="14149" width="0" style="1" hidden="1" customWidth="1"/>
    <col min="14150" max="14151" width="1" style="1" customWidth="1"/>
    <col min="14152" max="14152" width="16.140625" style="1" customWidth="1"/>
    <col min="14153" max="14156" width="1" style="1" customWidth="1"/>
    <col min="14157" max="14157" width="15.140625" style="1" customWidth="1"/>
    <col min="14158" max="14159" width="1" style="1" customWidth="1"/>
    <col min="14160" max="14204" width="0" style="1" hidden="1" customWidth="1"/>
    <col min="14205" max="14206" width="1" style="1" customWidth="1"/>
    <col min="14207" max="14207" width="17.85546875" style="1" customWidth="1"/>
    <col min="14208" max="14209" width="1" style="1" customWidth="1"/>
    <col min="14210" max="14219" width="0" style="1" hidden="1" customWidth="1"/>
    <col min="14220" max="14221" width="1" style="1" customWidth="1"/>
    <col min="14222" max="14222" width="15.7109375" style="1" customWidth="1"/>
    <col min="14223" max="14224" width="1" style="1" customWidth="1"/>
    <col min="14225" max="14225" width="0.7109375" style="1" customWidth="1"/>
    <col min="14226" max="14226" width="3.28515625" style="1" customWidth="1"/>
    <col min="14227" max="14227" width="10" style="1"/>
    <col min="14228" max="14228" width="10.42578125" style="1" bestFit="1" customWidth="1"/>
    <col min="14229" max="14336" width="10" style="1"/>
    <col min="14337" max="14337" width="1.85546875" style="1" customWidth="1"/>
    <col min="14338" max="14338" width="1" style="1" customWidth="1"/>
    <col min="14339" max="14339" width="0.85546875" style="1" customWidth="1"/>
    <col min="14340" max="14340" width="58.28515625" style="1" customWidth="1"/>
    <col min="14341" max="14342" width="1" style="1" customWidth="1"/>
    <col min="14343" max="14343" width="16.85546875" style="1" customWidth="1"/>
    <col min="14344" max="14345" width="1" style="1" customWidth="1"/>
    <col min="14346" max="14390" width="0" style="1" hidden="1" customWidth="1"/>
    <col min="14391" max="14392" width="1" style="1" customWidth="1"/>
    <col min="14393" max="14393" width="17.85546875" style="1" customWidth="1"/>
    <col min="14394" max="14395" width="1" style="1" customWidth="1"/>
    <col min="14396" max="14405" width="0" style="1" hidden="1" customWidth="1"/>
    <col min="14406" max="14407" width="1" style="1" customWidth="1"/>
    <col min="14408" max="14408" width="16.140625" style="1" customWidth="1"/>
    <col min="14409" max="14412" width="1" style="1" customWidth="1"/>
    <col min="14413" max="14413" width="15.140625" style="1" customWidth="1"/>
    <col min="14414" max="14415" width="1" style="1" customWidth="1"/>
    <col min="14416" max="14460" width="0" style="1" hidden="1" customWidth="1"/>
    <col min="14461" max="14462" width="1" style="1" customWidth="1"/>
    <col min="14463" max="14463" width="17.85546875" style="1" customWidth="1"/>
    <col min="14464" max="14465" width="1" style="1" customWidth="1"/>
    <col min="14466" max="14475" width="0" style="1" hidden="1" customWidth="1"/>
    <col min="14476" max="14477" width="1" style="1" customWidth="1"/>
    <col min="14478" max="14478" width="15.7109375" style="1" customWidth="1"/>
    <col min="14479" max="14480" width="1" style="1" customWidth="1"/>
    <col min="14481" max="14481" width="0.7109375" style="1" customWidth="1"/>
    <col min="14482" max="14482" width="3.28515625" style="1" customWidth="1"/>
    <col min="14483" max="14483" width="10" style="1"/>
    <col min="14484" max="14484" width="10.42578125" style="1" bestFit="1" customWidth="1"/>
    <col min="14485" max="14592" width="10" style="1"/>
    <col min="14593" max="14593" width="1.85546875" style="1" customWidth="1"/>
    <col min="14594" max="14594" width="1" style="1" customWidth="1"/>
    <col min="14595" max="14595" width="0.85546875" style="1" customWidth="1"/>
    <col min="14596" max="14596" width="58.28515625" style="1" customWidth="1"/>
    <col min="14597" max="14598" width="1" style="1" customWidth="1"/>
    <col min="14599" max="14599" width="16.85546875" style="1" customWidth="1"/>
    <col min="14600" max="14601" width="1" style="1" customWidth="1"/>
    <col min="14602" max="14646" width="0" style="1" hidden="1" customWidth="1"/>
    <col min="14647" max="14648" width="1" style="1" customWidth="1"/>
    <col min="14649" max="14649" width="17.85546875" style="1" customWidth="1"/>
    <col min="14650" max="14651" width="1" style="1" customWidth="1"/>
    <col min="14652" max="14661" width="0" style="1" hidden="1" customWidth="1"/>
    <col min="14662" max="14663" width="1" style="1" customWidth="1"/>
    <col min="14664" max="14664" width="16.140625" style="1" customWidth="1"/>
    <col min="14665" max="14668" width="1" style="1" customWidth="1"/>
    <col min="14669" max="14669" width="15.140625" style="1" customWidth="1"/>
    <col min="14670" max="14671" width="1" style="1" customWidth="1"/>
    <col min="14672" max="14716" width="0" style="1" hidden="1" customWidth="1"/>
    <col min="14717" max="14718" width="1" style="1" customWidth="1"/>
    <col min="14719" max="14719" width="17.85546875" style="1" customWidth="1"/>
    <col min="14720" max="14721" width="1" style="1" customWidth="1"/>
    <col min="14722" max="14731" width="0" style="1" hidden="1" customWidth="1"/>
    <col min="14732" max="14733" width="1" style="1" customWidth="1"/>
    <col min="14734" max="14734" width="15.7109375" style="1" customWidth="1"/>
    <col min="14735" max="14736" width="1" style="1" customWidth="1"/>
    <col min="14737" max="14737" width="0.7109375" style="1" customWidth="1"/>
    <col min="14738" max="14738" width="3.28515625" style="1" customWidth="1"/>
    <col min="14739" max="14739" width="10" style="1"/>
    <col min="14740" max="14740" width="10.42578125" style="1" bestFit="1" customWidth="1"/>
    <col min="14741" max="14848" width="10" style="1"/>
    <col min="14849" max="14849" width="1.85546875" style="1" customWidth="1"/>
    <col min="14850" max="14850" width="1" style="1" customWidth="1"/>
    <col min="14851" max="14851" width="0.85546875" style="1" customWidth="1"/>
    <col min="14852" max="14852" width="58.28515625" style="1" customWidth="1"/>
    <col min="14853" max="14854" width="1" style="1" customWidth="1"/>
    <col min="14855" max="14855" width="16.85546875" style="1" customWidth="1"/>
    <col min="14856" max="14857" width="1" style="1" customWidth="1"/>
    <col min="14858" max="14902" width="0" style="1" hidden="1" customWidth="1"/>
    <col min="14903" max="14904" width="1" style="1" customWidth="1"/>
    <col min="14905" max="14905" width="17.85546875" style="1" customWidth="1"/>
    <col min="14906" max="14907" width="1" style="1" customWidth="1"/>
    <col min="14908" max="14917" width="0" style="1" hidden="1" customWidth="1"/>
    <col min="14918" max="14919" width="1" style="1" customWidth="1"/>
    <col min="14920" max="14920" width="16.140625" style="1" customWidth="1"/>
    <col min="14921" max="14924" width="1" style="1" customWidth="1"/>
    <col min="14925" max="14925" width="15.140625" style="1" customWidth="1"/>
    <col min="14926" max="14927" width="1" style="1" customWidth="1"/>
    <col min="14928" max="14972" width="0" style="1" hidden="1" customWidth="1"/>
    <col min="14973" max="14974" width="1" style="1" customWidth="1"/>
    <col min="14975" max="14975" width="17.85546875" style="1" customWidth="1"/>
    <col min="14976" max="14977" width="1" style="1" customWidth="1"/>
    <col min="14978" max="14987" width="0" style="1" hidden="1" customWidth="1"/>
    <col min="14988" max="14989" width="1" style="1" customWidth="1"/>
    <col min="14990" max="14990" width="15.7109375" style="1" customWidth="1"/>
    <col min="14991" max="14992" width="1" style="1" customWidth="1"/>
    <col min="14993" max="14993" width="0.7109375" style="1" customWidth="1"/>
    <col min="14994" max="14994" width="3.28515625" style="1" customWidth="1"/>
    <col min="14995" max="14995" width="10" style="1"/>
    <col min="14996" max="14996" width="10.42578125" style="1" bestFit="1" customWidth="1"/>
    <col min="14997" max="15104" width="10" style="1"/>
    <col min="15105" max="15105" width="1.85546875" style="1" customWidth="1"/>
    <col min="15106" max="15106" width="1" style="1" customWidth="1"/>
    <col min="15107" max="15107" width="0.85546875" style="1" customWidth="1"/>
    <col min="15108" max="15108" width="58.28515625" style="1" customWidth="1"/>
    <col min="15109" max="15110" width="1" style="1" customWidth="1"/>
    <col min="15111" max="15111" width="16.85546875" style="1" customWidth="1"/>
    <col min="15112" max="15113" width="1" style="1" customWidth="1"/>
    <col min="15114" max="15158" width="0" style="1" hidden="1" customWidth="1"/>
    <col min="15159" max="15160" width="1" style="1" customWidth="1"/>
    <col min="15161" max="15161" width="17.85546875" style="1" customWidth="1"/>
    <col min="15162" max="15163" width="1" style="1" customWidth="1"/>
    <col min="15164" max="15173" width="0" style="1" hidden="1" customWidth="1"/>
    <col min="15174" max="15175" width="1" style="1" customWidth="1"/>
    <col min="15176" max="15176" width="16.140625" style="1" customWidth="1"/>
    <col min="15177" max="15180" width="1" style="1" customWidth="1"/>
    <col min="15181" max="15181" width="15.140625" style="1" customWidth="1"/>
    <col min="15182" max="15183" width="1" style="1" customWidth="1"/>
    <col min="15184" max="15228" width="0" style="1" hidden="1" customWidth="1"/>
    <col min="15229" max="15230" width="1" style="1" customWidth="1"/>
    <col min="15231" max="15231" width="17.85546875" style="1" customWidth="1"/>
    <col min="15232" max="15233" width="1" style="1" customWidth="1"/>
    <col min="15234" max="15243" width="0" style="1" hidden="1" customWidth="1"/>
    <col min="15244" max="15245" width="1" style="1" customWidth="1"/>
    <col min="15246" max="15246" width="15.7109375" style="1" customWidth="1"/>
    <col min="15247" max="15248" width="1" style="1" customWidth="1"/>
    <col min="15249" max="15249" width="0.7109375" style="1" customWidth="1"/>
    <col min="15250" max="15250" width="3.28515625" style="1" customWidth="1"/>
    <col min="15251" max="15251" width="10" style="1"/>
    <col min="15252" max="15252" width="10.42578125" style="1" bestFit="1" customWidth="1"/>
    <col min="15253" max="15360" width="10" style="1"/>
    <col min="15361" max="15361" width="1.85546875" style="1" customWidth="1"/>
    <col min="15362" max="15362" width="1" style="1" customWidth="1"/>
    <col min="15363" max="15363" width="0.85546875" style="1" customWidth="1"/>
    <col min="15364" max="15364" width="58.28515625" style="1" customWidth="1"/>
    <col min="15365" max="15366" width="1" style="1" customWidth="1"/>
    <col min="15367" max="15367" width="16.85546875" style="1" customWidth="1"/>
    <col min="15368" max="15369" width="1" style="1" customWidth="1"/>
    <col min="15370" max="15414" width="0" style="1" hidden="1" customWidth="1"/>
    <col min="15415" max="15416" width="1" style="1" customWidth="1"/>
    <col min="15417" max="15417" width="17.85546875" style="1" customWidth="1"/>
    <col min="15418" max="15419" width="1" style="1" customWidth="1"/>
    <col min="15420" max="15429" width="0" style="1" hidden="1" customWidth="1"/>
    <col min="15430" max="15431" width="1" style="1" customWidth="1"/>
    <col min="15432" max="15432" width="16.140625" style="1" customWidth="1"/>
    <col min="15433" max="15436" width="1" style="1" customWidth="1"/>
    <col min="15437" max="15437" width="15.140625" style="1" customWidth="1"/>
    <col min="15438" max="15439" width="1" style="1" customWidth="1"/>
    <col min="15440" max="15484" width="0" style="1" hidden="1" customWidth="1"/>
    <col min="15485" max="15486" width="1" style="1" customWidth="1"/>
    <col min="15487" max="15487" width="17.85546875" style="1" customWidth="1"/>
    <col min="15488" max="15489" width="1" style="1" customWidth="1"/>
    <col min="15490" max="15499" width="0" style="1" hidden="1" customWidth="1"/>
    <col min="15500" max="15501" width="1" style="1" customWidth="1"/>
    <col min="15502" max="15502" width="15.7109375" style="1" customWidth="1"/>
    <col min="15503" max="15504" width="1" style="1" customWidth="1"/>
    <col min="15505" max="15505" width="0.7109375" style="1" customWidth="1"/>
    <col min="15506" max="15506" width="3.28515625" style="1" customWidth="1"/>
    <col min="15507" max="15507" width="10" style="1"/>
    <col min="15508" max="15508" width="10.42578125" style="1" bestFit="1" customWidth="1"/>
    <col min="15509" max="15616" width="10" style="1"/>
    <col min="15617" max="15617" width="1.85546875" style="1" customWidth="1"/>
    <col min="15618" max="15618" width="1" style="1" customWidth="1"/>
    <col min="15619" max="15619" width="0.85546875" style="1" customWidth="1"/>
    <col min="15620" max="15620" width="58.28515625" style="1" customWidth="1"/>
    <col min="15621" max="15622" width="1" style="1" customWidth="1"/>
    <col min="15623" max="15623" width="16.85546875" style="1" customWidth="1"/>
    <col min="15624" max="15625" width="1" style="1" customWidth="1"/>
    <col min="15626" max="15670" width="0" style="1" hidden="1" customWidth="1"/>
    <col min="15671" max="15672" width="1" style="1" customWidth="1"/>
    <col min="15673" max="15673" width="17.85546875" style="1" customWidth="1"/>
    <col min="15674" max="15675" width="1" style="1" customWidth="1"/>
    <col min="15676" max="15685" width="0" style="1" hidden="1" customWidth="1"/>
    <col min="15686" max="15687" width="1" style="1" customWidth="1"/>
    <col min="15688" max="15688" width="16.140625" style="1" customWidth="1"/>
    <col min="15689" max="15692" width="1" style="1" customWidth="1"/>
    <col min="15693" max="15693" width="15.140625" style="1" customWidth="1"/>
    <col min="15694" max="15695" width="1" style="1" customWidth="1"/>
    <col min="15696" max="15740" width="0" style="1" hidden="1" customWidth="1"/>
    <col min="15741" max="15742" width="1" style="1" customWidth="1"/>
    <col min="15743" max="15743" width="17.85546875" style="1" customWidth="1"/>
    <col min="15744" max="15745" width="1" style="1" customWidth="1"/>
    <col min="15746" max="15755" width="0" style="1" hidden="1" customWidth="1"/>
    <col min="15756" max="15757" width="1" style="1" customWidth="1"/>
    <col min="15758" max="15758" width="15.7109375" style="1" customWidth="1"/>
    <col min="15759" max="15760" width="1" style="1" customWidth="1"/>
    <col min="15761" max="15761" width="0.7109375" style="1" customWidth="1"/>
    <col min="15762" max="15762" width="3.28515625" style="1" customWidth="1"/>
    <col min="15763" max="15763" width="10" style="1"/>
    <col min="15764" max="15764" width="10.42578125" style="1" bestFit="1" customWidth="1"/>
    <col min="15765" max="15872" width="10" style="1"/>
    <col min="15873" max="15873" width="1.85546875" style="1" customWidth="1"/>
    <col min="15874" max="15874" width="1" style="1" customWidth="1"/>
    <col min="15875" max="15875" width="0.85546875" style="1" customWidth="1"/>
    <col min="15876" max="15876" width="58.28515625" style="1" customWidth="1"/>
    <col min="15877" max="15878" width="1" style="1" customWidth="1"/>
    <col min="15879" max="15879" width="16.85546875" style="1" customWidth="1"/>
    <col min="15880" max="15881" width="1" style="1" customWidth="1"/>
    <col min="15882" max="15926" width="0" style="1" hidden="1" customWidth="1"/>
    <col min="15927" max="15928" width="1" style="1" customWidth="1"/>
    <col min="15929" max="15929" width="17.85546875" style="1" customWidth="1"/>
    <col min="15930" max="15931" width="1" style="1" customWidth="1"/>
    <col min="15932" max="15941" width="0" style="1" hidden="1" customWidth="1"/>
    <col min="15942" max="15943" width="1" style="1" customWidth="1"/>
    <col min="15944" max="15944" width="16.140625" style="1" customWidth="1"/>
    <col min="15945" max="15948" width="1" style="1" customWidth="1"/>
    <col min="15949" max="15949" width="15.140625" style="1" customWidth="1"/>
    <col min="15950" max="15951" width="1" style="1" customWidth="1"/>
    <col min="15952" max="15996" width="0" style="1" hidden="1" customWidth="1"/>
    <col min="15997" max="15998" width="1" style="1" customWidth="1"/>
    <col min="15999" max="15999" width="17.85546875" style="1" customWidth="1"/>
    <col min="16000" max="16001" width="1" style="1" customWidth="1"/>
    <col min="16002" max="16011" width="0" style="1" hidden="1" customWidth="1"/>
    <col min="16012" max="16013" width="1" style="1" customWidth="1"/>
    <col min="16014" max="16014" width="15.7109375" style="1" customWidth="1"/>
    <col min="16015" max="16016" width="1" style="1" customWidth="1"/>
    <col min="16017" max="16017" width="0.7109375" style="1" customWidth="1"/>
    <col min="16018" max="16018" width="3.28515625" style="1" customWidth="1"/>
    <col min="16019" max="16019" width="10" style="1"/>
    <col min="16020" max="16020" width="10.42578125" style="1" bestFit="1" customWidth="1"/>
    <col min="16021" max="16128" width="10" style="1"/>
    <col min="16129" max="16129" width="1.85546875" style="1" customWidth="1"/>
    <col min="16130" max="16130" width="1" style="1" customWidth="1"/>
    <col min="16131" max="16131" width="0.85546875" style="1" customWidth="1"/>
    <col min="16132" max="16132" width="58.28515625" style="1" customWidth="1"/>
    <col min="16133" max="16134" width="1" style="1" customWidth="1"/>
    <col min="16135" max="16135" width="16.85546875" style="1" customWidth="1"/>
    <col min="16136" max="16137" width="1" style="1" customWidth="1"/>
    <col min="16138" max="16182" width="0" style="1" hidden="1" customWidth="1"/>
    <col min="16183" max="16184" width="1" style="1" customWidth="1"/>
    <col min="16185" max="16185" width="17.85546875" style="1" customWidth="1"/>
    <col min="16186" max="16187" width="1" style="1" customWidth="1"/>
    <col min="16188" max="16197" width="0" style="1" hidden="1" customWidth="1"/>
    <col min="16198" max="16199" width="1" style="1" customWidth="1"/>
    <col min="16200" max="16200" width="16.140625" style="1" customWidth="1"/>
    <col min="16201" max="16204" width="1" style="1" customWidth="1"/>
    <col min="16205" max="16205" width="15.140625" style="1" customWidth="1"/>
    <col min="16206" max="16207" width="1" style="1" customWidth="1"/>
    <col min="16208" max="16252" width="0" style="1" hidden="1" customWidth="1"/>
    <col min="16253" max="16254" width="1" style="1" customWidth="1"/>
    <col min="16255" max="16255" width="17.85546875" style="1" customWidth="1"/>
    <col min="16256" max="16257" width="1" style="1" customWidth="1"/>
    <col min="16258" max="16267" width="0" style="1" hidden="1" customWidth="1"/>
    <col min="16268" max="16269" width="1" style="1" customWidth="1"/>
    <col min="16270" max="16270" width="15.7109375" style="1" customWidth="1"/>
    <col min="16271" max="16272" width="1" style="1" customWidth="1"/>
    <col min="16273" max="16273" width="0.7109375" style="1" customWidth="1"/>
    <col min="16274" max="16274" width="3.28515625" style="1" customWidth="1"/>
    <col min="16275" max="16275" width="10" style="1"/>
    <col min="16276" max="16276" width="10.42578125" style="1" bestFit="1" customWidth="1"/>
    <col min="16277" max="16384" width="10" style="1"/>
  </cols>
  <sheetData>
    <row r="1" spans="3:145" x14ac:dyDescent="0.2">
      <c r="M1" s="1">
        <f>1770000000+11234076861+1105000000</f>
        <v>14109076861</v>
      </c>
    </row>
    <row r="2" spans="3:145" ht="6" customHeight="1" x14ac:dyDescent="0.2"/>
    <row r="4" spans="3:145" x14ac:dyDescent="0.2">
      <c r="D4" s="14"/>
      <c r="E4" s="14"/>
      <c r="F4" s="14"/>
    </row>
    <row r="7" spans="3:145" ht="15.75" x14ac:dyDescent="0.25">
      <c r="D7" s="422" t="s">
        <v>444</v>
      </c>
      <c r="E7" s="422"/>
      <c r="F7" s="422"/>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row>
    <row r="8" spans="3:145" x14ac:dyDescent="0.2">
      <c r="C8" s="190"/>
      <c r="D8" s="93"/>
      <c r="E8" s="423"/>
      <c r="F8" s="424"/>
      <c r="G8" s="8" t="str">
        <f>[31]summary!H8</f>
        <v>2020/21</v>
      </c>
      <c r="H8" s="8"/>
      <c r="I8" s="8"/>
      <c r="J8" s="8"/>
      <c r="K8" s="8"/>
      <c r="L8" s="499"/>
      <c r="M8" s="499"/>
      <c r="N8" s="499"/>
      <c r="O8" s="499"/>
      <c r="P8" s="499"/>
      <c r="Q8" s="499"/>
      <c r="R8" s="499"/>
      <c r="S8" s="499"/>
      <c r="T8" s="499"/>
      <c r="U8" s="499"/>
      <c r="V8" s="499"/>
      <c r="W8" s="499"/>
      <c r="X8" s="499"/>
      <c r="Y8" s="499"/>
      <c r="Z8" s="499"/>
      <c r="AA8" s="499"/>
      <c r="AB8" s="499"/>
      <c r="AC8" s="499"/>
      <c r="AD8" s="499"/>
      <c r="AE8" s="499"/>
      <c r="AF8" s="499"/>
      <c r="AG8" s="499"/>
      <c r="AH8" s="499"/>
      <c r="AI8" s="499"/>
      <c r="AJ8" s="499"/>
      <c r="AK8" s="499"/>
      <c r="AL8" s="499"/>
      <c r="AM8" s="499"/>
      <c r="AN8" s="499"/>
      <c r="AO8" s="499"/>
      <c r="AP8" s="499"/>
      <c r="AQ8" s="499"/>
      <c r="AR8" s="499"/>
      <c r="AS8" s="499"/>
      <c r="AT8" s="499"/>
      <c r="AU8" s="499"/>
      <c r="AV8" s="499"/>
      <c r="AW8" s="499"/>
      <c r="AX8" s="499"/>
      <c r="AY8" s="499"/>
      <c r="AZ8" s="499"/>
      <c r="BA8" s="499"/>
      <c r="BB8" s="499"/>
      <c r="BC8" s="499"/>
      <c r="BD8" s="499"/>
      <c r="BE8" s="499"/>
      <c r="BF8" s="499"/>
      <c r="BG8" s="499"/>
      <c r="BH8" s="499"/>
      <c r="BI8" s="499"/>
      <c r="BJ8" s="499"/>
      <c r="BK8" s="499"/>
      <c r="BL8" s="499"/>
      <c r="BM8" s="499"/>
      <c r="BN8" s="499"/>
      <c r="BO8" s="499"/>
      <c r="BP8" s="499"/>
      <c r="BQ8" s="499"/>
      <c r="BR8" s="499"/>
      <c r="BS8" s="499"/>
      <c r="BT8" s="499"/>
      <c r="BU8" s="365"/>
      <c r="BV8" s="365"/>
      <c r="BW8" s="432"/>
      <c r="BX8" s="365"/>
      <c r="BY8" s="500" t="str">
        <f>[31]summary!BZ8</f>
        <v>2019/20</v>
      </c>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361"/>
      <c r="EN8" s="362"/>
      <c r="EO8" s="13"/>
    </row>
    <row r="9" spans="3:145" ht="18" customHeight="1" x14ac:dyDescent="0.2">
      <c r="D9" s="13"/>
      <c r="E9" s="198"/>
      <c r="G9" s="23" t="str">
        <f>[31]domredemp!G9</f>
        <v>Revised</v>
      </c>
      <c r="H9" s="23"/>
      <c r="I9" s="23"/>
      <c r="J9" s="42"/>
      <c r="K9" s="23"/>
      <c r="L9" s="23" t="s">
        <v>4</v>
      </c>
      <c r="M9" s="23"/>
      <c r="N9" s="23"/>
      <c r="O9" s="42"/>
      <c r="P9" s="23"/>
      <c r="Q9" s="23" t="s">
        <v>5</v>
      </c>
      <c r="R9" s="23"/>
      <c r="S9" s="23"/>
      <c r="T9" s="42"/>
      <c r="U9" s="23"/>
      <c r="V9" s="23" t="s">
        <v>6</v>
      </c>
      <c r="W9" s="23"/>
      <c r="X9" s="23"/>
      <c r="Y9" s="42"/>
      <c r="Z9" s="23"/>
      <c r="AA9" s="23" t="s">
        <v>7</v>
      </c>
      <c r="AB9" s="23"/>
      <c r="AC9" s="23"/>
      <c r="AD9" s="42"/>
      <c r="AE9" s="23"/>
      <c r="AF9" s="23" t="s">
        <v>8</v>
      </c>
      <c r="AG9" s="23"/>
      <c r="AH9" s="23"/>
      <c r="AI9" s="42"/>
      <c r="AJ9" s="23"/>
      <c r="AK9" s="23" t="s">
        <v>9</v>
      </c>
      <c r="AL9" s="23"/>
      <c r="AM9" s="23"/>
      <c r="AN9" s="42"/>
      <c r="AO9" s="23"/>
      <c r="AP9" s="23" t="s">
        <v>10</v>
      </c>
      <c r="AQ9" s="23"/>
      <c r="AR9" s="23"/>
      <c r="AS9" s="42"/>
      <c r="AT9" s="23"/>
      <c r="AU9" s="23" t="s">
        <v>11</v>
      </c>
      <c r="AV9" s="23"/>
      <c r="AW9" s="23"/>
      <c r="AX9" s="42"/>
      <c r="AY9" s="23"/>
      <c r="AZ9" s="23" t="s">
        <v>12</v>
      </c>
      <c r="BA9" s="23"/>
      <c r="BB9" s="23"/>
      <c r="BC9" s="42"/>
      <c r="BD9" s="23"/>
      <c r="BE9" s="23" t="s">
        <v>13</v>
      </c>
      <c r="BF9" s="23"/>
      <c r="BG9" s="23"/>
      <c r="BH9" s="42"/>
      <c r="BI9" s="23"/>
      <c r="BJ9" s="23" t="s">
        <v>14</v>
      </c>
      <c r="BK9" s="23"/>
      <c r="BL9" s="23"/>
      <c r="BM9" s="42"/>
      <c r="BN9" s="23"/>
      <c r="BO9" s="23" t="s">
        <v>15</v>
      </c>
      <c r="BP9" s="23"/>
      <c r="BQ9" s="23"/>
      <c r="BR9" s="42"/>
      <c r="BS9" s="23"/>
      <c r="BT9" s="23" t="s">
        <v>16</v>
      </c>
      <c r="BU9" s="23"/>
      <c r="BV9" s="23"/>
      <c r="BW9" s="65"/>
      <c r="BX9" s="23"/>
      <c r="BY9" s="41" t="str">
        <f>[31]domredemp!BY9</f>
        <v>Preliminary</v>
      </c>
      <c r="BZ9" s="23"/>
      <c r="CA9" s="23"/>
      <c r="CB9" s="42"/>
      <c r="CC9" s="23"/>
      <c r="CD9" s="23" t="s">
        <v>4</v>
      </c>
      <c r="CE9" s="23"/>
      <c r="CF9" s="23"/>
      <c r="CG9" s="42"/>
      <c r="CH9" s="23"/>
      <c r="CI9" s="23" t="s">
        <v>5</v>
      </c>
      <c r="CJ9" s="23"/>
      <c r="CK9" s="23"/>
      <c r="CL9" s="42"/>
      <c r="CM9" s="23"/>
      <c r="CN9" s="23" t="s">
        <v>6</v>
      </c>
      <c r="CO9" s="23"/>
      <c r="CP9" s="23"/>
      <c r="CQ9" s="42"/>
      <c r="CR9" s="23"/>
      <c r="CS9" s="23" t="s">
        <v>7</v>
      </c>
      <c r="CT9" s="23"/>
      <c r="CU9" s="23"/>
      <c r="CV9" s="42"/>
      <c r="CW9" s="23"/>
      <c r="CX9" s="23" t="s">
        <v>8</v>
      </c>
      <c r="CY9" s="23"/>
      <c r="CZ9" s="23"/>
      <c r="DA9" s="42"/>
      <c r="DB9" s="23"/>
      <c r="DC9" s="23" t="s">
        <v>9</v>
      </c>
      <c r="DD9" s="23"/>
      <c r="DE9" s="23"/>
      <c r="DF9" s="42"/>
      <c r="DG9" s="23"/>
      <c r="DH9" s="23" t="s">
        <v>10</v>
      </c>
      <c r="DI9" s="23"/>
      <c r="DJ9" s="23"/>
      <c r="DK9" s="42"/>
      <c r="DL9" s="23"/>
      <c r="DM9" s="23" t="s">
        <v>11</v>
      </c>
      <c r="DN9" s="23"/>
      <c r="DO9" s="23"/>
      <c r="DP9" s="42"/>
      <c r="DQ9" s="23"/>
      <c r="DR9" s="23" t="s">
        <v>12</v>
      </c>
      <c r="DS9" s="23"/>
      <c r="DT9" s="23"/>
      <c r="DU9" s="42"/>
      <c r="DV9" s="23"/>
      <c r="DW9" s="23" t="s">
        <v>13</v>
      </c>
      <c r="DX9" s="23"/>
      <c r="DY9" s="23"/>
      <c r="DZ9" s="42"/>
      <c r="EA9" s="23"/>
      <c r="EB9" s="23" t="s">
        <v>14</v>
      </c>
      <c r="EC9" s="23"/>
      <c r="ED9" s="23"/>
      <c r="EE9" s="42"/>
      <c r="EF9" s="23"/>
      <c r="EG9" s="23" t="s">
        <v>15</v>
      </c>
      <c r="EH9" s="23"/>
      <c r="EI9" s="23"/>
      <c r="EJ9" s="42"/>
      <c r="EK9" s="23"/>
      <c r="EL9" s="23" t="s">
        <v>16</v>
      </c>
      <c r="EM9" s="23"/>
      <c r="EN9" s="23"/>
      <c r="EO9" s="13"/>
    </row>
    <row r="10" spans="3:145" x14ac:dyDescent="0.2">
      <c r="D10" s="364" t="s">
        <v>19</v>
      </c>
      <c r="E10" s="430"/>
      <c r="F10" s="431"/>
      <c r="G10" s="105" t="s">
        <v>20</v>
      </c>
      <c r="H10" s="105"/>
      <c r="I10" s="105"/>
      <c r="J10" s="366"/>
      <c r="K10" s="105"/>
      <c r="L10" s="365"/>
      <c r="M10" s="365"/>
      <c r="N10" s="365"/>
      <c r="O10" s="432"/>
      <c r="P10" s="365"/>
      <c r="Q10" s="365"/>
      <c r="R10" s="365"/>
      <c r="S10" s="365"/>
      <c r="T10" s="432"/>
      <c r="U10" s="365"/>
      <c r="V10" s="365"/>
      <c r="W10" s="365"/>
      <c r="X10" s="365"/>
      <c r="Y10" s="432"/>
      <c r="Z10" s="365"/>
      <c r="AA10" s="365"/>
      <c r="AB10" s="365"/>
      <c r="AC10" s="365"/>
      <c r="AD10" s="432"/>
      <c r="AE10" s="365"/>
      <c r="AF10" s="365"/>
      <c r="AG10" s="365"/>
      <c r="AH10" s="365"/>
      <c r="AI10" s="432"/>
      <c r="AJ10" s="365"/>
      <c r="AK10" s="365"/>
      <c r="AL10" s="365"/>
      <c r="AM10" s="365"/>
      <c r="AN10" s="432"/>
      <c r="AO10" s="365"/>
      <c r="AP10" s="365"/>
      <c r="AQ10" s="365"/>
      <c r="AR10" s="365"/>
      <c r="AS10" s="432"/>
      <c r="AT10" s="365"/>
      <c r="AU10" s="365"/>
      <c r="AV10" s="365"/>
      <c r="AW10" s="365"/>
      <c r="AX10" s="432"/>
      <c r="AY10" s="365"/>
      <c r="AZ10" s="365"/>
      <c r="BA10" s="365"/>
      <c r="BB10" s="365"/>
      <c r="BC10" s="432"/>
      <c r="BD10" s="365"/>
      <c r="BE10" s="365"/>
      <c r="BF10" s="365"/>
      <c r="BG10" s="365"/>
      <c r="BH10" s="432"/>
      <c r="BI10" s="365"/>
      <c r="BJ10" s="365"/>
      <c r="BK10" s="365"/>
      <c r="BL10" s="365"/>
      <c r="BM10" s="432"/>
      <c r="BN10" s="365"/>
      <c r="BO10" s="365"/>
      <c r="BP10" s="365"/>
      <c r="BQ10" s="365"/>
      <c r="BR10" s="432"/>
      <c r="BS10" s="365"/>
      <c r="BT10" s="365"/>
      <c r="BU10" s="365"/>
      <c r="BV10" s="365"/>
      <c r="BW10" s="432"/>
      <c r="BX10" s="365"/>
      <c r="BY10" s="105" t="s">
        <v>21</v>
      </c>
      <c r="BZ10" s="105"/>
      <c r="CA10" s="105"/>
      <c r="CB10" s="366"/>
      <c r="CC10" s="105"/>
      <c r="CD10" s="365"/>
      <c r="CE10" s="365"/>
      <c r="CF10" s="365"/>
      <c r="CG10" s="432"/>
      <c r="CH10" s="365"/>
      <c r="CI10" s="365"/>
      <c r="CJ10" s="365"/>
      <c r="CK10" s="365"/>
      <c r="CL10" s="432"/>
      <c r="CM10" s="365"/>
      <c r="CN10" s="365"/>
      <c r="CO10" s="365"/>
      <c r="CP10" s="365"/>
      <c r="CQ10" s="432"/>
      <c r="CR10" s="365"/>
      <c r="CS10" s="365"/>
      <c r="CT10" s="365"/>
      <c r="CU10" s="365"/>
      <c r="CV10" s="432"/>
      <c r="CW10" s="365"/>
      <c r="CX10" s="365"/>
      <c r="CY10" s="365"/>
      <c r="CZ10" s="365"/>
      <c r="DA10" s="432"/>
      <c r="DB10" s="365"/>
      <c r="DC10" s="365"/>
      <c r="DD10" s="365"/>
      <c r="DE10" s="365"/>
      <c r="DF10" s="432"/>
      <c r="DG10" s="365"/>
      <c r="DH10" s="365"/>
      <c r="DI10" s="365"/>
      <c r="DJ10" s="365"/>
      <c r="DK10" s="432"/>
      <c r="DL10" s="365"/>
      <c r="DM10" s="365"/>
      <c r="DN10" s="365"/>
      <c r="DO10" s="365"/>
      <c r="DP10" s="432"/>
      <c r="DQ10" s="365"/>
      <c r="DR10" s="365"/>
      <c r="DS10" s="365"/>
      <c r="DT10" s="365"/>
      <c r="DU10" s="432"/>
      <c r="DV10" s="365"/>
      <c r="DW10" s="365"/>
      <c r="DX10" s="365"/>
      <c r="DY10" s="365"/>
      <c r="DZ10" s="432"/>
      <c r="EA10" s="365"/>
      <c r="EB10" s="365"/>
      <c r="EC10" s="365"/>
      <c r="ED10" s="365"/>
      <c r="EE10" s="432"/>
      <c r="EF10" s="365"/>
      <c r="EG10" s="365"/>
      <c r="EH10" s="365"/>
      <c r="EI10" s="365"/>
      <c r="EJ10" s="432"/>
      <c r="EK10" s="365"/>
      <c r="EL10" s="365"/>
      <c r="EM10" s="365"/>
      <c r="EN10" s="501"/>
      <c r="EO10" s="13"/>
    </row>
    <row r="11" spans="3:145" x14ac:dyDescent="0.2">
      <c r="D11" s="13"/>
      <c r="E11" s="198"/>
      <c r="J11" s="198"/>
      <c r="O11" s="198"/>
      <c r="T11" s="198"/>
      <c r="Y11" s="198"/>
      <c r="AD11" s="198"/>
      <c r="AI11" s="198"/>
      <c r="AN11" s="198"/>
      <c r="AS11" s="198"/>
      <c r="AX11" s="198"/>
      <c r="BC11" s="198"/>
      <c r="BH11" s="198"/>
      <c r="BM11" s="198"/>
      <c r="BR11" s="198"/>
      <c r="BW11" s="198"/>
      <c r="CB11" s="198"/>
      <c r="CG11" s="198"/>
      <c r="CL11" s="198"/>
      <c r="CQ11" s="198"/>
      <c r="CV11" s="198"/>
      <c r="DA11" s="198"/>
      <c r="DF11" s="198"/>
      <c r="DK11" s="198"/>
      <c r="DP11" s="198"/>
      <c r="DU11" s="198"/>
      <c r="DZ11" s="198"/>
      <c r="EE11" s="198"/>
      <c r="EJ11" s="198"/>
      <c r="EO11" s="13"/>
    </row>
    <row r="12" spans="3:145" x14ac:dyDescent="0.2">
      <c r="D12" s="93" t="s">
        <v>445</v>
      </c>
      <c r="E12" s="198"/>
      <c r="G12" s="446">
        <f>SUM(G13:G15)</f>
        <v>121373000</v>
      </c>
      <c r="H12" s="451"/>
      <c r="I12" s="451"/>
      <c r="J12" s="452"/>
      <c r="L12" s="446">
        <f>SUM(L13:L15)</f>
        <v>0</v>
      </c>
      <c r="M12" s="451"/>
      <c r="N12" s="451"/>
      <c r="O12" s="452"/>
      <c r="Q12" s="446">
        <f>SUM(Q13:Q15)</f>
        <v>0</v>
      </c>
      <c r="R12" s="451"/>
      <c r="S12" s="451"/>
      <c r="T12" s="452"/>
      <c r="V12" s="446">
        <f>SUM(V13:V15)</f>
        <v>0</v>
      </c>
      <c r="W12" s="451"/>
      <c r="X12" s="451"/>
      <c r="Y12" s="452"/>
      <c r="AA12" s="446">
        <f>SUM(AA13:AA15)</f>
        <v>86911584</v>
      </c>
      <c r="AB12" s="451"/>
      <c r="AC12" s="451"/>
      <c r="AD12" s="452"/>
      <c r="AF12" s="446">
        <f>SUM(AF13:AF15)</f>
        <v>0</v>
      </c>
      <c r="AG12" s="451"/>
      <c r="AH12" s="451"/>
      <c r="AI12" s="452"/>
      <c r="AK12" s="446">
        <f>SUM(AK13:AK15)</f>
        <v>0</v>
      </c>
      <c r="AL12" s="451"/>
      <c r="AM12" s="451"/>
      <c r="AN12" s="452"/>
      <c r="AP12" s="446">
        <f>SUM(AP13:AP15)</f>
        <v>5008164</v>
      </c>
      <c r="AQ12" s="451"/>
      <c r="AR12" s="451"/>
      <c r="AS12" s="452"/>
      <c r="AU12" s="446">
        <f>SUM(AU13:AU15)</f>
        <v>0</v>
      </c>
      <c r="AV12" s="451"/>
      <c r="AW12" s="451"/>
      <c r="AX12" s="452"/>
      <c r="AZ12" s="446">
        <f>SUM(AZ13:AZ15)</f>
        <v>0</v>
      </c>
      <c r="BA12" s="451"/>
      <c r="BB12" s="451"/>
      <c r="BC12" s="452"/>
      <c r="BE12" s="446">
        <f>SUM(BE13:BE15)</f>
        <v>0</v>
      </c>
      <c r="BF12" s="451"/>
      <c r="BG12" s="451"/>
      <c r="BH12" s="452"/>
      <c r="BJ12" s="446">
        <f>SUM(BJ13:BJ15)</f>
        <v>0</v>
      </c>
      <c r="BK12" s="451"/>
      <c r="BL12" s="451"/>
      <c r="BM12" s="452"/>
      <c r="BO12" s="446">
        <f>SUM(BO13:BO15)</f>
        <v>0</v>
      </c>
      <c r="BP12" s="451"/>
      <c r="BQ12" s="451"/>
      <c r="BR12" s="452"/>
      <c r="BT12" s="446">
        <f>SUM(BT13:BT15)</f>
        <v>91919748</v>
      </c>
      <c r="BU12" s="451"/>
      <c r="BV12" s="451"/>
      <c r="BW12" s="452"/>
      <c r="BY12" s="446">
        <f>SUM(BY13:BY15)</f>
        <v>76052000</v>
      </c>
      <c r="BZ12" s="451"/>
      <c r="CA12" s="451"/>
      <c r="CB12" s="452"/>
      <c r="CD12" s="446">
        <f>SUM(CD13:CD15)</f>
        <v>0</v>
      </c>
      <c r="CE12" s="451"/>
      <c r="CF12" s="451"/>
      <c r="CG12" s="452"/>
      <c r="CI12" s="446">
        <f>SUM(CI13:CI15)</f>
        <v>0</v>
      </c>
      <c r="CJ12" s="451"/>
      <c r="CK12" s="451"/>
      <c r="CL12" s="452"/>
      <c r="CN12" s="446">
        <f>SUM(CN13:CN15)</f>
        <v>0</v>
      </c>
      <c r="CO12" s="451"/>
      <c r="CP12" s="451"/>
      <c r="CQ12" s="452"/>
      <c r="CS12" s="446">
        <f>SUM(CS13:CS15)</f>
        <v>0</v>
      </c>
      <c r="CT12" s="451"/>
      <c r="CU12" s="451"/>
      <c r="CV12" s="452"/>
      <c r="CX12" s="446">
        <f>SUM(CX13:CX15)</f>
        <v>0</v>
      </c>
      <c r="CY12" s="451"/>
      <c r="CZ12" s="451"/>
      <c r="DA12" s="452"/>
      <c r="DC12" s="446">
        <f>SUM(DC13:DC15)</f>
        <v>76052000</v>
      </c>
      <c r="DD12" s="451"/>
      <c r="DE12" s="451"/>
      <c r="DF12" s="452"/>
      <c r="DH12" s="446">
        <f>SUM(DH13:DH15)</f>
        <v>0</v>
      </c>
      <c r="DI12" s="451"/>
      <c r="DJ12" s="451"/>
      <c r="DK12" s="452"/>
      <c r="DM12" s="446">
        <f>SUM(DM13:DM15)</f>
        <v>0</v>
      </c>
      <c r="DN12" s="451"/>
      <c r="DO12" s="451"/>
      <c r="DP12" s="452"/>
      <c r="DR12" s="446">
        <f>SUM(DR13:DR15)</f>
        <v>0</v>
      </c>
      <c r="DS12" s="451"/>
      <c r="DT12" s="451"/>
      <c r="DU12" s="452"/>
      <c r="DW12" s="446">
        <f>SUM(DW13:DW15)</f>
        <v>0</v>
      </c>
      <c r="DX12" s="451"/>
      <c r="DY12" s="451"/>
      <c r="DZ12" s="452"/>
      <c r="EB12" s="446">
        <f>SUM(EB13:EB15)</f>
        <v>0</v>
      </c>
      <c r="EC12" s="451"/>
      <c r="ED12" s="451"/>
      <c r="EE12" s="452"/>
      <c r="EG12" s="446">
        <f>SUM(EG13:EG15)</f>
        <v>0</v>
      </c>
      <c r="EH12" s="451"/>
      <c r="EI12" s="451"/>
      <c r="EJ12" s="452"/>
      <c r="EL12" s="446">
        <f>SUM(EL13:EL15)</f>
        <v>76052000</v>
      </c>
      <c r="EM12" s="451"/>
      <c r="EN12" s="451"/>
      <c r="EO12" s="13"/>
    </row>
    <row r="13" spans="3:145" x14ac:dyDescent="0.2">
      <c r="D13" s="13" t="s">
        <v>446</v>
      </c>
      <c r="E13" s="198"/>
      <c r="F13" s="453"/>
      <c r="G13" s="449">
        <f>G17</f>
        <v>121373000</v>
      </c>
      <c r="H13" s="450"/>
      <c r="I13" s="451"/>
      <c r="J13" s="452"/>
      <c r="K13" s="453"/>
      <c r="L13" s="449">
        <f>L17</f>
        <v>0</v>
      </c>
      <c r="M13" s="450"/>
      <c r="N13" s="451"/>
      <c r="O13" s="452"/>
      <c r="P13" s="453"/>
      <c r="Q13" s="449">
        <f>Q17</f>
        <v>0</v>
      </c>
      <c r="R13" s="450"/>
      <c r="S13" s="451"/>
      <c r="T13" s="452"/>
      <c r="U13" s="453"/>
      <c r="V13" s="449">
        <f>V17</f>
        <v>0</v>
      </c>
      <c r="W13" s="450"/>
      <c r="X13" s="451"/>
      <c r="Y13" s="452"/>
      <c r="Z13" s="453"/>
      <c r="AA13" s="449">
        <f>AA17</f>
        <v>86911584</v>
      </c>
      <c r="AB13" s="450"/>
      <c r="AC13" s="451"/>
      <c r="AD13" s="452"/>
      <c r="AE13" s="453"/>
      <c r="AF13" s="449">
        <f>AF17</f>
        <v>0</v>
      </c>
      <c r="AG13" s="450"/>
      <c r="AH13" s="451"/>
      <c r="AI13" s="452"/>
      <c r="AJ13" s="453"/>
      <c r="AK13" s="449">
        <f>AK17</f>
        <v>0</v>
      </c>
      <c r="AL13" s="450"/>
      <c r="AM13" s="451"/>
      <c r="AN13" s="452"/>
      <c r="AO13" s="453"/>
      <c r="AP13" s="449">
        <f>AP17</f>
        <v>5008164</v>
      </c>
      <c r="AQ13" s="450"/>
      <c r="AR13" s="451"/>
      <c r="AS13" s="452"/>
      <c r="AT13" s="453"/>
      <c r="AU13" s="449">
        <f>AU17</f>
        <v>0</v>
      </c>
      <c r="AV13" s="450"/>
      <c r="AW13" s="451"/>
      <c r="AX13" s="452"/>
      <c r="AY13" s="453"/>
      <c r="AZ13" s="449">
        <f>AZ17</f>
        <v>0</v>
      </c>
      <c r="BA13" s="450"/>
      <c r="BB13" s="451"/>
      <c r="BC13" s="452"/>
      <c r="BD13" s="453"/>
      <c r="BE13" s="449">
        <f>BE17</f>
        <v>0</v>
      </c>
      <c r="BF13" s="450"/>
      <c r="BG13" s="451"/>
      <c r="BH13" s="452"/>
      <c r="BI13" s="453"/>
      <c r="BJ13" s="449">
        <f>BJ17</f>
        <v>0</v>
      </c>
      <c r="BK13" s="450"/>
      <c r="BL13" s="451"/>
      <c r="BM13" s="452"/>
      <c r="BN13" s="453"/>
      <c r="BO13" s="449">
        <f>BO17</f>
        <v>0</v>
      </c>
      <c r="BP13" s="450"/>
      <c r="BQ13" s="451"/>
      <c r="BR13" s="452"/>
      <c r="BS13" s="453"/>
      <c r="BT13" s="449">
        <f>BT17</f>
        <v>91919748</v>
      </c>
      <c r="BU13" s="450"/>
      <c r="BV13" s="451"/>
      <c r="BW13" s="452"/>
      <c r="BX13" s="453"/>
      <c r="BY13" s="449">
        <f>BY17</f>
        <v>76052000</v>
      </c>
      <c r="BZ13" s="450"/>
      <c r="CA13" s="451"/>
      <c r="CB13" s="452"/>
      <c r="CC13" s="453"/>
      <c r="CD13" s="449">
        <f>CD17</f>
        <v>0</v>
      </c>
      <c r="CE13" s="450"/>
      <c r="CF13" s="451"/>
      <c r="CG13" s="452"/>
      <c r="CH13" s="453"/>
      <c r="CI13" s="449">
        <f>CI17</f>
        <v>0</v>
      </c>
      <c r="CJ13" s="450"/>
      <c r="CK13" s="451"/>
      <c r="CL13" s="452"/>
      <c r="CM13" s="453"/>
      <c r="CN13" s="449">
        <f>CN17</f>
        <v>0</v>
      </c>
      <c r="CO13" s="450"/>
      <c r="CP13" s="451"/>
      <c r="CQ13" s="452"/>
      <c r="CR13" s="453"/>
      <c r="CS13" s="449">
        <f>CS17</f>
        <v>0</v>
      </c>
      <c r="CT13" s="450"/>
      <c r="CU13" s="451"/>
      <c r="CV13" s="452"/>
      <c r="CW13" s="453"/>
      <c r="CX13" s="449">
        <f>CX17</f>
        <v>0</v>
      </c>
      <c r="CY13" s="450"/>
      <c r="CZ13" s="451"/>
      <c r="DA13" s="452"/>
      <c r="DB13" s="453"/>
      <c r="DC13" s="449">
        <f>DC17</f>
        <v>76052000</v>
      </c>
      <c r="DD13" s="450"/>
      <c r="DE13" s="451"/>
      <c r="DF13" s="452"/>
      <c r="DG13" s="453"/>
      <c r="DH13" s="449">
        <f>DH17</f>
        <v>0</v>
      </c>
      <c r="DI13" s="450"/>
      <c r="DJ13" s="451"/>
      <c r="DK13" s="452"/>
      <c r="DL13" s="453"/>
      <c r="DM13" s="449">
        <f>DM17</f>
        <v>0</v>
      </c>
      <c r="DN13" s="450"/>
      <c r="DO13" s="451"/>
      <c r="DP13" s="452"/>
      <c r="DQ13" s="453"/>
      <c r="DR13" s="449">
        <f>DR17</f>
        <v>0</v>
      </c>
      <c r="DS13" s="450"/>
      <c r="DT13" s="451"/>
      <c r="DU13" s="452"/>
      <c r="DV13" s="453"/>
      <c r="DW13" s="449">
        <f>DW17</f>
        <v>0</v>
      </c>
      <c r="DX13" s="450"/>
      <c r="DY13" s="451"/>
      <c r="DZ13" s="452"/>
      <c r="EA13" s="453"/>
      <c r="EB13" s="449">
        <f>EB17</f>
        <v>0</v>
      </c>
      <c r="EC13" s="450"/>
      <c r="ED13" s="451"/>
      <c r="EE13" s="452"/>
      <c r="EF13" s="453"/>
      <c r="EG13" s="449">
        <f>EG17</f>
        <v>0</v>
      </c>
      <c r="EH13" s="450"/>
      <c r="EI13" s="451"/>
      <c r="EJ13" s="452"/>
      <c r="EK13" s="453"/>
      <c r="EL13" s="449">
        <f>EL17</f>
        <v>76052000</v>
      </c>
      <c r="EM13" s="450"/>
      <c r="EN13" s="451"/>
      <c r="EO13" s="13"/>
    </row>
    <row r="14" spans="3:145" x14ac:dyDescent="0.2">
      <c r="D14" s="13" t="s">
        <v>447</v>
      </c>
      <c r="E14" s="198"/>
      <c r="F14" s="452"/>
      <c r="G14" s="451">
        <f>+G62</f>
        <v>0</v>
      </c>
      <c r="H14" s="455"/>
      <c r="I14" s="451"/>
      <c r="J14" s="452"/>
      <c r="K14" s="452"/>
      <c r="L14" s="451">
        <f>L62</f>
        <v>0</v>
      </c>
      <c r="M14" s="455"/>
      <c r="N14" s="451"/>
      <c r="O14" s="452"/>
      <c r="P14" s="452"/>
      <c r="Q14" s="451">
        <f>Q62</f>
        <v>0</v>
      </c>
      <c r="R14" s="455"/>
      <c r="S14" s="451"/>
      <c r="T14" s="452"/>
      <c r="U14" s="452"/>
      <c r="V14" s="451">
        <f>V62</f>
        <v>0</v>
      </c>
      <c r="W14" s="455"/>
      <c r="X14" s="451"/>
      <c r="Y14" s="452"/>
      <c r="Z14" s="452"/>
      <c r="AA14" s="451">
        <f>AA62</f>
        <v>0</v>
      </c>
      <c r="AB14" s="455"/>
      <c r="AC14" s="451"/>
      <c r="AD14" s="452"/>
      <c r="AE14" s="452"/>
      <c r="AF14" s="451">
        <f>AF62</f>
        <v>0</v>
      </c>
      <c r="AG14" s="455"/>
      <c r="AH14" s="451"/>
      <c r="AI14" s="452"/>
      <c r="AJ14" s="452"/>
      <c r="AK14" s="451">
        <f>AK62</f>
        <v>0</v>
      </c>
      <c r="AL14" s="455"/>
      <c r="AM14" s="451"/>
      <c r="AN14" s="452"/>
      <c r="AO14" s="452"/>
      <c r="AP14" s="451">
        <f>AP62</f>
        <v>0</v>
      </c>
      <c r="AQ14" s="455"/>
      <c r="AR14" s="451"/>
      <c r="AS14" s="452"/>
      <c r="AT14" s="452"/>
      <c r="AU14" s="451">
        <f>AU62</f>
        <v>0</v>
      </c>
      <c r="AV14" s="455"/>
      <c r="AW14" s="451"/>
      <c r="AX14" s="452"/>
      <c r="AY14" s="452"/>
      <c r="AZ14" s="451">
        <f>AZ62</f>
        <v>0</v>
      </c>
      <c r="BA14" s="455"/>
      <c r="BB14" s="451"/>
      <c r="BC14" s="452"/>
      <c r="BD14" s="452"/>
      <c r="BE14" s="451">
        <f>BE62</f>
        <v>0</v>
      </c>
      <c r="BF14" s="455"/>
      <c r="BG14" s="451"/>
      <c r="BH14" s="452"/>
      <c r="BI14" s="452"/>
      <c r="BJ14" s="451">
        <f>BJ62</f>
        <v>0</v>
      </c>
      <c r="BK14" s="455"/>
      <c r="BL14" s="451"/>
      <c r="BM14" s="452"/>
      <c r="BN14" s="452"/>
      <c r="BO14" s="451">
        <f>BO62</f>
        <v>0</v>
      </c>
      <c r="BP14" s="455"/>
      <c r="BQ14" s="451"/>
      <c r="BR14" s="452"/>
      <c r="BS14" s="452"/>
      <c r="BT14" s="451">
        <f>BT62</f>
        <v>0</v>
      </c>
      <c r="BU14" s="455"/>
      <c r="BV14" s="451"/>
      <c r="BW14" s="452"/>
      <c r="BX14" s="452"/>
      <c r="BY14" s="451">
        <f>+BY62</f>
        <v>0</v>
      </c>
      <c r="BZ14" s="455"/>
      <c r="CA14" s="451"/>
      <c r="CB14" s="452"/>
      <c r="CC14" s="452"/>
      <c r="CD14" s="451">
        <f>CD62</f>
        <v>0</v>
      </c>
      <c r="CE14" s="455"/>
      <c r="CF14" s="451"/>
      <c r="CG14" s="452"/>
      <c r="CH14" s="452"/>
      <c r="CI14" s="451">
        <f>CI62</f>
        <v>0</v>
      </c>
      <c r="CJ14" s="455"/>
      <c r="CK14" s="451"/>
      <c r="CL14" s="452"/>
      <c r="CM14" s="452"/>
      <c r="CN14" s="451">
        <f>CN62</f>
        <v>0</v>
      </c>
      <c r="CO14" s="455"/>
      <c r="CP14" s="451"/>
      <c r="CQ14" s="452"/>
      <c r="CR14" s="452"/>
      <c r="CS14" s="451">
        <f>CS62</f>
        <v>0</v>
      </c>
      <c r="CT14" s="455"/>
      <c r="CU14" s="451"/>
      <c r="CV14" s="452"/>
      <c r="CW14" s="452"/>
      <c r="CX14" s="451">
        <f>CX62</f>
        <v>0</v>
      </c>
      <c r="CY14" s="455"/>
      <c r="CZ14" s="451"/>
      <c r="DA14" s="452"/>
      <c r="DB14" s="452"/>
      <c r="DC14" s="451">
        <f>DC62</f>
        <v>0</v>
      </c>
      <c r="DD14" s="455"/>
      <c r="DE14" s="451"/>
      <c r="DF14" s="452"/>
      <c r="DG14" s="452"/>
      <c r="DH14" s="451">
        <f>DH62</f>
        <v>0</v>
      </c>
      <c r="DI14" s="455"/>
      <c r="DJ14" s="451"/>
      <c r="DK14" s="452"/>
      <c r="DL14" s="452"/>
      <c r="DM14" s="451">
        <f>DM62</f>
        <v>0</v>
      </c>
      <c r="DN14" s="455"/>
      <c r="DO14" s="451"/>
      <c r="DP14" s="452"/>
      <c r="DQ14" s="452"/>
      <c r="DR14" s="451">
        <f>DR62</f>
        <v>0</v>
      </c>
      <c r="DS14" s="455"/>
      <c r="DT14" s="451"/>
      <c r="DU14" s="452"/>
      <c r="DV14" s="452"/>
      <c r="DW14" s="451">
        <f>DW62</f>
        <v>0</v>
      </c>
      <c r="DX14" s="455"/>
      <c r="DY14" s="451"/>
      <c r="DZ14" s="452"/>
      <c r="EA14" s="452"/>
      <c r="EB14" s="451">
        <f>EB62</f>
        <v>0</v>
      </c>
      <c r="EC14" s="455"/>
      <c r="ED14" s="451"/>
      <c r="EE14" s="452"/>
      <c r="EF14" s="452"/>
      <c r="EG14" s="451">
        <f>EG62</f>
        <v>0</v>
      </c>
      <c r="EH14" s="455"/>
      <c r="EI14" s="451"/>
      <c r="EJ14" s="452"/>
      <c r="EK14" s="452"/>
      <c r="EL14" s="451">
        <f>EL62</f>
        <v>0</v>
      </c>
      <c r="EM14" s="455"/>
      <c r="EN14" s="451"/>
      <c r="EO14" s="13"/>
    </row>
    <row r="15" spans="3:145" x14ac:dyDescent="0.2">
      <c r="D15" s="13" t="s">
        <v>448</v>
      </c>
      <c r="E15" s="198"/>
      <c r="F15" s="465"/>
      <c r="G15" s="463">
        <v>0</v>
      </c>
      <c r="H15" s="464"/>
      <c r="I15" s="451"/>
      <c r="J15" s="452"/>
      <c r="K15" s="465"/>
      <c r="L15" s="463">
        <f>L72</f>
        <v>0</v>
      </c>
      <c r="M15" s="464"/>
      <c r="N15" s="451"/>
      <c r="O15" s="452"/>
      <c r="P15" s="465"/>
      <c r="Q15" s="463">
        <f>Q72</f>
        <v>0</v>
      </c>
      <c r="R15" s="464"/>
      <c r="S15" s="451"/>
      <c r="T15" s="452"/>
      <c r="U15" s="465"/>
      <c r="V15" s="463">
        <f>V72</f>
        <v>0</v>
      </c>
      <c r="W15" s="464"/>
      <c r="X15" s="451"/>
      <c r="Y15" s="452"/>
      <c r="Z15" s="465"/>
      <c r="AA15" s="463">
        <f>AA72</f>
        <v>0</v>
      </c>
      <c r="AB15" s="464"/>
      <c r="AC15" s="451"/>
      <c r="AD15" s="452"/>
      <c r="AE15" s="465"/>
      <c r="AF15" s="463">
        <f>AF72</f>
        <v>0</v>
      </c>
      <c r="AG15" s="464"/>
      <c r="AH15" s="451"/>
      <c r="AI15" s="452"/>
      <c r="AJ15" s="465"/>
      <c r="AK15" s="463">
        <f>AK72</f>
        <v>0</v>
      </c>
      <c r="AL15" s="464"/>
      <c r="AM15" s="451"/>
      <c r="AN15" s="452"/>
      <c r="AO15" s="465"/>
      <c r="AP15" s="463">
        <f>AP72</f>
        <v>0</v>
      </c>
      <c r="AQ15" s="464"/>
      <c r="AR15" s="451"/>
      <c r="AS15" s="452"/>
      <c r="AT15" s="465"/>
      <c r="AU15" s="463">
        <f>AU72</f>
        <v>0</v>
      </c>
      <c r="AV15" s="464"/>
      <c r="AW15" s="451"/>
      <c r="AX15" s="452"/>
      <c r="AY15" s="465"/>
      <c r="AZ15" s="463">
        <f>AZ72</f>
        <v>0</v>
      </c>
      <c r="BA15" s="464"/>
      <c r="BB15" s="451"/>
      <c r="BC15" s="452"/>
      <c r="BD15" s="465"/>
      <c r="BE15" s="463">
        <f>BE72</f>
        <v>0</v>
      </c>
      <c r="BF15" s="464"/>
      <c r="BG15" s="451"/>
      <c r="BH15" s="452"/>
      <c r="BI15" s="465"/>
      <c r="BJ15" s="463">
        <f>BJ72</f>
        <v>0</v>
      </c>
      <c r="BK15" s="464"/>
      <c r="BL15" s="451"/>
      <c r="BM15" s="452"/>
      <c r="BN15" s="465"/>
      <c r="BO15" s="463">
        <f>BO72</f>
        <v>0</v>
      </c>
      <c r="BP15" s="464"/>
      <c r="BQ15" s="451"/>
      <c r="BR15" s="452"/>
      <c r="BS15" s="465"/>
      <c r="BT15" s="463">
        <f>BT72</f>
        <v>0</v>
      </c>
      <c r="BU15" s="464"/>
      <c r="BV15" s="451"/>
      <c r="BW15" s="452"/>
      <c r="BX15" s="465"/>
      <c r="BY15" s="463">
        <v>0</v>
      </c>
      <c r="BZ15" s="464"/>
      <c r="CA15" s="451"/>
      <c r="CB15" s="452"/>
      <c r="CC15" s="465"/>
      <c r="CD15" s="463">
        <f>CD72</f>
        <v>0</v>
      </c>
      <c r="CE15" s="464"/>
      <c r="CF15" s="451"/>
      <c r="CG15" s="452"/>
      <c r="CH15" s="465"/>
      <c r="CI15" s="463">
        <f>CI72</f>
        <v>0</v>
      </c>
      <c r="CJ15" s="464"/>
      <c r="CK15" s="451"/>
      <c r="CL15" s="452"/>
      <c r="CM15" s="465"/>
      <c r="CN15" s="463">
        <f>CN72</f>
        <v>0</v>
      </c>
      <c r="CO15" s="464"/>
      <c r="CP15" s="451"/>
      <c r="CQ15" s="452"/>
      <c r="CR15" s="465"/>
      <c r="CS15" s="463">
        <f>CS72</f>
        <v>0</v>
      </c>
      <c r="CT15" s="464"/>
      <c r="CU15" s="451"/>
      <c r="CV15" s="452"/>
      <c r="CW15" s="465"/>
      <c r="CX15" s="463">
        <f>CX72</f>
        <v>0</v>
      </c>
      <c r="CY15" s="464"/>
      <c r="CZ15" s="451"/>
      <c r="DA15" s="452"/>
      <c r="DB15" s="465"/>
      <c r="DC15" s="463">
        <f>DC72</f>
        <v>0</v>
      </c>
      <c r="DD15" s="464"/>
      <c r="DE15" s="451"/>
      <c r="DF15" s="452"/>
      <c r="DG15" s="465"/>
      <c r="DH15" s="463">
        <f>DH72</f>
        <v>0</v>
      </c>
      <c r="DI15" s="464"/>
      <c r="DJ15" s="451"/>
      <c r="DK15" s="452"/>
      <c r="DL15" s="465"/>
      <c r="DM15" s="463">
        <f>DM72</f>
        <v>0</v>
      </c>
      <c r="DN15" s="464"/>
      <c r="DO15" s="451"/>
      <c r="DP15" s="452"/>
      <c r="DQ15" s="465"/>
      <c r="DR15" s="463">
        <f>DR72</f>
        <v>0</v>
      </c>
      <c r="DS15" s="464"/>
      <c r="DT15" s="451"/>
      <c r="DU15" s="452"/>
      <c r="DV15" s="465"/>
      <c r="DW15" s="463">
        <f>DW72</f>
        <v>0</v>
      </c>
      <c r="DX15" s="464"/>
      <c r="DY15" s="451"/>
      <c r="DZ15" s="452"/>
      <c r="EA15" s="465"/>
      <c r="EB15" s="463">
        <f>EB72</f>
        <v>0</v>
      </c>
      <c r="EC15" s="464"/>
      <c r="ED15" s="451"/>
      <c r="EE15" s="452"/>
      <c r="EF15" s="465"/>
      <c r="EG15" s="463">
        <f>EG72</f>
        <v>0</v>
      </c>
      <c r="EH15" s="464"/>
      <c r="EI15" s="451"/>
      <c r="EJ15" s="452"/>
      <c r="EK15" s="465"/>
      <c r="EL15" s="463">
        <f>EL72</f>
        <v>0</v>
      </c>
      <c r="EM15" s="464"/>
      <c r="EN15" s="451"/>
      <c r="EO15" s="13"/>
    </row>
    <row r="16" spans="3:145" x14ac:dyDescent="0.2">
      <c r="D16" s="13"/>
      <c r="E16" s="198"/>
      <c r="G16" s="451"/>
      <c r="H16" s="451"/>
      <c r="I16" s="451"/>
      <c r="J16" s="452"/>
      <c r="K16" s="451"/>
      <c r="L16" s="451"/>
      <c r="M16" s="451"/>
      <c r="N16" s="451"/>
      <c r="O16" s="452"/>
      <c r="P16" s="451"/>
      <c r="Q16" s="451"/>
      <c r="R16" s="451"/>
      <c r="S16" s="451"/>
      <c r="T16" s="452"/>
      <c r="U16" s="451"/>
      <c r="V16" s="451"/>
      <c r="W16" s="451"/>
      <c r="X16" s="451"/>
      <c r="Y16" s="452"/>
      <c r="Z16" s="451"/>
      <c r="AA16" s="451"/>
      <c r="AB16" s="451"/>
      <c r="AC16" s="451"/>
      <c r="AD16" s="452"/>
      <c r="AE16" s="451"/>
      <c r="AF16" s="451"/>
      <c r="AG16" s="451"/>
      <c r="AH16" s="451"/>
      <c r="AI16" s="452"/>
      <c r="AJ16" s="451"/>
      <c r="AK16" s="451"/>
      <c r="AL16" s="451"/>
      <c r="AM16" s="451"/>
      <c r="AN16" s="452"/>
      <c r="AO16" s="451"/>
      <c r="AP16" s="451"/>
      <c r="AQ16" s="451"/>
      <c r="AR16" s="451"/>
      <c r="AS16" s="452"/>
      <c r="AT16" s="451"/>
      <c r="AU16" s="451"/>
      <c r="AV16" s="451"/>
      <c r="AW16" s="451"/>
      <c r="AX16" s="452"/>
      <c r="AY16" s="451"/>
      <c r="AZ16" s="451"/>
      <c r="BA16" s="451"/>
      <c r="BB16" s="451"/>
      <c r="BC16" s="452"/>
      <c r="BD16" s="451"/>
      <c r="BE16" s="451"/>
      <c r="BF16" s="451"/>
      <c r="BG16" s="451"/>
      <c r="BH16" s="452"/>
      <c r="BI16" s="451"/>
      <c r="BJ16" s="451"/>
      <c r="BK16" s="451"/>
      <c r="BL16" s="451"/>
      <c r="BM16" s="452"/>
      <c r="BN16" s="451"/>
      <c r="BO16" s="451"/>
      <c r="BP16" s="451"/>
      <c r="BQ16" s="451"/>
      <c r="BR16" s="452"/>
      <c r="BS16" s="451"/>
      <c r="BT16" s="451"/>
      <c r="BU16" s="451"/>
      <c r="BV16" s="451"/>
      <c r="BW16" s="452"/>
      <c r="BX16" s="451"/>
      <c r="BY16" s="451"/>
      <c r="BZ16" s="451"/>
      <c r="CA16" s="451"/>
      <c r="CB16" s="452"/>
      <c r="CC16" s="451"/>
      <c r="CD16" s="451"/>
      <c r="CE16" s="451"/>
      <c r="CF16" s="451"/>
      <c r="CG16" s="452"/>
      <c r="CH16" s="451"/>
      <c r="CI16" s="451"/>
      <c r="CJ16" s="451"/>
      <c r="CK16" s="451"/>
      <c r="CL16" s="452"/>
      <c r="CM16" s="451"/>
      <c r="CN16" s="451"/>
      <c r="CO16" s="451"/>
      <c r="CP16" s="451"/>
      <c r="CQ16" s="452"/>
      <c r="CR16" s="451"/>
      <c r="CS16" s="451"/>
      <c r="CT16" s="451"/>
      <c r="CU16" s="451"/>
      <c r="CV16" s="452"/>
      <c r="CW16" s="451"/>
      <c r="CX16" s="451"/>
      <c r="CY16" s="451"/>
      <c r="CZ16" s="451"/>
      <c r="DA16" s="452"/>
      <c r="DB16" s="451"/>
      <c r="DC16" s="451"/>
      <c r="DD16" s="451"/>
      <c r="DE16" s="451"/>
      <c r="DF16" s="452"/>
      <c r="DG16" s="451"/>
      <c r="DH16" s="451"/>
      <c r="DI16" s="451"/>
      <c r="DJ16" s="451"/>
      <c r="DK16" s="452"/>
      <c r="DL16" s="451"/>
      <c r="DM16" s="451"/>
      <c r="DN16" s="451"/>
      <c r="DO16" s="451"/>
      <c r="DP16" s="452"/>
      <c r="DQ16" s="451"/>
      <c r="DR16" s="451"/>
      <c r="DS16" s="451"/>
      <c r="DT16" s="451"/>
      <c r="DU16" s="452"/>
      <c r="DV16" s="451"/>
      <c r="DW16" s="451"/>
      <c r="DX16" s="451"/>
      <c r="DY16" s="451"/>
      <c r="DZ16" s="452"/>
      <c r="EA16" s="451"/>
      <c r="EB16" s="451"/>
      <c r="EC16" s="451"/>
      <c r="ED16" s="451"/>
      <c r="EE16" s="452"/>
      <c r="EF16" s="451"/>
      <c r="EG16" s="451"/>
      <c r="EH16" s="451"/>
      <c r="EI16" s="451"/>
      <c r="EJ16" s="452"/>
      <c r="EK16" s="451"/>
      <c r="EL16" s="451"/>
      <c r="EM16" s="451"/>
      <c r="EN16" s="451"/>
      <c r="EO16" s="13"/>
    </row>
    <row r="17" spans="4:148" s="14" customFormat="1" x14ac:dyDescent="0.2">
      <c r="D17" s="93" t="s">
        <v>449</v>
      </c>
      <c r="E17" s="180"/>
      <c r="G17" s="446">
        <f>SUM(G18:G20)</f>
        <v>121373000</v>
      </c>
      <c r="H17" s="446"/>
      <c r="I17" s="446"/>
      <c r="J17" s="447"/>
      <c r="K17" s="446"/>
      <c r="L17" s="446">
        <f>SUM(L18:L20)</f>
        <v>0</v>
      </c>
      <c r="M17" s="446"/>
      <c r="N17" s="446"/>
      <c r="O17" s="447"/>
      <c r="P17" s="446"/>
      <c r="Q17" s="446">
        <f>SUM(Q18:Q20)</f>
        <v>0</v>
      </c>
      <c r="R17" s="446"/>
      <c r="S17" s="446"/>
      <c r="T17" s="447"/>
      <c r="U17" s="446"/>
      <c r="V17" s="446">
        <f>SUM(V18:V20)</f>
        <v>0</v>
      </c>
      <c r="W17" s="446"/>
      <c r="X17" s="446"/>
      <c r="Y17" s="447"/>
      <c r="Z17" s="446"/>
      <c r="AA17" s="446">
        <f>SUM(AA18:AA20)</f>
        <v>86911584</v>
      </c>
      <c r="AB17" s="446"/>
      <c r="AC17" s="446"/>
      <c r="AD17" s="447"/>
      <c r="AE17" s="446"/>
      <c r="AF17" s="446">
        <f>SUM(AF18:AF20)</f>
        <v>0</v>
      </c>
      <c r="AG17" s="446"/>
      <c r="AH17" s="446"/>
      <c r="AI17" s="447"/>
      <c r="AJ17" s="446"/>
      <c r="AK17" s="446">
        <f>SUM(AK18:AK20)</f>
        <v>0</v>
      </c>
      <c r="AL17" s="446"/>
      <c r="AM17" s="446"/>
      <c r="AN17" s="447"/>
      <c r="AO17" s="446"/>
      <c r="AP17" s="446">
        <f>SUM(AP18:AP20)</f>
        <v>5008164</v>
      </c>
      <c r="AQ17" s="446"/>
      <c r="AR17" s="446"/>
      <c r="AS17" s="447"/>
      <c r="AT17" s="446"/>
      <c r="AU17" s="446">
        <f>SUM(AU18:AU20)</f>
        <v>0</v>
      </c>
      <c r="AV17" s="446"/>
      <c r="AW17" s="446"/>
      <c r="AX17" s="447"/>
      <c r="AY17" s="446"/>
      <c r="AZ17" s="446">
        <f>SUM(AZ18:AZ20)</f>
        <v>0</v>
      </c>
      <c r="BA17" s="446"/>
      <c r="BB17" s="446"/>
      <c r="BC17" s="447"/>
      <c r="BD17" s="446"/>
      <c r="BE17" s="446">
        <f>SUM(BE18:BE20)</f>
        <v>0</v>
      </c>
      <c r="BF17" s="446"/>
      <c r="BG17" s="446"/>
      <c r="BH17" s="447"/>
      <c r="BI17" s="446"/>
      <c r="BJ17" s="446">
        <f>SUM(BJ18:BJ20)</f>
        <v>0</v>
      </c>
      <c r="BK17" s="446"/>
      <c r="BL17" s="446"/>
      <c r="BM17" s="447"/>
      <c r="BN17" s="446"/>
      <c r="BO17" s="446">
        <f>SUM(BO18:BO20)</f>
        <v>0</v>
      </c>
      <c r="BP17" s="446"/>
      <c r="BQ17" s="446"/>
      <c r="BR17" s="447"/>
      <c r="BS17" s="446"/>
      <c r="BT17" s="446">
        <f>SUM(BT18:BT20)</f>
        <v>91919748</v>
      </c>
      <c r="BU17" s="446"/>
      <c r="BV17" s="446"/>
      <c r="BW17" s="447"/>
      <c r="BX17" s="446"/>
      <c r="BY17" s="446">
        <f>SUM(BY18:BY20)</f>
        <v>76052000</v>
      </c>
      <c r="BZ17" s="446"/>
      <c r="CA17" s="446"/>
      <c r="CB17" s="447"/>
      <c r="CC17" s="446"/>
      <c r="CD17" s="446">
        <f>SUM(CD18:CD20)</f>
        <v>0</v>
      </c>
      <c r="CE17" s="446"/>
      <c r="CF17" s="446"/>
      <c r="CG17" s="447"/>
      <c r="CH17" s="446"/>
      <c r="CI17" s="446">
        <f>SUM(CI18:CI20)</f>
        <v>0</v>
      </c>
      <c r="CJ17" s="446"/>
      <c r="CK17" s="446"/>
      <c r="CL17" s="447"/>
      <c r="CM17" s="446"/>
      <c r="CN17" s="446">
        <f>SUM(CN18:CN20)</f>
        <v>0</v>
      </c>
      <c r="CO17" s="446"/>
      <c r="CP17" s="446"/>
      <c r="CQ17" s="447"/>
      <c r="CR17" s="446"/>
      <c r="CS17" s="446">
        <f>SUM(CS18:CS20)</f>
        <v>0</v>
      </c>
      <c r="CT17" s="446"/>
      <c r="CU17" s="446"/>
      <c r="CV17" s="447"/>
      <c r="CW17" s="446"/>
      <c r="CX17" s="446">
        <f>SUM(CX18:CX20)</f>
        <v>0</v>
      </c>
      <c r="CY17" s="446"/>
      <c r="CZ17" s="446"/>
      <c r="DA17" s="447"/>
      <c r="DB17" s="446"/>
      <c r="DC17" s="446">
        <f>SUM(DC18:DC20)</f>
        <v>76052000</v>
      </c>
      <c r="DD17" s="446"/>
      <c r="DE17" s="446"/>
      <c r="DF17" s="447"/>
      <c r="DG17" s="446"/>
      <c r="DH17" s="446">
        <f>SUM(DH18:DH20)</f>
        <v>0</v>
      </c>
      <c r="DI17" s="446"/>
      <c r="DJ17" s="446"/>
      <c r="DK17" s="447"/>
      <c r="DL17" s="446"/>
      <c r="DM17" s="446">
        <f>SUM(DM18:DM20)</f>
        <v>0</v>
      </c>
      <c r="DN17" s="446"/>
      <c r="DO17" s="446"/>
      <c r="DP17" s="447"/>
      <c r="DQ17" s="446"/>
      <c r="DR17" s="446">
        <f>SUM(DR18:DR20)</f>
        <v>0</v>
      </c>
      <c r="DS17" s="446"/>
      <c r="DT17" s="446"/>
      <c r="DU17" s="447"/>
      <c r="DV17" s="446"/>
      <c r="DW17" s="446">
        <f>SUM(DW18:DW20)</f>
        <v>0</v>
      </c>
      <c r="DX17" s="446"/>
      <c r="DY17" s="446"/>
      <c r="DZ17" s="447"/>
      <c r="EA17" s="446"/>
      <c r="EB17" s="446">
        <f>SUM(EB18:EB20)</f>
        <v>0</v>
      </c>
      <c r="EC17" s="446"/>
      <c r="ED17" s="446"/>
      <c r="EE17" s="447"/>
      <c r="EF17" s="446"/>
      <c r="EG17" s="446">
        <f>SUM(EG18:EG20)</f>
        <v>0</v>
      </c>
      <c r="EH17" s="446"/>
      <c r="EI17" s="446"/>
      <c r="EJ17" s="447"/>
      <c r="EK17" s="446"/>
      <c r="EL17" s="446">
        <f>SUM(EL18:EL20)</f>
        <v>76052000</v>
      </c>
      <c r="EM17" s="446"/>
      <c r="EN17" s="446"/>
      <c r="EO17" s="93"/>
      <c r="EQ17" s="1"/>
      <c r="ER17" s="1"/>
    </row>
    <row r="18" spans="4:148" x14ac:dyDescent="0.2">
      <c r="D18" s="13" t="s">
        <v>347</v>
      </c>
      <c r="E18" s="198"/>
      <c r="F18" s="374"/>
      <c r="G18" s="449">
        <v>121373000</v>
      </c>
      <c r="H18" s="450"/>
      <c r="I18" s="451"/>
      <c r="J18" s="452"/>
      <c r="K18" s="453"/>
      <c r="L18" s="449">
        <f>+L38+L43+L57+L83+L88+L93+L33+L28+L23</f>
        <v>0</v>
      </c>
      <c r="M18" s="450"/>
      <c r="N18" s="451"/>
      <c r="O18" s="452"/>
      <c r="P18" s="453"/>
      <c r="Q18" s="449">
        <f>+Q38+Q43+Q57+Q83+Q88+Q93+Q33+Q28+Q23</f>
        <v>0</v>
      </c>
      <c r="R18" s="450"/>
      <c r="S18" s="451"/>
      <c r="T18" s="452"/>
      <c r="U18" s="453"/>
      <c r="V18" s="449">
        <f>+V38+V43+V57+V83+V88+V93+V33+V28+V23</f>
        <v>0</v>
      </c>
      <c r="W18" s="450"/>
      <c r="X18" s="451"/>
      <c r="Y18" s="452"/>
      <c r="Z18" s="453"/>
      <c r="AA18" s="449">
        <f>+AA38+AA43+AA57+AA83+AA88+AA93+AA33+AA28+AA23</f>
        <v>86911584</v>
      </c>
      <c r="AB18" s="450"/>
      <c r="AC18" s="451"/>
      <c r="AD18" s="452"/>
      <c r="AE18" s="453"/>
      <c r="AF18" s="449">
        <f>+AF38+AF43+AF57+AF83+AF88+AF93+AF33+AF28+AF23</f>
        <v>0</v>
      </c>
      <c r="AG18" s="450"/>
      <c r="AH18" s="451"/>
      <c r="AI18" s="452"/>
      <c r="AJ18" s="453"/>
      <c r="AK18" s="449">
        <f>+AK38+AK43+AK58+AK83+AK88+AK93+AK33+AK28+AK23</f>
        <v>0</v>
      </c>
      <c r="AL18" s="450"/>
      <c r="AM18" s="451"/>
      <c r="AN18" s="452"/>
      <c r="AO18" s="453"/>
      <c r="AP18" s="449">
        <f>+AP38+AP43+AP58+AP83+AP88+AP93+AP33+AP28+AP23</f>
        <v>5008164</v>
      </c>
      <c r="AQ18" s="450"/>
      <c r="AR18" s="451"/>
      <c r="AS18" s="452"/>
      <c r="AT18" s="453"/>
      <c r="AU18" s="449">
        <f>+AU38+AU43+AU57+AU83+AU88+AU93+AU33+AU28+AU23</f>
        <v>0</v>
      </c>
      <c r="AV18" s="450"/>
      <c r="AW18" s="451"/>
      <c r="AX18" s="452"/>
      <c r="AY18" s="453"/>
      <c r="AZ18" s="449">
        <f>+AZ38+AZ43+AZ57+AZ83+AZ88+AZ93+AZ33+AZ28+AZ23</f>
        <v>0</v>
      </c>
      <c r="BA18" s="450"/>
      <c r="BB18" s="451"/>
      <c r="BC18" s="452"/>
      <c r="BD18" s="453"/>
      <c r="BE18" s="449">
        <f>+BE38+BE43+BE57+BE83+BE88+BE93+BE33+BE28+BE23</f>
        <v>0</v>
      </c>
      <c r="BF18" s="450"/>
      <c r="BG18" s="451"/>
      <c r="BH18" s="452"/>
      <c r="BI18" s="453"/>
      <c r="BJ18" s="449">
        <f>+BJ38+BJ43+BJ57+BJ83+BJ88+BJ93+BJ33+BJ28+BJ23</f>
        <v>0</v>
      </c>
      <c r="BK18" s="450"/>
      <c r="BL18" s="451"/>
      <c r="BM18" s="452"/>
      <c r="BN18" s="453"/>
      <c r="BO18" s="449">
        <f>+BO38+BO43+BO57+BO83+BO88+BO93+BO33+BO28+BO23</f>
        <v>0</v>
      </c>
      <c r="BP18" s="450"/>
      <c r="BQ18" s="451"/>
      <c r="BR18" s="452"/>
      <c r="BS18" s="453"/>
      <c r="BT18" s="449">
        <f>+BT38+BT43+BT58+BT83+BT88+BT93+BT33+BT28+BT23</f>
        <v>91919748</v>
      </c>
      <c r="BU18" s="450"/>
      <c r="BV18" s="451"/>
      <c r="BW18" s="452"/>
      <c r="BX18" s="453"/>
      <c r="BY18" s="449">
        <v>76052000</v>
      </c>
      <c r="BZ18" s="450"/>
      <c r="CA18" s="451"/>
      <c r="CB18" s="452"/>
      <c r="CC18" s="453"/>
      <c r="CD18" s="449">
        <f>+CD38+CD43+CD57+CD83+CD88+CD93+CD33+CD28+CD23</f>
        <v>0</v>
      </c>
      <c r="CE18" s="450"/>
      <c r="CF18" s="451"/>
      <c r="CG18" s="452"/>
      <c r="CH18" s="453"/>
      <c r="CI18" s="449">
        <f>+CI38+CI43+CI57+CI83+CI88+CI93+CI33+CI28+CI23</f>
        <v>0</v>
      </c>
      <c r="CJ18" s="450"/>
      <c r="CK18" s="451"/>
      <c r="CL18" s="452"/>
      <c r="CM18" s="453"/>
      <c r="CN18" s="449">
        <f>+CN38+CN43+CN57+CN83+CN88+CN93+CN33+CN28+CN23</f>
        <v>0</v>
      </c>
      <c r="CO18" s="450"/>
      <c r="CP18" s="451"/>
      <c r="CQ18" s="452"/>
      <c r="CR18" s="453"/>
      <c r="CS18" s="449">
        <f>+CS38+CS43+CS57+CS83+CS88+CS93+CS33+CS28+CS23</f>
        <v>0</v>
      </c>
      <c r="CT18" s="450"/>
      <c r="CU18" s="451"/>
      <c r="CV18" s="452"/>
      <c r="CW18" s="453"/>
      <c r="CX18" s="449">
        <f>+CX38+CX43+CX57+CX83+CX88+CX93+CX33+CX28+CX23</f>
        <v>0</v>
      </c>
      <c r="CY18" s="450"/>
      <c r="CZ18" s="451"/>
      <c r="DA18" s="452"/>
      <c r="DB18" s="453"/>
      <c r="DC18" s="449">
        <f>+DC38+DC43+DC57+DC83+DC88+DC93+DC33+DC28+DC23</f>
        <v>76052000</v>
      </c>
      <c r="DD18" s="450"/>
      <c r="DE18" s="451"/>
      <c r="DF18" s="452"/>
      <c r="DG18" s="453"/>
      <c r="DH18" s="449">
        <f>+DH38+DH43+DH57+DH83+DH88+DH93+DH33+DH28+DH23</f>
        <v>0</v>
      </c>
      <c r="DI18" s="450"/>
      <c r="DJ18" s="451"/>
      <c r="DK18" s="452"/>
      <c r="DL18" s="453"/>
      <c r="DM18" s="449">
        <f>+DM38+DM43+DM57+DM83+DM88+DM93+DM33+DM28+DM23</f>
        <v>0</v>
      </c>
      <c r="DN18" s="450"/>
      <c r="DO18" s="451"/>
      <c r="DP18" s="452"/>
      <c r="DQ18" s="453"/>
      <c r="DR18" s="449">
        <f>+DR38+DR43+DR57+DR83+DR88+DR93+DR33+DR28+DR23</f>
        <v>0</v>
      </c>
      <c r="DS18" s="450"/>
      <c r="DT18" s="451"/>
      <c r="DU18" s="452"/>
      <c r="DV18" s="453"/>
      <c r="DW18" s="449">
        <f>+DW38+DW43+DW57+DW83+DW88+DW93+DW33+DW28+DW23</f>
        <v>0</v>
      </c>
      <c r="DX18" s="450"/>
      <c r="DY18" s="451"/>
      <c r="DZ18" s="452"/>
      <c r="EA18" s="453"/>
      <c r="EB18" s="449">
        <f>+EB38+EB43+EB57+EB83+EB88+EB93+EB33+EB28+EB23</f>
        <v>0</v>
      </c>
      <c r="EC18" s="450"/>
      <c r="ED18" s="451"/>
      <c r="EE18" s="452"/>
      <c r="EF18" s="453"/>
      <c r="EG18" s="449">
        <f>+EG38+EG43+EG57+EG83+EG88+EG93+EG33+EG28+EG23</f>
        <v>0</v>
      </c>
      <c r="EH18" s="450"/>
      <c r="EI18" s="451"/>
      <c r="EJ18" s="452"/>
      <c r="EK18" s="453"/>
      <c r="EL18" s="449">
        <f>+EL38+EL43+EL57+EL83+EL88+EL93+EL33+EL28+EL23</f>
        <v>76052000</v>
      </c>
      <c r="EM18" s="450"/>
      <c r="EN18" s="451"/>
      <c r="EO18" s="13"/>
    </row>
    <row r="19" spans="4:148" x14ac:dyDescent="0.2">
      <c r="D19" s="13" t="s">
        <v>349</v>
      </c>
      <c r="E19" s="198"/>
      <c r="F19" s="198"/>
      <c r="G19" s="451">
        <v>0</v>
      </c>
      <c r="H19" s="455"/>
      <c r="I19" s="451"/>
      <c r="J19" s="452"/>
      <c r="K19" s="452"/>
      <c r="L19" s="451">
        <f>+L39+L44+L84+L89+L94+L34+L29+L24</f>
        <v>0</v>
      </c>
      <c r="M19" s="455"/>
      <c r="N19" s="451"/>
      <c r="O19" s="452"/>
      <c r="P19" s="452"/>
      <c r="Q19" s="451">
        <f>+Q39+Q44+Q84+Q89+Q94+Q34+Q29+Q24</f>
        <v>0</v>
      </c>
      <c r="R19" s="455"/>
      <c r="S19" s="451"/>
      <c r="T19" s="452"/>
      <c r="U19" s="452"/>
      <c r="V19" s="451">
        <f>+V39+V44+V84+V89+V94+V34+V29+V24</f>
        <v>0</v>
      </c>
      <c r="W19" s="455"/>
      <c r="X19" s="451"/>
      <c r="Y19" s="452"/>
      <c r="Z19" s="452"/>
      <c r="AA19" s="451">
        <f>+AA39+AA44+AA84+AA89+AA94+AA34+AA29+AA24</f>
        <v>0</v>
      </c>
      <c r="AB19" s="455"/>
      <c r="AC19" s="451"/>
      <c r="AD19" s="452"/>
      <c r="AE19" s="452"/>
      <c r="AF19" s="451">
        <f>+AF39+AF44+AF84+AF89+AF94+AF34+AF29+AF24</f>
        <v>0</v>
      </c>
      <c r="AG19" s="455"/>
      <c r="AH19" s="451"/>
      <c r="AI19" s="452"/>
      <c r="AJ19" s="452"/>
      <c r="AK19" s="451">
        <f>+AK39+AK44+AK84+AK89+AK94+AK34+AK29+AK24+AK59</f>
        <v>0</v>
      </c>
      <c r="AL19" s="455"/>
      <c r="AM19" s="451"/>
      <c r="AN19" s="452"/>
      <c r="AO19" s="452"/>
      <c r="AP19" s="451">
        <f>+AP39+AP44+AP84+AP89+AP94+AP34+AP29+AP24+AP59</f>
        <v>0</v>
      </c>
      <c r="AQ19" s="455"/>
      <c r="AR19" s="451"/>
      <c r="AS19" s="452"/>
      <c r="AT19" s="452"/>
      <c r="AU19" s="451">
        <f>+AU39+AU44+AU84+AU89+AU94+AU34+AU29+AU24</f>
        <v>0</v>
      </c>
      <c r="AV19" s="455"/>
      <c r="AW19" s="451"/>
      <c r="AX19" s="452"/>
      <c r="AY19" s="452"/>
      <c r="AZ19" s="451">
        <f>+AZ39+AZ44+AZ84+AZ89+AZ94+AZ34+AZ29+AZ24</f>
        <v>0</v>
      </c>
      <c r="BA19" s="455"/>
      <c r="BB19" s="451"/>
      <c r="BC19" s="452"/>
      <c r="BD19" s="452"/>
      <c r="BE19" s="451">
        <f>+BE39+BE44+BE84+BE89+BE94+BE34+BE29+BE24</f>
        <v>0</v>
      </c>
      <c r="BF19" s="455"/>
      <c r="BG19" s="451"/>
      <c r="BH19" s="452"/>
      <c r="BI19" s="452"/>
      <c r="BJ19" s="451">
        <f>+BJ39+BJ44+BJ84+BJ89+BJ94+BJ34+BJ29+BJ24</f>
        <v>0</v>
      </c>
      <c r="BK19" s="455"/>
      <c r="BL19" s="451"/>
      <c r="BM19" s="452"/>
      <c r="BN19" s="452"/>
      <c r="BO19" s="451">
        <f>+BO39+BO44+BO84+BO89+BO94+BO34+BO29+BO24</f>
        <v>0</v>
      </c>
      <c r="BP19" s="455"/>
      <c r="BQ19" s="451"/>
      <c r="BR19" s="452"/>
      <c r="BS19" s="452"/>
      <c r="BT19" s="451">
        <f>+BT39+BT44+BT84+BT89+BT94+BT34+BT29+BT24+BT59</f>
        <v>0</v>
      </c>
      <c r="BU19" s="455"/>
      <c r="BV19" s="451"/>
      <c r="BW19" s="452"/>
      <c r="BX19" s="452"/>
      <c r="BY19" s="451">
        <f>+BY39+BY44+BY84+BY89+BY94+BY34+BY49+BY54</f>
        <v>0</v>
      </c>
      <c r="BZ19" s="455"/>
      <c r="CA19" s="451"/>
      <c r="CB19" s="452"/>
      <c r="CC19" s="452"/>
      <c r="CD19" s="451">
        <f>+CD39+CD44+CD84+CD89+CD94+CD34+CD29+CD24</f>
        <v>0</v>
      </c>
      <c r="CE19" s="455"/>
      <c r="CF19" s="451"/>
      <c r="CG19" s="452"/>
      <c r="CH19" s="452"/>
      <c r="CI19" s="451">
        <f>+CI39+CI44+CI84+CI89+CI94+CI34+CI29+CI24</f>
        <v>0</v>
      </c>
      <c r="CJ19" s="455"/>
      <c r="CK19" s="451"/>
      <c r="CL19" s="452"/>
      <c r="CM19" s="452"/>
      <c r="CN19" s="451">
        <f>+CN39+CN44+CN84+CN89+CN94+CN34+CN29+CN24</f>
        <v>0</v>
      </c>
      <c r="CO19" s="455"/>
      <c r="CP19" s="451"/>
      <c r="CQ19" s="452"/>
      <c r="CR19" s="452"/>
      <c r="CS19" s="451">
        <f>+CS39+CS44+CS84+CS89+CS94+CS34+CS29+CS24</f>
        <v>0</v>
      </c>
      <c r="CT19" s="455"/>
      <c r="CU19" s="451"/>
      <c r="CV19" s="452"/>
      <c r="CW19" s="452"/>
      <c r="CX19" s="451">
        <f>+CX39+CX44+CX84+CX89+CX94+CX34+CX29+CX24</f>
        <v>0</v>
      </c>
      <c r="CY19" s="455"/>
      <c r="CZ19" s="451"/>
      <c r="DA19" s="452"/>
      <c r="DB19" s="452"/>
      <c r="DC19" s="451">
        <f>+DC39+DC44+DC84+DC89+DC94+DC34+DC29+DC24</f>
        <v>0</v>
      </c>
      <c r="DD19" s="455"/>
      <c r="DE19" s="451"/>
      <c r="DF19" s="452"/>
      <c r="DG19" s="452"/>
      <c r="DH19" s="451">
        <f>+DH39+DH44+DH84+DH89+DH94+DH34+DH29+DH24</f>
        <v>0</v>
      </c>
      <c r="DI19" s="455"/>
      <c r="DJ19" s="451"/>
      <c r="DK19" s="452"/>
      <c r="DL19" s="452"/>
      <c r="DM19" s="451">
        <f>+DM39+DM44+DM84+DM89+DM94+DM34+DM29+DM24</f>
        <v>0</v>
      </c>
      <c r="DN19" s="455"/>
      <c r="DO19" s="451"/>
      <c r="DP19" s="452"/>
      <c r="DQ19" s="452"/>
      <c r="DR19" s="451">
        <f>+DR39+DR44+DR84+DR89+DR94+DR34+DR29+DR24</f>
        <v>0</v>
      </c>
      <c r="DS19" s="455"/>
      <c r="DT19" s="451"/>
      <c r="DU19" s="452"/>
      <c r="DV19" s="452"/>
      <c r="DW19" s="451">
        <f>+DW39+DW44+DW84+DW89+DW94+DW34+DW29+DW24</f>
        <v>0</v>
      </c>
      <c r="DX19" s="455"/>
      <c r="DY19" s="451"/>
      <c r="DZ19" s="452"/>
      <c r="EA19" s="452"/>
      <c r="EB19" s="451">
        <f>+EB39+EB44+EB84+EB89+EB94+EB34+EB29+EB24</f>
        <v>0</v>
      </c>
      <c r="EC19" s="455"/>
      <c r="ED19" s="451"/>
      <c r="EE19" s="452"/>
      <c r="EF19" s="452"/>
      <c r="EG19" s="451">
        <f>+EG39+EG44+EG84+EG89+EG94+EG34+EG29+EG24</f>
        <v>0</v>
      </c>
      <c r="EH19" s="455"/>
      <c r="EI19" s="451"/>
      <c r="EJ19" s="452"/>
      <c r="EK19" s="452"/>
      <c r="EL19" s="451">
        <f>+EL39+EL44+EL84+EL89+EL94+EL34+EL29+EL24</f>
        <v>0</v>
      </c>
      <c r="EM19" s="455"/>
      <c r="EN19" s="451"/>
      <c r="EO19" s="13"/>
    </row>
    <row r="20" spans="4:148" x14ac:dyDescent="0.2">
      <c r="D20" s="13" t="s">
        <v>357</v>
      </c>
      <c r="E20" s="198"/>
      <c r="F20" s="385"/>
      <c r="G20" s="463">
        <v>0</v>
      </c>
      <c r="H20" s="464"/>
      <c r="I20" s="451"/>
      <c r="J20" s="452"/>
      <c r="K20" s="465"/>
      <c r="L20" s="463">
        <f>+L40+L45+L85+L90+L95+L35+L30+L25</f>
        <v>0</v>
      </c>
      <c r="M20" s="464"/>
      <c r="N20" s="451"/>
      <c r="O20" s="452"/>
      <c r="P20" s="465"/>
      <c r="Q20" s="463">
        <f>+Q40+Q45+Q85+Q90+Q95+Q35+Q30+Q25</f>
        <v>0</v>
      </c>
      <c r="R20" s="464"/>
      <c r="S20" s="451"/>
      <c r="T20" s="452"/>
      <c r="U20" s="465"/>
      <c r="V20" s="463">
        <f>+V40+V45+V85+V90+V95+V35+V30+V25</f>
        <v>0</v>
      </c>
      <c r="W20" s="464"/>
      <c r="X20" s="451"/>
      <c r="Y20" s="452"/>
      <c r="Z20" s="465"/>
      <c r="AA20" s="463">
        <f>+AA40+AA45+AA85+AA90+AA95+AA35+AA30+AA25</f>
        <v>0</v>
      </c>
      <c r="AB20" s="464"/>
      <c r="AC20" s="451"/>
      <c r="AD20" s="452"/>
      <c r="AE20" s="465"/>
      <c r="AF20" s="463">
        <f>+AF40+AF45+AF85+AF90+AF95+AF35+AF30+AF25</f>
        <v>0</v>
      </c>
      <c r="AG20" s="464"/>
      <c r="AH20" s="451"/>
      <c r="AI20" s="452"/>
      <c r="AJ20" s="465"/>
      <c r="AK20" s="463">
        <f>+AK40+AK45+AK85+AK90+AK95+AK35+AK30+AK25+AK60</f>
        <v>0</v>
      </c>
      <c r="AL20" s="464"/>
      <c r="AM20" s="451"/>
      <c r="AN20" s="452"/>
      <c r="AO20" s="465"/>
      <c r="AP20" s="463">
        <f>+AP40+AP45+AP85+AP90+AP95+AP35+AP30+AP25+AP60</f>
        <v>0</v>
      </c>
      <c r="AQ20" s="464"/>
      <c r="AR20" s="451"/>
      <c r="AS20" s="452"/>
      <c r="AT20" s="465"/>
      <c r="AU20" s="463">
        <f>+AU40+AU45+AU85+AU90+AU95+AU35+AU30+AU25</f>
        <v>0</v>
      </c>
      <c r="AV20" s="464"/>
      <c r="AW20" s="451"/>
      <c r="AX20" s="452"/>
      <c r="AY20" s="465"/>
      <c r="AZ20" s="463">
        <f>+AZ40+AZ45+AZ85+AZ90+AZ95+AZ35+AZ30+AZ25</f>
        <v>0</v>
      </c>
      <c r="BA20" s="464"/>
      <c r="BB20" s="451"/>
      <c r="BC20" s="452"/>
      <c r="BD20" s="465"/>
      <c r="BE20" s="463">
        <f>+BE40+BE45+BE85+BE90+BE95+BE35+BE30+BE25</f>
        <v>0</v>
      </c>
      <c r="BF20" s="464"/>
      <c r="BG20" s="451"/>
      <c r="BH20" s="452"/>
      <c r="BI20" s="465"/>
      <c r="BJ20" s="463">
        <f>+BJ40+BJ45+BJ85+BJ90+BJ95+BJ35+BJ30+BJ25</f>
        <v>0</v>
      </c>
      <c r="BK20" s="464"/>
      <c r="BL20" s="451"/>
      <c r="BM20" s="452"/>
      <c r="BN20" s="465"/>
      <c r="BO20" s="463">
        <f>+BO40+BO45+BO85+BO90+BO95+BO35+BO30+BO25</f>
        <v>0</v>
      </c>
      <c r="BP20" s="464"/>
      <c r="BQ20" s="451"/>
      <c r="BR20" s="452"/>
      <c r="BS20" s="465"/>
      <c r="BT20" s="463">
        <f>+BT40+BT45+BT85+BT90+BT95+BT35+BT30+BT25+BT60</f>
        <v>0</v>
      </c>
      <c r="BU20" s="464"/>
      <c r="BV20" s="451"/>
      <c r="BW20" s="452"/>
      <c r="BX20" s="465"/>
      <c r="BY20" s="463">
        <v>0</v>
      </c>
      <c r="BZ20" s="464"/>
      <c r="CA20" s="451"/>
      <c r="CB20" s="452"/>
      <c r="CC20" s="465"/>
      <c r="CD20" s="463">
        <f>+CD40+CD45+CD85+CD90+CD95+CD35+CD30+CD25</f>
        <v>0</v>
      </c>
      <c r="CE20" s="464"/>
      <c r="CF20" s="451"/>
      <c r="CG20" s="452"/>
      <c r="CH20" s="465"/>
      <c r="CI20" s="463">
        <f>+CI40+CI45+CI85+CI90+CI95+CI35+CI30+CI25</f>
        <v>0</v>
      </c>
      <c r="CJ20" s="464"/>
      <c r="CK20" s="451"/>
      <c r="CL20" s="452"/>
      <c r="CM20" s="465"/>
      <c r="CN20" s="463">
        <f>+CN40+CN45+CN85+CN90+CN95+CN35+CN30+CN25</f>
        <v>0</v>
      </c>
      <c r="CO20" s="464"/>
      <c r="CP20" s="451"/>
      <c r="CQ20" s="452"/>
      <c r="CR20" s="465"/>
      <c r="CS20" s="463">
        <f>+CS40+CS45+CS85+CS90+CS95+CS35+CS30+CS25</f>
        <v>0</v>
      </c>
      <c r="CT20" s="464"/>
      <c r="CU20" s="451"/>
      <c r="CV20" s="452"/>
      <c r="CW20" s="465"/>
      <c r="CX20" s="463">
        <f>+CX40+CX45+CX85+CX90+CX95+CX35+CX30+CX25</f>
        <v>0</v>
      </c>
      <c r="CY20" s="464"/>
      <c r="CZ20" s="451"/>
      <c r="DA20" s="452"/>
      <c r="DB20" s="465"/>
      <c r="DC20" s="463">
        <f>+DC40+DC45+DC85+DC90+DC95+DC35+DC30+DC25</f>
        <v>0</v>
      </c>
      <c r="DD20" s="464"/>
      <c r="DE20" s="451"/>
      <c r="DF20" s="452"/>
      <c r="DG20" s="465"/>
      <c r="DH20" s="463">
        <f>+DH40+DH45+DH85+DH90+DH95+DH35+DH30+DH25</f>
        <v>0</v>
      </c>
      <c r="DI20" s="464"/>
      <c r="DJ20" s="451"/>
      <c r="DK20" s="452"/>
      <c r="DL20" s="465"/>
      <c r="DM20" s="463">
        <f>+DM40+DM45+DM85+DM90+DM95+DM35+DM30+DM25</f>
        <v>0</v>
      </c>
      <c r="DN20" s="464"/>
      <c r="DO20" s="451"/>
      <c r="DP20" s="452"/>
      <c r="DQ20" s="465"/>
      <c r="DR20" s="463">
        <f>+DR40+DR45+DR85+DR90+DR95+DR35+DR30+DR25</f>
        <v>0</v>
      </c>
      <c r="DS20" s="464"/>
      <c r="DT20" s="451"/>
      <c r="DU20" s="452"/>
      <c r="DV20" s="465"/>
      <c r="DW20" s="463">
        <f>+DW40+DW45+DW85+DW90+DW95+DW35+DW30+DW25</f>
        <v>0</v>
      </c>
      <c r="DX20" s="464"/>
      <c r="DY20" s="451"/>
      <c r="DZ20" s="452"/>
      <c r="EA20" s="465"/>
      <c r="EB20" s="463">
        <f>+EB40+EB45+EB85+EB90+EB95+EB35+EB30+EB25</f>
        <v>0</v>
      </c>
      <c r="EC20" s="464"/>
      <c r="ED20" s="451"/>
      <c r="EE20" s="452"/>
      <c r="EF20" s="465"/>
      <c r="EG20" s="463">
        <f>+EG40+EG45+EG85+EG90+EG95+EG35+EG30+EG25</f>
        <v>0</v>
      </c>
      <c r="EH20" s="464"/>
      <c r="EI20" s="451"/>
      <c r="EJ20" s="452"/>
      <c r="EK20" s="465"/>
      <c r="EL20" s="463">
        <f>+EL40+EL45+EL85+EL90+EL95+EL35+EL30+EL25</f>
        <v>0</v>
      </c>
      <c r="EM20" s="464"/>
      <c r="EN20" s="451"/>
      <c r="EO20" s="13"/>
    </row>
    <row r="21" spans="4:148" x14ac:dyDescent="0.2">
      <c r="D21" s="13"/>
      <c r="E21" s="198"/>
      <c r="G21" s="451"/>
      <c r="H21" s="451"/>
      <c r="I21" s="451"/>
      <c r="J21" s="452"/>
      <c r="K21" s="451"/>
      <c r="L21" s="451"/>
      <c r="M21" s="451"/>
      <c r="N21" s="451"/>
      <c r="O21" s="452"/>
      <c r="P21" s="451"/>
      <c r="Q21" s="451"/>
      <c r="R21" s="451"/>
      <c r="S21" s="451"/>
      <c r="T21" s="452"/>
      <c r="U21" s="451"/>
      <c r="V21" s="451"/>
      <c r="W21" s="451"/>
      <c r="X21" s="451"/>
      <c r="Y21" s="452"/>
      <c r="Z21" s="451"/>
      <c r="AA21" s="451"/>
      <c r="AB21" s="451"/>
      <c r="AC21" s="451"/>
      <c r="AD21" s="452"/>
      <c r="AE21" s="451"/>
      <c r="AF21" s="451"/>
      <c r="AG21" s="451"/>
      <c r="AH21" s="451"/>
      <c r="AI21" s="452"/>
      <c r="AJ21" s="451"/>
      <c r="AK21" s="451"/>
      <c r="AL21" s="451"/>
      <c r="AM21" s="451"/>
      <c r="AN21" s="452"/>
      <c r="AO21" s="451"/>
      <c r="AP21" s="451"/>
      <c r="AQ21" s="451"/>
      <c r="AR21" s="451"/>
      <c r="AS21" s="452"/>
      <c r="AT21" s="451"/>
      <c r="AU21" s="451"/>
      <c r="AV21" s="451"/>
      <c r="AW21" s="451"/>
      <c r="AX21" s="452"/>
      <c r="AY21" s="451"/>
      <c r="AZ21" s="451"/>
      <c r="BA21" s="451"/>
      <c r="BB21" s="451"/>
      <c r="BC21" s="452"/>
      <c r="BD21" s="451"/>
      <c r="BE21" s="451"/>
      <c r="BF21" s="451"/>
      <c r="BG21" s="451"/>
      <c r="BH21" s="452"/>
      <c r="BI21" s="451"/>
      <c r="BJ21" s="451"/>
      <c r="BK21" s="451"/>
      <c r="BL21" s="451"/>
      <c r="BM21" s="452"/>
      <c r="BN21" s="451"/>
      <c r="BO21" s="451"/>
      <c r="BP21" s="451"/>
      <c r="BQ21" s="451"/>
      <c r="BR21" s="452"/>
      <c r="BS21" s="451"/>
      <c r="BT21" s="451"/>
      <c r="BU21" s="451"/>
      <c r="BV21" s="451"/>
      <c r="BW21" s="452"/>
      <c r="BX21" s="451"/>
      <c r="BY21" s="451"/>
      <c r="BZ21" s="451"/>
      <c r="CA21" s="451"/>
      <c r="CB21" s="452"/>
      <c r="CC21" s="451"/>
      <c r="CD21" s="451"/>
      <c r="CE21" s="451"/>
      <c r="CF21" s="451"/>
      <c r="CG21" s="452"/>
      <c r="CH21" s="451"/>
      <c r="CI21" s="451"/>
      <c r="CJ21" s="451"/>
      <c r="CK21" s="451"/>
      <c r="CL21" s="452"/>
      <c r="CM21" s="451"/>
      <c r="CN21" s="451"/>
      <c r="CO21" s="451"/>
      <c r="CP21" s="451"/>
      <c r="CQ21" s="452"/>
      <c r="CR21" s="451"/>
      <c r="CS21" s="451"/>
      <c r="CT21" s="451"/>
      <c r="CU21" s="451"/>
      <c r="CV21" s="452"/>
      <c r="CW21" s="451"/>
      <c r="CX21" s="451"/>
      <c r="CY21" s="451"/>
      <c r="CZ21" s="451"/>
      <c r="DA21" s="452"/>
      <c r="DB21" s="451"/>
      <c r="DC21" s="451"/>
      <c r="DD21" s="451"/>
      <c r="DE21" s="451"/>
      <c r="DF21" s="452"/>
      <c r="DG21" s="451"/>
      <c r="DH21" s="451"/>
      <c r="DI21" s="451"/>
      <c r="DJ21" s="451"/>
      <c r="DK21" s="452"/>
      <c r="DL21" s="451"/>
      <c r="DM21" s="451"/>
      <c r="DN21" s="451"/>
      <c r="DO21" s="451"/>
      <c r="DP21" s="452"/>
      <c r="DQ21" s="451"/>
      <c r="DR21" s="451"/>
      <c r="DS21" s="451"/>
      <c r="DT21" s="451"/>
      <c r="DU21" s="452"/>
      <c r="DV21" s="451"/>
      <c r="DW21" s="451"/>
      <c r="DX21" s="451"/>
      <c r="DY21" s="451"/>
      <c r="DZ21" s="452"/>
      <c r="EA21" s="451"/>
      <c r="EB21" s="451"/>
      <c r="EC21" s="451"/>
      <c r="ED21" s="451"/>
      <c r="EE21" s="452"/>
      <c r="EF21" s="451"/>
      <c r="EG21" s="451"/>
      <c r="EH21" s="451"/>
      <c r="EI21" s="451"/>
      <c r="EJ21" s="452"/>
      <c r="EK21" s="451"/>
      <c r="EL21" s="451"/>
      <c r="EM21" s="451"/>
      <c r="EN21" s="451"/>
      <c r="EO21" s="13"/>
    </row>
    <row r="22" spans="4:148" x14ac:dyDescent="0.2">
      <c r="D22" s="13" t="s">
        <v>450</v>
      </c>
      <c r="E22" s="198"/>
      <c r="G22" s="451">
        <f>SUM(G23:G25)</f>
        <v>0</v>
      </c>
      <c r="H22" s="451"/>
      <c r="I22" s="451"/>
      <c r="J22" s="452"/>
      <c r="K22" s="451"/>
      <c r="L22" s="451">
        <f>L23+L25</f>
        <v>0</v>
      </c>
      <c r="M22" s="451"/>
      <c r="N22" s="451"/>
      <c r="O22" s="452"/>
      <c r="P22" s="451"/>
      <c r="Q22" s="451">
        <f>Q23+Q25</f>
        <v>0</v>
      </c>
      <c r="R22" s="451"/>
      <c r="S22" s="451"/>
      <c r="T22" s="452"/>
      <c r="U22" s="451"/>
      <c r="V22" s="451">
        <f>V23+V25</f>
        <v>0</v>
      </c>
      <c r="W22" s="451"/>
      <c r="X22" s="451"/>
      <c r="Y22" s="452"/>
      <c r="Z22" s="451"/>
      <c r="AA22" s="451">
        <f>AA23+AA25</f>
        <v>0</v>
      </c>
      <c r="AB22" s="451"/>
      <c r="AC22" s="451"/>
      <c r="AD22" s="452"/>
      <c r="AE22" s="451"/>
      <c r="AF22" s="451">
        <f>AF23+AF25</f>
        <v>0</v>
      </c>
      <c r="AG22" s="451"/>
      <c r="AH22" s="451"/>
      <c r="AI22" s="452"/>
      <c r="AJ22" s="451"/>
      <c r="AK22" s="451">
        <f>AK23+AK25</f>
        <v>0</v>
      </c>
      <c r="AL22" s="451"/>
      <c r="AM22" s="451"/>
      <c r="AN22" s="452"/>
      <c r="AO22" s="451"/>
      <c r="AP22" s="451">
        <f>AP23+AP25</f>
        <v>0</v>
      </c>
      <c r="AQ22" s="451"/>
      <c r="AR22" s="451"/>
      <c r="AS22" s="452"/>
      <c r="AT22" s="451"/>
      <c r="AU22" s="451">
        <f>AU23+AU25</f>
        <v>0</v>
      </c>
      <c r="AV22" s="451"/>
      <c r="AW22" s="451"/>
      <c r="AX22" s="452"/>
      <c r="AY22" s="451"/>
      <c r="AZ22" s="451">
        <f>AZ23+AZ25</f>
        <v>0</v>
      </c>
      <c r="BA22" s="451"/>
      <c r="BB22" s="451"/>
      <c r="BC22" s="452"/>
      <c r="BD22" s="451"/>
      <c r="BE22" s="451">
        <f>BE23+BE25</f>
        <v>0</v>
      </c>
      <c r="BF22" s="451"/>
      <c r="BG22" s="451"/>
      <c r="BH22" s="452"/>
      <c r="BI22" s="451"/>
      <c r="BJ22" s="451">
        <f>BJ23+BJ25</f>
        <v>0</v>
      </c>
      <c r="BK22" s="451"/>
      <c r="BL22" s="451"/>
      <c r="BM22" s="452"/>
      <c r="BN22" s="451"/>
      <c r="BO22" s="451">
        <f>BO23+BO25</f>
        <v>0</v>
      </c>
      <c r="BP22" s="451"/>
      <c r="BQ22" s="451"/>
      <c r="BR22" s="452"/>
      <c r="BS22" s="451"/>
      <c r="BT22" s="451">
        <f>SUM(BT23:BT25)</f>
        <v>0</v>
      </c>
      <c r="BU22" s="451"/>
      <c r="BV22" s="451"/>
      <c r="BW22" s="452"/>
      <c r="BX22" s="451"/>
      <c r="BY22" s="451">
        <f>SUM(BY23:BY25)</f>
        <v>30420800</v>
      </c>
      <c r="BZ22" s="451"/>
      <c r="CA22" s="451"/>
      <c r="CB22" s="452"/>
      <c r="CC22" s="451"/>
      <c r="CD22" s="451">
        <f>CD23+CD25</f>
        <v>0</v>
      </c>
      <c r="CE22" s="451"/>
      <c r="CF22" s="451"/>
      <c r="CG22" s="452"/>
      <c r="CH22" s="451"/>
      <c r="CI22" s="451">
        <f>CI23+CI25</f>
        <v>0</v>
      </c>
      <c r="CJ22" s="451"/>
      <c r="CK22" s="451"/>
      <c r="CL22" s="452"/>
      <c r="CM22" s="451"/>
      <c r="CN22" s="451">
        <f>CN23+CN25</f>
        <v>0</v>
      </c>
      <c r="CO22" s="451"/>
      <c r="CP22" s="451"/>
      <c r="CQ22" s="452"/>
      <c r="CR22" s="451"/>
      <c r="CS22" s="451">
        <f>CS23+CS25</f>
        <v>0</v>
      </c>
      <c r="CT22" s="451"/>
      <c r="CU22" s="451"/>
      <c r="CV22" s="452"/>
      <c r="CW22" s="451"/>
      <c r="CX22" s="451">
        <f>CX23+CX25</f>
        <v>0</v>
      </c>
      <c r="CY22" s="451"/>
      <c r="CZ22" s="451"/>
      <c r="DA22" s="452"/>
      <c r="DB22" s="451"/>
      <c r="DC22" s="451">
        <f>DC23+DC25</f>
        <v>30420800</v>
      </c>
      <c r="DD22" s="451"/>
      <c r="DE22" s="451"/>
      <c r="DF22" s="452"/>
      <c r="DG22" s="451"/>
      <c r="DH22" s="451">
        <f>DH23+DH25</f>
        <v>0</v>
      </c>
      <c r="DI22" s="451"/>
      <c r="DJ22" s="451"/>
      <c r="DK22" s="452"/>
      <c r="DL22" s="451"/>
      <c r="DM22" s="451">
        <f>DM23+DM25</f>
        <v>0</v>
      </c>
      <c r="DN22" s="451"/>
      <c r="DO22" s="451"/>
      <c r="DP22" s="452"/>
      <c r="DQ22" s="451"/>
      <c r="DR22" s="451">
        <f>DR23+DR25</f>
        <v>0</v>
      </c>
      <c r="DS22" s="451"/>
      <c r="DT22" s="451"/>
      <c r="DU22" s="452"/>
      <c r="DV22" s="451"/>
      <c r="DW22" s="451">
        <f>DW23+DW25</f>
        <v>0</v>
      </c>
      <c r="DX22" s="451"/>
      <c r="DY22" s="451"/>
      <c r="DZ22" s="452"/>
      <c r="EA22" s="451"/>
      <c r="EB22" s="451">
        <f>EB23+EB25</f>
        <v>0</v>
      </c>
      <c r="EC22" s="451"/>
      <c r="ED22" s="451"/>
      <c r="EE22" s="452"/>
      <c r="EF22" s="451"/>
      <c r="EG22" s="451">
        <f>EG23+EG25</f>
        <v>0</v>
      </c>
      <c r="EH22" s="451"/>
      <c r="EI22" s="451"/>
      <c r="EJ22" s="452"/>
      <c r="EK22" s="451"/>
      <c r="EL22" s="451">
        <f>SUM(EL23:EL25)</f>
        <v>30420800</v>
      </c>
      <c r="EM22" s="451"/>
      <c r="EN22" s="451"/>
      <c r="EO22" s="13"/>
    </row>
    <row r="23" spans="4:148" x14ac:dyDescent="0.2">
      <c r="D23" s="13" t="s">
        <v>347</v>
      </c>
      <c r="E23" s="198"/>
      <c r="F23" s="374"/>
      <c r="G23" s="449">
        <v>0</v>
      </c>
      <c r="H23" s="450"/>
      <c r="I23" s="451"/>
      <c r="J23" s="452"/>
      <c r="K23" s="453"/>
      <c r="L23" s="449">
        <v>0</v>
      </c>
      <c r="M23" s="450"/>
      <c r="N23" s="451"/>
      <c r="O23" s="452"/>
      <c r="P23" s="453"/>
      <c r="Q23" s="449">
        <v>0</v>
      </c>
      <c r="R23" s="450"/>
      <c r="S23" s="451"/>
      <c r="T23" s="452"/>
      <c r="U23" s="453"/>
      <c r="V23" s="449">
        <v>0</v>
      </c>
      <c r="W23" s="450"/>
      <c r="X23" s="451"/>
      <c r="Y23" s="452"/>
      <c r="Z23" s="453"/>
      <c r="AA23" s="449">
        <v>0</v>
      </c>
      <c r="AB23" s="450"/>
      <c r="AC23" s="451"/>
      <c r="AD23" s="452"/>
      <c r="AE23" s="453"/>
      <c r="AF23" s="449">
        <v>0</v>
      </c>
      <c r="AG23" s="450"/>
      <c r="AH23" s="451"/>
      <c r="AI23" s="452"/>
      <c r="AJ23" s="453"/>
      <c r="AK23" s="449">
        <v>0</v>
      </c>
      <c r="AL23" s="450"/>
      <c r="AM23" s="451"/>
      <c r="AN23" s="452"/>
      <c r="AO23" s="453"/>
      <c r="AP23" s="449">
        <v>0</v>
      </c>
      <c r="AQ23" s="450"/>
      <c r="AR23" s="451"/>
      <c r="AS23" s="452"/>
      <c r="AT23" s="453"/>
      <c r="AU23" s="449">
        <v>0</v>
      </c>
      <c r="AV23" s="450"/>
      <c r="AW23" s="451"/>
      <c r="AX23" s="452"/>
      <c r="AY23" s="453"/>
      <c r="AZ23" s="449">
        <v>0</v>
      </c>
      <c r="BA23" s="450"/>
      <c r="BB23" s="451"/>
      <c r="BC23" s="452"/>
      <c r="BD23" s="453"/>
      <c r="BE23" s="449">
        <v>0</v>
      </c>
      <c r="BF23" s="450"/>
      <c r="BG23" s="451"/>
      <c r="BH23" s="452"/>
      <c r="BI23" s="453"/>
      <c r="BJ23" s="449">
        <v>0</v>
      </c>
      <c r="BK23" s="450"/>
      <c r="BL23" s="451"/>
      <c r="BM23" s="452"/>
      <c r="BN23" s="453"/>
      <c r="BO23" s="449">
        <v>0</v>
      </c>
      <c r="BP23" s="450"/>
      <c r="BQ23" s="451"/>
      <c r="BR23" s="452"/>
      <c r="BS23" s="453"/>
      <c r="BT23" s="449">
        <f>SUM(L23:BO23)</f>
        <v>0</v>
      </c>
      <c r="BU23" s="450"/>
      <c r="BV23" s="451"/>
      <c r="BW23" s="452"/>
      <c r="BX23" s="453"/>
      <c r="BY23" s="449">
        <v>30420800</v>
      </c>
      <c r="BZ23" s="450"/>
      <c r="CA23" s="451"/>
      <c r="CB23" s="452"/>
      <c r="CC23" s="453"/>
      <c r="CD23" s="449">
        <v>0</v>
      </c>
      <c r="CE23" s="450"/>
      <c r="CF23" s="451"/>
      <c r="CG23" s="452"/>
      <c r="CH23" s="453"/>
      <c r="CI23" s="449">
        <v>0</v>
      </c>
      <c r="CJ23" s="450"/>
      <c r="CK23" s="451"/>
      <c r="CL23" s="452"/>
      <c r="CM23" s="453"/>
      <c r="CN23" s="449">
        <v>0</v>
      </c>
      <c r="CO23" s="450"/>
      <c r="CP23" s="451"/>
      <c r="CQ23" s="452"/>
      <c r="CR23" s="453"/>
      <c r="CS23" s="449">
        <v>0</v>
      </c>
      <c r="CT23" s="450"/>
      <c r="CU23" s="451"/>
      <c r="CV23" s="452"/>
      <c r="CW23" s="453"/>
      <c r="CX23" s="449">
        <v>0</v>
      </c>
      <c r="CY23" s="450"/>
      <c r="CZ23" s="451"/>
      <c r="DA23" s="452"/>
      <c r="DB23" s="453"/>
      <c r="DC23" s="449">
        <v>30420800</v>
      </c>
      <c r="DD23" s="450"/>
      <c r="DE23" s="451"/>
      <c r="DF23" s="452"/>
      <c r="DG23" s="453"/>
      <c r="DH23" s="449">
        <v>0</v>
      </c>
      <c r="DI23" s="450"/>
      <c r="DJ23" s="451"/>
      <c r="DK23" s="452"/>
      <c r="DL23" s="453"/>
      <c r="DM23" s="449">
        <v>0</v>
      </c>
      <c r="DN23" s="450"/>
      <c r="DO23" s="451"/>
      <c r="DP23" s="452"/>
      <c r="DQ23" s="453"/>
      <c r="DR23" s="449">
        <v>0</v>
      </c>
      <c r="DS23" s="450"/>
      <c r="DT23" s="451"/>
      <c r="DU23" s="452"/>
      <c r="DV23" s="453"/>
      <c r="DW23" s="449">
        <v>0</v>
      </c>
      <c r="DX23" s="450"/>
      <c r="DY23" s="451"/>
      <c r="DZ23" s="452"/>
      <c r="EA23" s="453"/>
      <c r="EB23" s="449">
        <v>0</v>
      </c>
      <c r="EC23" s="450"/>
      <c r="ED23" s="451"/>
      <c r="EE23" s="452"/>
      <c r="EF23" s="453"/>
      <c r="EG23" s="449">
        <v>0</v>
      </c>
      <c r="EH23" s="450"/>
      <c r="EI23" s="451"/>
      <c r="EJ23" s="452"/>
      <c r="EK23" s="453"/>
      <c r="EL23" s="449">
        <f>SUM(CD23:DW23)</f>
        <v>30420800</v>
      </c>
      <c r="EM23" s="450"/>
      <c r="EN23" s="451"/>
      <c r="EO23" s="13"/>
    </row>
    <row r="24" spans="4:148" x14ac:dyDescent="0.2">
      <c r="D24" s="13" t="s">
        <v>349</v>
      </c>
      <c r="E24" s="198"/>
      <c r="F24" s="198"/>
      <c r="G24" s="451">
        <v>0</v>
      </c>
      <c r="H24" s="455"/>
      <c r="I24" s="451"/>
      <c r="J24" s="452"/>
      <c r="K24" s="452"/>
      <c r="L24" s="451">
        <v>0</v>
      </c>
      <c r="M24" s="455"/>
      <c r="N24" s="451"/>
      <c r="O24" s="452"/>
      <c r="P24" s="452"/>
      <c r="Q24" s="451">
        <v>0</v>
      </c>
      <c r="R24" s="455"/>
      <c r="S24" s="451"/>
      <c r="T24" s="452"/>
      <c r="U24" s="452"/>
      <c r="V24" s="451">
        <v>0</v>
      </c>
      <c r="W24" s="455"/>
      <c r="X24" s="451"/>
      <c r="Y24" s="452"/>
      <c r="Z24" s="452"/>
      <c r="AA24" s="451">
        <v>0</v>
      </c>
      <c r="AB24" s="455"/>
      <c r="AC24" s="451"/>
      <c r="AD24" s="452"/>
      <c r="AE24" s="452"/>
      <c r="AF24" s="451">
        <v>0</v>
      </c>
      <c r="AG24" s="455"/>
      <c r="AH24" s="451"/>
      <c r="AI24" s="452"/>
      <c r="AJ24" s="452"/>
      <c r="AK24" s="451">
        <v>0</v>
      </c>
      <c r="AL24" s="455"/>
      <c r="AM24" s="451"/>
      <c r="AN24" s="452"/>
      <c r="AO24" s="452"/>
      <c r="AP24" s="451">
        <v>0</v>
      </c>
      <c r="AQ24" s="455"/>
      <c r="AR24" s="451"/>
      <c r="AS24" s="452"/>
      <c r="AT24" s="452"/>
      <c r="AU24" s="451">
        <v>0</v>
      </c>
      <c r="AV24" s="455"/>
      <c r="AW24" s="451"/>
      <c r="AX24" s="452"/>
      <c r="AY24" s="452"/>
      <c r="AZ24" s="451">
        <v>0</v>
      </c>
      <c r="BA24" s="455"/>
      <c r="BB24" s="451"/>
      <c r="BC24" s="452"/>
      <c r="BD24" s="452"/>
      <c r="BE24" s="451">
        <v>0</v>
      </c>
      <c r="BF24" s="455"/>
      <c r="BG24" s="451"/>
      <c r="BH24" s="452"/>
      <c r="BI24" s="452"/>
      <c r="BJ24" s="451">
        <v>0</v>
      </c>
      <c r="BK24" s="455"/>
      <c r="BL24" s="451"/>
      <c r="BM24" s="452"/>
      <c r="BN24" s="452"/>
      <c r="BO24" s="451">
        <v>0</v>
      </c>
      <c r="BP24" s="455"/>
      <c r="BQ24" s="451"/>
      <c r="BR24" s="452"/>
      <c r="BS24" s="452"/>
      <c r="BT24" s="451">
        <f>SUM(L24:BO24)</f>
        <v>0</v>
      </c>
      <c r="BU24" s="455"/>
      <c r="BV24" s="451"/>
      <c r="BW24" s="452"/>
      <c r="BX24" s="452"/>
      <c r="BY24" s="451">
        <v>0</v>
      </c>
      <c r="BZ24" s="455"/>
      <c r="CA24" s="451"/>
      <c r="CB24" s="452"/>
      <c r="CC24" s="452"/>
      <c r="CD24" s="451">
        <v>0</v>
      </c>
      <c r="CE24" s="455"/>
      <c r="CF24" s="451"/>
      <c r="CG24" s="452"/>
      <c r="CH24" s="452"/>
      <c r="CI24" s="451">
        <v>0</v>
      </c>
      <c r="CJ24" s="455"/>
      <c r="CK24" s="451"/>
      <c r="CL24" s="452"/>
      <c r="CM24" s="452"/>
      <c r="CN24" s="451">
        <v>0</v>
      </c>
      <c r="CO24" s="455"/>
      <c r="CP24" s="451"/>
      <c r="CQ24" s="452"/>
      <c r="CR24" s="452"/>
      <c r="CS24" s="451">
        <v>0</v>
      </c>
      <c r="CT24" s="455"/>
      <c r="CU24" s="451"/>
      <c r="CV24" s="452"/>
      <c r="CW24" s="452"/>
      <c r="CX24" s="451">
        <v>0</v>
      </c>
      <c r="CY24" s="455"/>
      <c r="CZ24" s="451"/>
      <c r="DA24" s="452"/>
      <c r="DB24" s="452"/>
      <c r="DC24" s="451">
        <v>0</v>
      </c>
      <c r="DD24" s="455"/>
      <c r="DE24" s="451"/>
      <c r="DF24" s="452"/>
      <c r="DG24" s="452"/>
      <c r="DH24" s="451">
        <v>0</v>
      </c>
      <c r="DI24" s="455"/>
      <c r="DJ24" s="451"/>
      <c r="DK24" s="452"/>
      <c r="DL24" s="452"/>
      <c r="DM24" s="451">
        <v>0</v>
      </c>
      <c r="DN24" s="455"/>
      <c r="DO24" s="451"/>
      <c r="DP24" s="452"/>
      <c r="DQ24" s="452"/>
      <c r="DR24" s="451">
        <v>0</v>
      </c>
      <c r="DS24" s="455"/>
      <c r="DT24" s="451"/>
      <c r="DU24" s="452"/>
      <c r="DV24" s="452"/>
      <c r="DW24" s="451">
        <v>0</v>
      </c>
      <c r="DX24" s="455"/>
      <c r="DY24" s="451"/>
      <c r="DZ24" s="452"/>
      <c r="EA24" s="452"/>
      <c r="EB24" s="451">
        <v>0</v>
      </c>
      <c r="EC24" s="455"/>
      <c r="ED24" s="451"/>
      <c r="EE24" s="452"/>
      <c r="EF24" s="452"/>
      <c r="EG24" s="451">
        <v>0</v>
      </c>
      <c r="EH24" s="455"/>
      <c r="EI24" s="451"/>
      <c r="EJ24" s="452"/>
      <c r="EK24" s="452"/>
      <c r="EL24" s="451">
        <f>SUM(CD24:DW24)</f>
        <v>0</v>
      </c>
      <c r="EM24" s="455"/>
      <c r="EN24" s="451"/>
      <c r="EO24" s="13"/>
    </row>
    <row r="25" spans="4:148" x14ac:dyDescent="0.2">
      <c r="D25" s="13" t="s">
        <v>357</v>
      </c>
      <c r="E25" s="198"/>
      <c r="F25" s="385"/>
      <c r="G25" s="463">
        <v>0</v>
      </c>
      <c r="H25" s="464"/>
      <c r="I25" s="451"/>
      <c r="J25" s="452"/>
      <c r="K25" s="465"/>
      <c r="L25" s="463">
        <v>0</v>
      </c>
      <c r="M25" s="464"/>
      <c r="N25" s="451"/>
      <c r="O25" s="452"/>
      <c r="P25" s="465"/>
      <c r="Q25" s="463">
        <v>0</v>
      </c>
      <c r="R25" s="464"/>
      <c r="S25" s="451"/>
      <c r="T25" s="452"/>
      <c r="U25" s="465"/>
      <c r="V25" s="463">
        <v>0</v>
      </c>
      <c r="W25" s="464"/>
      <c r="X25" s="451"/>
      <c r="Y25" s="452"/>
      <c r="Z25" s="465"/>
      <c r="AA25" s="463">
        <v>0</v>
      </c>
      <c r="AB25" s="464"/>
      <c r="AC25" s="451"/>
      <c r="AD25" s="452"/>
      <c r="AE25" s="465"/>
      <c r="AF25" s="463">
        <v>0</v>
      </c>
      <c r="AG25" s="464"/>
      <c r="AH25" s="451"/>
      <c r="AI25" s="452"/>
      <c r="AJ25" s="465"/>
      <c r="AK25" s="463">
        <v>0</v>
      </c>
      <c r="AL25" s="464"/>
      <c r="AM25" s="451"/>
      <c r="AN25" s="452"/>
      <c r="AO25" s="465"/>
      <c r="AP25" s="463">
        <v>0</v>
      </c>
      <c r="AQ25" s="464"/>
      <c r="AR25" s="451"/>
      <c r="AS25" s="452"/>
      <c r="AT25" s="465"/>
      <c r="AU25" s="463">
        <v>0</v>
      </c>
      <c r="AV25" s="464"/>
      <c r="AW25" s="451"/>
      <c r="AX25" s="452"/>
      <c r="AY25" s="465"/>
      <c r="AZ25" s="463">
        <v>0</v>
      </c>
      <c r="BA25" s="464"/>
      <c r="BB25" s="451"/>
      <c r="BC25" s="452"/>
      <c r="BD25" s="465"/>
      <c r="BE25" s="463">
        <v>0</v>
      </c>
      <c r="BF25" s="464"/>
      <c r="BG25" s="451"/>
      <c r="BH25" s="452"/>
      <c r="BI25" s="465"/>
      <c r="BJ25" s="463">
        <v>0</v>
      </c>
      <c r="BK25" s="464"/>
      <c r="BL25" s="451"/>
      <c r="BM25" s="452"/>
      <c r="BN25" s="465"/>
      <c r="BO25" s="463">
        <v>0</v>
      </c>
      <c r="BP25" s="464"/>
      <c r="BQ25" s="451"/>
      <c r="BR25" s="452"/>
      <c r="BS25" s="465"/>
      <c r="BT25" s="463">
        <f>SUM(L25:BO25)</f>
        <v>0</v>
      </c>
      <c r="BU25" s="464"/>
      <c r="BV25" s="451"/>
      <c r="BW25" s="452"/>
      <c r="BX25" s="465"/>
      <c r="BY25" s="463">
        <v>0</v>
      </c>
      <c r="BZ25" s="464"/>
      <c r="CA25" s="451"/>
      <c r="CB25" s="452"/>
      <c r="CC25" s="465"/>
      <c r="CD25" s="463">
        <v>0</v>
      </c>
      <c r="CE25" s="464"/>
      <c r="CF25" s="451"/>
      <c r="CG25" s="452"/>
      <c r="CH25" s="465"/>
      <c r="CI25" s="463">
        <v>0</v>
      </c>
      <c r="CJ25" s="464"/>
      <c r="CK25" s="451"/>
      <c r="CL25" s="452"/>
      <c r="CM25" s="465"/>
      <c r="CN25" s="463">
        <v>0</v>
      </c>
      <c r="CO25" s="464"/>
      <c r="CP25" s="451"/>
      <c r="CQ25" s="452"/>
      <c r="CR25" s="465"/>
      <c r="CS25" s="463">
        <v>0</v>
      </c>
      <c r="CT25" s="464"/>
      <c r="CU25" s="451"/>
      <c r="CV25" s="452"/>
      <c r="CW25" s="465"/>
      <c r="CX25" s="463">
        <v>0</v>
      </c>
      <c r="CY25" s="464"/>
      <c r="CZ25" s="451"/>
      <c r="DA25" s="452"/>
      <c r="DB25" s="465"/>
      <c r="DC25" s="463">
        <v>0</v>
      </c>
      <c r="DD25" s="464"/>
      <c r="DE25" s="451"/>
      <c r="DF25" s="452"/>
      <c r="DG25" s="465"/>
      <c r="DH25" s="463">
        <v>0</v>
      </c>
      <c r="DI25" s="464"/>
      <c r="DJ25" s="451"/>
      <c r="DK25" s="452"/>
      <c r="DL25" s="465"/>
      <c r="DM25" s="463">
        <v>0</v>
      </c>
      <c r="DN25" s="464"/>
      <c r="DO25" s="451"/>
      <c r="DP25" s="452"/>
      <c r="DQ25" s="465"/>
      <c r="DR25" s="463">
        <v>0</v>
      </c>
      <c r="DS25" s="464"/>
      <c r="DT25" s="451"/>
      <c r="DU25" s="452"/>
      <c r="DV25" s="465"/>
      <c r="DW25" s="463">
        <v>0</v>
      </c>
      <c r="DX25" s="464"/>
      <c r="DY25" s="451"/>
      <c r="DZ25" s="452"/>
      <c r="EA25" s="465"/>
      <c r="EB25" s="463">
        <v>0</v>
      </c>
      <c r="EC25" s="464"/>
      <c r="ED25" s="451"/>
      <c r="EE25" s="452"/>
      <c r="EF25" s="465"/>
      <c r="EG25" s="463">
        <v>0</v>
      </c>
      <c r="EH25" s="464"/>
      <c r="EI25" s="451"/>
      <c r="EJ25" s="452"/>
      <c r="EK25" s="465"/>
      <c r="EL25" s="463">
        <f>SUM(CD25:DW25)</f>
        <v>0</v>
      </c>
      <c r="EM25" s="464"/>
      <c r="EN25" s="451"/>
      <c r="EO25" s="13"/>
    </row>
    <row r="26" spans="4:148" x14ac:dyDescent="0.2">
      <c r="D26" s="13"/>
      <c r="E26" s="198"/>
      <c r="G26" s="451"/>
      <c r="H26" s="451"/>
      <c r="I26" s="451"/>
      <c r="J26" s="452"/>
      <c r="K26" s="451"/>
      <c r="L26" s="451"/>
      <c r="M26" s="451"/>
      <c r="N26" s="451"/>
      <c r="O26" s="452"/>
      <c r="P26" s="451"/>
      <c r="Q26" s="451"/>
      <c r="R26" s="451"/>
      <c r="S26" s="451"/>
      <c r="T26" s="452"/>
      <c r="U26" s="451"/>
      <c r="V26" s="451"/>
      <c r="W26" s="451"/>
      <c r="X26" s="451"/>
      <c r="Y26" s="452"/>
      <c r="Z26" s="451"/>
      <c r="AA26" s="451"/>
      <c r="AB26" s="451"/>
      <c r="AC26" s="451"/>
      <c r="AD26" s="452"/>
      <c r="AE26" s="451"/>
      <c r="AF26" s="451"/>
      <c r="AG26" s="451"/>
      <c r="AH26" s="451"/>
      <c r="AI26" s="452"/>
      <c r="AJ26" s="451"/>
      <c r="AK26" s="451"/>
      <c r="AL26" s="451"/>
      <c r="AM26" s="451"/>
      <c r="AN26" s="452"/>
      <c r="AO26" s="451"/>
      <c r="AP26" s="451"/>
      <c r="AQ26" s="451"/>
      <c r="AR26" s="451"/>
      <c r="AS26" s="452"/>
      <c r="AT26" s="451"/>
      <c r="AU26" s="451"/>
      <c r="AV26" s="451"/>
      <c r="AW26" s="451"/>
      <c r="AX26" s="452"/>
      <c r="AY26" s="451"/>
      <c r="AZ26" s="451"/>
      <c r="BA26" s="451"/>
      <c r="BB26" s="451"/>
      <c r="BC26" s="452"/>
      <c r="BD26" s="451"/>
      <c r="BE26" s="451"/>
      <c r="BF26" s="451"/>
      <c r="BG26" s="451"/>
      <c r="BH26" s="452"/>
      <c r="BI26" s="451"/>
      <c r="BJ26" s="451"/>
      <c r="BK26" s="451"/>
      <c r="BL26" s="451"/>
      <c r="BM26" s="452"/>
      <c r="BN26" s="451"/>
      <c r="BO26" s="451"/>
      <c r="BP26" s="451"/>
      <c r="BQ26" s="451"/>
      <c r="BR26" s="452"/>
      <c r="BS26" s="451"/>
      <c r="BT26" s="451"/>
      <c r="BU26" s="451"/>
      <c r="BV26" s="451"/>
      <c r="BW26" s="452"/>
      <c r="BX26" s="451"/>
      <c r="BY26" s="451"/>
      <c r="BZ26" s="451"/>
      <c r="CA26" s="451"/>
      <c r="CB26" s="452"/>
      <c r="CC26" s="451"/>
      <c r="CD26" s="451"/>
      <c r="CE26" s="451"/>
      <c r="CF26" s="451"/>
      <c r="CG26" s="452"/>
      <c r="CH26" s="451"/>
      <c r="CI26" s="451"/>
      <c r="CJ26" s="451"/>
      <c r="CK26" s="451"/>
      <c r="CL26" s="452"/>
      <c r="CM26" s="451"/>
      <c r="CN26" s="451"/>
      <c r="CO26" s="451"/>
      <c r="CP26" s="451"/>
      <c r="CQ26" s="452"/>
      <c r="CR26" s="451"/>
      <c r="CS26" s="451"/>
      <c r="CT26" s="451"/>
      <c r="CU26" s="451"/>
      <c r="CV26" s="452"/>
      <c r="CW26" s="451"/>
      <c r="CX26" s="451"/>
      <c r="CY26" s="451"/>
      <c r="CZ26" s="451"/>
      <c r="DA26" s="452"/>
      <c r="DB26" s="451"/>
      <c r="DC26" s="451"/>
      <c r="DD26" s="451"/>
      <c r="DE26" s="451"/>
      <c r="DF26" s="452"/>
      <c r="DG26" s="451"/>
      <c r="DH26" s="451"/>
      <c r="DI26" s="451"/>
      <c r="DJ26" s="451"/>
      <c r="DK26" s="452"/>
      <c r="DL26" s="451"/>
      <c r="DM26" s="451"/>
      <c r="DN26" s="451"/>
      <c r="DO26" s="451"/>
      <c r="DP26" s="452"/>
      <c r="DQ26" s="451"/>
      <c r="DR26" s="451"/>
      <c r="DS26" s="451"/>
      <c r="DT26" s="451"/>
      <c r="DU26" s="452"/>
      <c r="DV26" s="451"/>
      <c r="DW26" s="451"/>
      <c r="DX26" s="451"/>
      <c r="DY26" s="451"/>
      <c r="DZ26" s="452"/>
      <c r="EA26" s="451"/>
      <c r="EB26" s="451"/>
      <c r="EC26" s="451"/>
      <c r="ED26" s="451"/>
      <c r="EE26" s="452"/>
      <c r="EF26" s="451"/>
      <c r="EG26" s="451"/>
      <c r="EH26" s="451"/>
      <c r="EI26" s="451"/>
      <c r="EJ26" s="452"/>
      <c r="EK26" s="451"/>
      <c r="EL26" s="451"/>
      <c r="EM26" s="451"/>
      <c r="EN26" s="451"/>
      <c r="EO26" s="13"/>
    </row>
    <row r="27" spans="4:148" x14ac:dyDescent="0.2">
      <c r="D27" s="13" t="s">
        <v>451</v>
      </c>
      <c r="E27" s="198"/>
      <c r="G27" s="451">
        <f>SUM(G28:G30)</f>
        <v>0</v>
      </c>
      <c r="H27" s="451"/>
      <c r="I27" s="451"/>
      <c r="J27" s="452"/>
      <c r="K27" s="451"/>
      <c r="L27" s="451">
        <f>L28+L30</f>
        <v>0</v>
      </c>
      <c r="M27" s="451"/>
      <c r="N27" s="451"/>
      <c r="O27" s="452"/>
      <c r="P27" s="451"/>
      <c r="Q27" s="451">
        <f>Q28+Q30</f>
        <v>0</v>
      </c>
      <c r="R27" s="451"/>
      <c r="S27" s="451"/>
      <c r="T27" s="452"/>
      <c r="U27" s="451"/>
      <c r="V27" s="451">
        <f>V28+V30</f>
        <v>0</v>
      </c>
      <c r="W27" s="451"/>
      <c r="X27" s="451"/>
      <c r="Y27" s="452"/>
      <c r="Z27" s="451"/>
      <c r="AA27" s="451">
        <f>AA28+AA30</f>
        <v>0</v>
      </c>
      <c r="AB27" s="451"/>
      <c r="AC27" s="451"/>
      <c r="AD27" s="452"/>
      <c r="AE27" s="451"/>
      <c r="AF27" s="451">
        <f>AF28+AF30</f>
        <v>0</v>
      </c>
      <c r="AG27" s="451"/>
      <c r="AH27" s="451"/>
      <c r="AI27" s="452"/>
      <c r="AJ27" s="451"/>
      <c r="AK27" s="451">
        <f>AK28+AK30</f>
        <v>0</v>
      </c>
      <c r="AL27" s="451"/>
      <c r="AM27" s="451"/>
      <c r="AN27" s="452"/>
      <c r="AO27" s="451"/>
      <c r="AP27" s="451">
        <f>AP28+AP30</f>
        <v>0</v>
      </c>
      <c r="AQ27" s="451"/>
      <c r="AR27" s="451"/>
      <c r="AS27" s="452"/>
      <c r="AT27" s="451"/>
      <c r="AU27" s="451">
        <f>AU28+AU30</f>
        <v>0</v>
      </c>
      <c r="AV27" s="451"/>
      <c r="AW27" s="451"/>
      <c r="AX27" s="452"/>
      <c r="AY27" s="451"/>
      <c r="AZ27" s="451">
        <f>AZ28+AZ30</f>
        <v>0</v>
      </c>
      <c r="BA27" s="451"/>
      <c r="BB27" s="451"/>
      <c r="BC27" s="452"/>
      <c r="BD27" s="451"/>
      <c r="BE27" s="451">
        <f>BE28+BE30</f>
        <v>0</v>
      </c>
      <c r="BF27" s="451"/>
      <c r="BG27" s="451"/>
      <c r="BH27" s="452"/>
      <c r="BI27" s="451"/>
      <c r="BJ27" s="451">
        <f>BJ28+BJ30</f>
        <v>0</v>
      </c>
      <c r="BK27" s="451"/>
      <c r="BL27" s="451"/>
      <c r="BM27" s="452"/>
      <c r="BN27" s="451"/>
      <c r="BO27" s="451">
        <f>BO28+BO30</f>
        <v>0</v>
      </c>
      <c r="BP27" s="451"/>
      <c r="BQ27" s="451"/>
      <c r="BR27" s="452"/>
      <c r="BS27" s="451"/>
      <c r="BT27" s="451">
        <f>SUM(BT28:BT30)</f>
        <v>0</v>
      </c>
      <c r="BU27" s="451"/>
      <c r="BV27" s="451"/>
      <c r="BW27" s="452"/>
      <c r="BX27" s="451"/>
      <c r="BY27" s="451">
        <f>SUM(BY28:BY30)</f>
        <v>45631200</v>
      </c>
      <c r="BZ27" s="451"/>
      <c r="CA27" s="451"/>
      <c r="CB27" s="452"/>
      <c r="CC27" s="451"/>
      <c r="CD27" s="451">
        <f>CD28+CD30</f>
        <v>0</v>
      </c>
      <c r="CE27" s="451"/>
      <c r="CF27" s="451"/>
      <c r="CG27" s="452"/>
      <c r="CH27" s="451"/>
      <c r="CI27" s="451">
        <f>CI28+CI30</f>
        <v>0</v>
      </c>
      <c r="CJ27" s="451"/>
      <c r="CK27" s="451"/>
      <c r="CL27" s="452"/>
      <c r="CM27" s="451"/>
      <c r="CN27" s="451">
        <f>CN28+CN30</f>
        <v>0</v>
      </c>
      <c r="CO27" s="451"/>
      <c r="CP27" s="451"/>
      <c r="CQ27" s="452"/>
      <c r="CR27" s="451"/>
      <c r="CS27" s="451">
        <f>CS28+CS30</f>
        <v>0</v>
      </c>
      <c r="CT27" s="451"/>
      <c r="CU27" s="451"/>
      <c r="CV27" s="452"/>
      <c r="CW27" s="451"/>
      <c r="CX27" s="451">
        <f>CX28+CX30</f>
        <v>0</v>
      </c>
      <c r="CY27" s="451"/>
      <c r="CZ27" s="451"/>
      <c r="DA27" s="452"/>
      <c r="DB27" s="451"/>
      <c r="DC27" s="451">
        <f>DC28+DC30</f>
        <v>45631200</v>
      </c>
      <c r="DD27" s="451"/>
      <c r="DE27" s="451"/>
      <c r="DF27" s="452"/>
      <c r="DG27" s="451"/>
      <c r="DH27" s="451">
        <f>DH28+DH30</f>
        <v>0</v>
      </c>
      <c r="DI27" s="451"/>
      <c r="DJ27" s="451"/>
      <c r="DK27" s="452"/>
      <c r="DL27" s="451"/>
      <c r="DM27" s="451">
        <f>DM28+DM30</f>
        <v>0</v>
      </c>
      <c r="DN27" s="451"/>
      <c r="DO27" s="451"/>
      <c r="DP27" s="452"/>
      <c r="DQ27" s="451"/>
      <c r="DR27" s="451">
        <f>DR28+DR30</f>
        <v>0</v>
      </c>
      <c r="DS27" s="451"/>
      <c r="DT27" s="451"/>
      <c r="DU27" s="452"/>
      <c r="DV27" s="451"/>
      <c r="DW27" s="451">
        <f>DW28+DW30</f>
        <v>0</v>
      </c>
      <c r="DX27" s="451"/>
      <c r="DY27" s="451"/>
      <c r="DZ27" s="452"/>
      <c r="EA27" s="451"/>
      <c r="EB27" s="451">
        <f>EB28+EB30</f>
        <v>0</v>
      </c>
      <c r="EC27" s="451"/>
      <c r="ED27" s="451"/>
      <c r="EE27" s="452"/>
      <c r="EF27" s="451"/>
      <c r="EG27" s="451">
        <f>EG28+EG30</f>
        <v>0</v>
      </c>
      <c r="EH27" s="451"/>
      <c r="EI27" s="451"/>
      <c r="EJ27" s="452"/>
      <c r="EK27" s="451"/>
      <c r="EL27" s="451">
        <f>SUM(EL28:EL30)</f>
        <v>45631200</v>
      </c>
      <c r="EM27" s="451"/>
      <c r="EN27" s="451"/>
      <c r="EO27" s="13"/>
    </row>
    <row r="28" spans="4:148" x14ac:dyDescent="0.2">
      <c r="D28" s="13" t="s">
        <v>347</v>
      </c>
      <c r="E28" s="198"/>
      <c r="F28" s="374"/>
      <c r="G28" s="449">
        <v>0</v>
      </c>
      <c r="H28" s="450"/>
      <c r="I28" s="451"/>
      <c r="J28" s="452"/>
      <c r="K28" s="453"/>
      <c r="L28" s="449">
        <v>0</v>
      </c>
      <c r="M28" s="450"/>
      <c r="N28" s="451"/>
      <c r="O28" s="452"/>
      <c r="P28" s="453"/>
      <c r="Q28" s="449">
        <v>0</v>
      </c>
      <c r="R28" s="450"/>
      <c r="S28" s="451"/>
      <c r="T28" s="452"/>
      <c r="U28" s="453"/>
      <c r="V28" s="449">
        <v>0</v>
      </c>
      <c r="W28" s="450"/>
      <c r="X28" s="451"/>
      <c r="Y28" s="452"/>
      <c r="Z28" s="453"/>
      <c r="AA28" s="449">
        <v>0</v>
      </c>
      <c r="AB28" s="450"/>
      <c r="AC28" s="451"/>
      <c r="AD28" s="452"/>
      <c r="AE28" s="453"/>
      <c r="AF28" s="449">
        <v>0</v>
      </c>
      <c r="AG28" s="450"/>
      <c r="AH28" s="451"/>
      <c r="AI28" s="452"/>
      <c r="AJ28" s="453"/>
      <c r="AK28" s="449">
        <v>0</v>
      </c>
      <c r="AL28" s="450"/>
      <c r="AM28" s="451"/>
      <c r="AN28" s="452"/>
      <c r="AO28" s="453"/>
      <c r="AP28" s="449">
        <v>0</v>
      </c>
      <c r="AQ28" s="450"/>
      <c r="AR28" s="451"/>
      <c r="AS28" s="452"/>
      <c r="AT28" s="453"/>
      <c r="AU28" s="449">
        <v>0</v>
      </c>
      <c r="AV28" s="450"/>
      <c r="AW28" s="451"/>
      <c r="AX28" s="452"/>
      <c r="AY28" s="453"/>
      <c r="AZ28" s="449">
        <v>0</v>
      </c>
      <c r="BA28" s="450"/>
      <c r="BB28" s="451"/>
      <c r="BC28" s="452"/>
      <c r="BD28" s="453"/>
      <c r="BE28" s="449">
        <v>0</v>
      </c>
      <c r="BF28" s="450"/>
      <c r="BG28" s="451"/>
      <c r="BH28" s="452"/>
      <c r="BI28" s="453"/>
      <c r="BJ28" s="449">
        <v>0</v>
      </c>
      <c r="BK28" s="450"/>
      <c r="BL28" s="451"/>
      <c r="BM28" s="452"/>
      <c r="BN28" s="453"/>
      <c r="BO28" s="449">
        <v>0</v>
      </c>
      <c r="BP28" s="450"/>
      <c r="BQ28" s="451"/>
      <c r="BR28" s="452"/>
      <c r="BS28" s="453"/>
      <c r="BT28" s="449">
        <f>SUM(L28:BO28)</f>
        <v>0</v>
      </c>
      <c r="BU28" s="450"/>
      <c r="BV28" s="451"/>
      <c r="BW28" s="452"/>
      <c r="BX28" s="453"/>
      <c r="BY28" s="449">
        <v>45631200</v>
      </c>
      <c r="BZ28" s="450"/>
      <c r="CA28" s="451"/>
      <c r="CB28" s="452"/>
      <c r="CC28" s="453"/>
      <c r="CD28" s="449">
        <v>0</v>
      </c>
      <c r="CE28" s="450"/>
      <c r="CF28" s="451"/>
      <c r="CG28" s="452"/>
      <c r="CH28" s="453"/>
      <c r="CI28" s="449">
        <v>0</v>
      </c>
      <c r="CJ28" s="450"/>
      <c r="CK28" s="451"/>
      <c r="CL28" s="452"/>
      <c r="CM28" s="453"/>
      <c r="CN28" s="449">
        <v>0</v>
      </c>
      <c r="CO28" s="450"/>
      <c r="CP28" s="451"/>
      <c r="CQ28" s="452"/>
      <c r="CR28" s="453"/>
      <c r="CS28" s="449">
        <v>0</v>
      </c>
      <c r="CT28" s="450"/>
      <c r="CU28" s="451"/>
      <c r="CV28" s="452"/>
      <c r="CW28" s="453"/>
      <c r="CX28" s="449">
        <v>0</v>
      </c>
      <c r="CY28" s="450"/>
      <c r="CZ28" s="451"/>
      <c r="DA28" s="452"/>
      <c r="DB28" s="453"/>
      <c r="DC28" s="449">
        <v>45631200</v>
      </c>
      <c r="DD28" s="450"/>
      <c r="DE28" s="451"/>
      <c r="DF28" s="452"/>
      <c r="DG28" s="453"/>
      <c r="DH28" s="449">
        <v>0</v>
      </c>
      <c r="DI28" s="450"/>
      <c r="DJ28" s="451"/>
      <c r="DK28" s="452"/>
      <c r="DL28" s="453"/>
      <c r="DM28" s="449">
        <v>0</v>
      </c>
      <c r="DN28" s="450"/>
      <c r="DO28" s="451"/>
      <c r="DP28" s="452"/>
      <c r="DQ28" s="453"/>
      <c r="DR28" s="449">
        <v>0</v>
      </c>
      <c r="DS28" s="450"/>
      <c r="DT28" s="451"/>
      <c r="DU28" s="452"/>
      <c r="DV28" s="453"/>
      <c r="DW28" s="449">
        <v>0</v>
      </c>
      <c r="DX28" s="450"/>
      <c r="DY28" s="451"/>
      <c r="DZ28" s="452"/>
      <c r="EA28" s="453"/>
      <c r="EB28" s="449">
        <v>0</v>
      </c>
      <c r="EC28" s="450"/>
      <c r="ED28" s="451"/>
      <c r="EE28" s="452"/>
      <c r="EF28" s="453"/>
      <c r="EG28" s="449">
        <v>0</v>
      </c>
      <c r="EH28" s="450"/>
      <c r="EI28" s="451"/>
      <c r="EJ28" s="452"/>
      <c r="EK28" s="453"/>
      <c r="EL28" s="449">
        <f>SUM(CD28:DW28)</f>
        <v>45631200</v>
      </c>
      <c r="EM28" s="450"/>
      <c r="EN28" s="451"/>
      <c r="EO28" s="13"/>
    </row>
    <row r="29" spans="4:148" x14ac:dyDescent="0.2">
      <c r="D29" s="13" t="s">
        <v>349</v>
      </c>
      <c r="E29" s="198"/>
      <c r="F29" s="198"/>
      <c r="G29" s="451">
        <v>0</v>
      </c>
      <c r="H29" s="455"/>
      <c r="I29" s="451"/>
      <c r="J29" s="452"/>
      <c r="K29" s="452"/>
      <c r="L29" s="451">
        <v>0</v>
      </c>
      <c r="M29" s="455"/>
      <c r="N29" s="451"/>
      <c r="O29" s="452"/>
      <c r="P29" s="452"/>
      <c r="Q29" s="451">
        <v>0</v>
      </c>
      <c r="R29" s="455"/>
      <c r="S29" s="451"/>
      <c r="T29" s="452"/>
      <c r="U29" s="452"/>
      <c r="V29" s="451">
        <v>0</v>
      </c>
      <c r="W29" s="455"/>
      <c r="X29" s="451"/>
      <c r="Y29" s="452"/>
      <c r="Z29" s="452"/>
      <c r="AA29" s="451">
        <v>0</v>
      </c>
      <c r="AB29" s="455"/>
      <c r="AC29" s="451"/>
      <c r="AD29" s="452"/>
      <c r="AE29" s="452"/>
      <c r="AF29" s="451">
        <v>0</v>
      </c>
      <c r="AG29" s="455"/>
      <c r="AH29" s="451"/>
      <c r="AI29" s="452"/>
      <c r="AJ29" s="452"/>
      <c r="AK29" s="451">
        <v>0</v>
      </c>
      <c r="AL29" s="455"/>
      <c r="AM29" s="451"/>
      <c r="AN29" s="452"/>
      <c r="AO29" s="452"/>
      <c r="AP29" s="451">
        <v>0</v>
      </c>
      <c r="AQ29" s="455"/>
      <c r="AR29" s="451"/>
      <c r="AS29" s="452"/>
      <c r="AT29" s="452"/>
      <c r="AU29" s="451">
        <v>0</v>
      </c>
      <c r="AV29" s="455"/>
      <c r="AW29" s="451"/>
      <c r="AX29" s="452"/>
      <c r="AY29" s="452"/>
      <c r="AZ29" s="451">
        <v>0</v>
      </c>
      <c r="BA29" s="455"/>
      <c r="BB29" s="451"/>
      <c r="BC29" s="452"/>
      <c r="BD29" s="452"/>
      <c r="BE29" s="451">
        <v>0</v>
      </c>
      <c r="BF29" s="455"/>
      <c r="BG29" s="451"/>
      <c r="BH29" s="452"/>
      <c r="BI29" s="452"/>
      <c r="BJ29" s="451">
        <v>0</v>
      </c>
      <c r="BK29" s="455"/>
      <c r="BL29" s="451"/>
      <c r="BM29" s="452"/>
      <c r="BN29" s="452"/>
      <c r="BO29" s="451">
        <v>0</v>
      </c>
      <c r="BP29" s="455"/>
      <c r="BQ29" s="451"/>
      <c r="BR29" s="452"/>
      <c r="BS29" s="452"/>
      <c r="BT29" s="451">
        <f>SUM(L29:BO29)</f>
        <v>0</v>
      </c>
      <c r="BU29" s="455"/>
      <c r="BV29" s="451"/>
      <c r="BW29" s="452"/>
      <c r="BX29" s="452"/>
      <c r="BY29" s="451">
        <v>0</v>
      </c>
      <c r="BZ29" s="455"/>
      <c r="CA29" s="451"/>
      <c r="CB29" s="452"/>
      <c r="CC29" s="452"/>
      <c r="CD29" s="451">
        <v>0</v>
      </c>
      <c r="CE29" s="455"/>
      <c r="CF29" s="451"/>
      <c r="CG29" s="452"/>
      <c r="CH29" s="452"/>
      <c r="CI29" s="451">
        <v>0</v>
      </c>
      <c r="CJ29" s="455"/>
      <c r="CK29" s="451"/>
      <c r="CL29" s="452"/>
      <c r="CM29" s="452"/>
      <c r="CN29" s="451">
        <v>0</v>
      </c>
      <c r="CO29" s="455"/>
      <c r="CP29" s="451"/>
      <c r="CQ29" s="452"/>
      <c r="CR29" s="452"/>
      <c r="CS29" s="451">
        <v>0</v>
      </c>
      <c r="CT29" s="455"/>
      <c r="CU29" s="451"/>
      <c r="CV29" s="452"/>
      <c r="CW29" s="452"/>
      <c r="CX29" s="451">
        <v>0</v>
      </c>
      <c r="CY29" s="455"/>
      <c r="CZ29" s="451"/>
      <c r="DA29" s="452"/>
      <c r="DB29" s="452"/>
      <c r="DC29" s="451">
        <v>0</v>
      </c>
      <c r="DD29" s="455"/>
      <c r="DE29" s="451"/>
      <c r="DF29" s="452"/>
      <c r="DG29" s="452"/>
      <c r="DH29" s="451">
        <v>0</v>
      </c>
      <c r="DI29" s="455"/>
      <c r="DJ29" s="451"/>
      <c r="DK29" s="452"/>
      <c r="DL29" s="452"/>
      <c r="DM29" s="451">
        <v>0</v>
      </c>
      <c r="DN29" s="455"/>
      <c r="DO29" s="451"/>
      <c r="DP29" s="452"/>
      <c r="DQ29" s="452"/>
      <c r="DR29" s="451">
        <v>0</v>
      </c>
      <c r="DS29" s="455"/>
      <c r="DT29" s="451"/>
      <c r="DU29" s="452"/>
      <c r="DV29" s="452"/>
      <c r="DW29" s="451">
        <v>0</v>
      </c>
      <c r="DX29" s="455"/>
      <c r="DY29" s="451"/>
      <c r="DZ29" s="452"/>
      <c r="EA29" s="452"/>
      <c r="EB29" s="451">
        <v>0</v>
      </c>
      <c r="EC29" s="455"/>
      <c r="ED29" s="451"/>
      <c r="EE29" s="452"/>
      <c r="EF29" s="452"/>
      <c r="EG29" s="451">
        <v>0</v>
      </c>
      <c r="EH29" s="455"/>
      <c r="EI29" s="451"/>
      <c r="EJ29" s="452"/>
      <c r="EK29" s="452"/>
      <c r="EL29" s="451">
        <f>SUM(CD29:DW29)</f>
        <v>0</v>
      </c>
      <c r="EM29" s="455"/>
      <c r="EN29" s="451"/>
      <c r="EO29" s="13"/>
    </row>
    <row r="30" spans="4:148" x14ac:dyDescent="0.2">
      <c r="D30" s="13" t="s">
        <v>357</v>
      </c>
      <c r="E30" s="198"/>
      <c r="F30" s="385"/>
      <c r="G30" s="463">
        <v>0</v>
      </c>
      <c r="H30" s="464"/>
      <c r="I30" s="451"/>
      <c r="J30" s="452"/>
      <c r="K30" s="465"/>
      <c r="L30" s="463">
        <v>0</v>
      </c>
      <c r="M30" s="464"/>
      <c r="N30" s="451"/>
      <c r="O30" s="452"/>
      <c r="P30" s="465"/>
      <c r="Q30" s="463">
        <v>0</v>
      </c>
      <c r="R30" s="464"/>
      <c r="S30" s="451"/>
      <c r="T30" s="452"/>
      <c r="U30" s="465"/>
      <c r="V30" s="463">
        <v>0</v>
      </c>
      <c r="W30" s="464"/>
      <c r="X30" s="451"/>
      <c r="Y30" s="452"/>
      <c r="Z30" s="465"/>
      <c r="AA30" s="463">
        <v>0</v>
      </c>
      <c r="AB30" s="464"/>
      <c r="AC30" s="451"/>
      <c r="AD30" s="452"/>
      <c r="AE30" s="465"/>
      <c r="AF30" s="463">
        <v>0</v>
      </c>
      <c r="AG30" s="464"/>
      <c r="AH30" s="451"/>
      <c r="AI30" s="452"/>
      <c r="AJ30" s="465"/>
      <c r="AK30" s="463">
        <v>0</v>
      </c>
      <c r="AL30" s="464"/>
      <c r="AM30" s="451"/>
      <c r="AN30" s="452"/>
      <c r="AO30" s="465"/>
      <c r="AP30" s="463">
        <v>0</v>
      </c>
      <c r="AQ30" s="464"/>
      <c r="AR30" s="451"/>
      <c r="AS30" s="452"/>
      <c r="AT30" s="465"/>
      <c r="AU30" s="463">
        <v>0</v>
      </c>
      <c r="AV30" s="464"/>
      <c r="AW30" s="451"/>
      <c r="AX30" s="452"/>
      <c r="AY30" s="465"/>
      <c r="AZ30" s="463">
        <v>0</v>
      </c>
      <c r="BA30" s="464"/>
      <c r="BB30" s="451"/>
      <c r="BC30" s="452"/>
      <c r="BD30" s="465"/>
      <c r="BE30" s="463">
        <v>0</v>
      </c>
      <c r="BF30" s="464"/>
      <c r="BG30" s="451"/>
      <c r="BH30" s="452"/>
      <c r="BI30" s="465"/>
      <c r="BJ30" s="463">
        <v>0</v>
      </c>
      <c r="BK30" s="464"/>
      <c r="BL30" s="451"/>
      <c r="BM30" s="452"/>
      <c r="BN30" s="465"/>
      <c r="BO30" s="463">
        <v>0</v>
      </c>
      <c r="BP30" s="464"/>
      <c r="BQ30" s="451"/>
      <c r="BR30" s="452"/>
      <c r="BS30" s="465"/>
      <c r="BT30" s="463">
        <f>SUM(L30:BO30)</f>
        <v>0</v>
      </c>
      <c r="BU30" s="464"/>
      <c r="BV30" s="451"/>
      <c r="BW30" s="452"/>
      <c r="BX30" s="465"/>
      <c r="BY30" s="463">
        <v>0</v>
      </c>
      <c r="BZ30" s="464"/>
      <c r="CA30" s="451"/>
      <c r="CB30" s="452"/>
      <c r="CC30" s="465"/>
      <c r="CD30" s="463">
        <v>0</v>
      </c>
      <c r="CE30" s="464"/>
      <c r="CF30" s="451"/>
      <c r="CG30" s="452"/>
      <c r="CH30" s="465"/>
      <c r="CI30" s="463">
        <v>0</v>
      </c>
      <c r="CJ30" s="464"/>
      <c r="CK30" s="451"/>
      <c r="CL30" s="452"/>
      <c r="CM30" s="465"/>
      <c r="CN30" s="463">
        <v>0</v>
      </c>
      <c r="CO30" s="464"/>
      <c r="CP30" s="451"/>
      <c r="CQ30" s="452"/>
      <c r="CR30" s="465"/>
      <c r="CS30" s="463">
        <v>0</v>
      </c>
      <c r="CT30" s="464"/>
      <c r="CU30" s="451"/>
      <c r="CV30" s="452"/>
      <c r="CW30" s="465"/>
      <c r="CX30" s="463">
        <v>0</v>
      </c>
      <c r="CY30" s="464"/>
      <c r="CZ30" s="451"/>
      <c r="DA30" s="452"/>
      <c r="DB30" s="465"/>
      <c r="DC30" s="463">
        <v>0</v>
      </c>
      <c r="DD30" s="464"/>
      <c r="DE30" s="451"/>
      <c r="DF30" s="452"/>
      <c r="DG30" s="465"/>
      <c r="DH30" s="463">
        <v>0</v>
      </c>
      <c r="DI30" s="464"/>
      <c r="DJ30" s="451"/>
      <c r="DK30" s="452"/>
      <c r="DL30" s="465"/>
      <c r="DM30" s="463">
        <v>0</v>
      </c>
      <c r="DN30" s="464"/>
      <c r="DO30" s="451"/>
      <c r="DP30" s="452"/>
      <c r="DQ30" s="465"/>
      <c r="DR30" s="463">
        <v>0</v>
      </c>
      <c r="DS30" s="464"/>
      <c r="DT30" s="451"/>
      <c r="DU30" s="452"/>
      <c r="DV30" s="465"/>
      <c r="DW30" s="463">
        <v>0</v>
      </c>
      <c r="DX30" s="464"/>
      <c r="DY30" s="451"/>
      <c r="DZ30" s="452"/>
      <c r="EA30" s="465"/>
      <c r="EB30" s="463">
        <v>0</v>
      </c>
      <c r="EC30" s="464"/>
      <c r="ED30" s="451"/>
      <c r="EE30" s="452"/>
      <c r="EF30" s="465"/>
      <c r="EG30" s="463">
        <v>0</v>
      </c>
      <c r="EH30" s="464"/>
      <c r="EI30" s="451"/>
      <c r="EJ30" s="452"/>
      <c r="EK30" s="465"/>
      <c r="EL30" s="463">
        <f>SUM(CD30:DW30)</f>
        <v>0</v>
      </c>
      <c r="EM30" s="464"/>
      <c r="EN30" s="451"/>
      <c r="EO30" s="13"/>
    </row>
    <row r="31" spans="4:148" x14ac:dyDescent="0.2">
      <c r="D31" s="13"/>
      <c r="E31" s="198"/>
      <c r="G31" s="451"/>
      <c r="H31" s="451"/>
      <c r="I31" s="451"/>
      <c r="J31" s="452"/>
      <c r="K31" s="451"/>
      <c r="L31" s="451"/>
      <c r="M31" s="451"/>
      <c r="N31" s="451"/>
      <c r="O31" s="452"/>
      <c r="P31" s="451"/>
      <c r="Q31" s="451"/>
      <c r="R31" s="451"/>
      <c r="S31" s="451"/>
      <c r="T31" s="452"/>
      <c r="U31" s="451"/>
      <c r="V31" s="451"/>
      <c r="W31" s="451"/>
      <c r="X31" s="451"/>
      <c r="Y31" s="452"/>
      <c r="Z31" s="451"/>
      <c r="AA31" s="451"/>
      <c r="AB31" s="451"/>
      <c r="AC31" s="451"/>
      <c r="AD31" s="452"/>
      <c r="AE31" s="451"/>
      <c r="AF31" s="451"/>
      <c r="AG31" s="451"/>
      <c r="AH31" s="451"/>
      <c r="AI31" s="452"/>
      <c r="AJ31" s="451"/>
      <c r="AK31" s="451"/>
      <c r="AL31" s="451"/>
      <c r="AM31" s="451"/>
      <c r="AN31" s="452"/>
      <c r="AO31" s="451"/>
      <c r="AP31" s="451"/>
      <c r="AQ31" s="451"/>
      <c r="AR31" s="451"/>
      <c r="AS31" s="452"/>
      <c r="AT31" s="451"/>
      <c r="AU31" s="451"/>
      <c r="AV31" s="451"/>
      <c r="AW31" s="451"/>
      <c r="AX31" s="452"/>
      <c r="AY31" s="451"/>
      <c r="AZ31" s="451"/>
      <c r="BA31" s="451"/>
      <c r="BB31" s="451"/>
      <c r="BC31" s="452"/>
      <c r="BD31" s="451"/>
      <c r="BE31" s="451"/>
      <c r="BF31" s="451"/>
      <c r="BG31" s="451"/>
      <c r="BH31" s="452"/>
      <c r="BI31" s="451"/>
      <c r="BJ31" s="451"/>
      <c r="BK31" s="451"/>
      <c r="BL31" s="451"/>
      <c r="BM31" s="452"/>
      <c r="BN31" s="451"/>
      <c r="BO31" s="451"/>
      <c r="BP31" s="451"/>
      <c r="BQ31" s="451"/>
      <c r="BR31" s="452"/>
      <c r="BS31" s="451"/>
      <c r="BT31" s="451"/>
      <c r="BU31" s="451"/>
      <c r="BV31" s="451"/>
      <c r="BW31" s="452"/>
      <c r="BX31" s="451"/>
      <c r="BY31" s="451"/>
      <c r="BZ31" s="451"/>
      <c r="CA31" s="451"/>
      <c r="CB31" s="452"/>
      <c r="CC31" s="451"/>
      <c r="CD31" s="451"/>
      <c r="CE31" s="451"/>
      <c r="CF31" s="451"/>
      <c r="CG31" s="452"/>
      <c r="CH31" s="451"/>
      <c r="CI31" s="451"/>
      <c r="CJ31" s="451"/>
      <c r="CK31" s="451"/>
      <c r="CL31" s="452"/>
      <c r="CM31" s="451"/>
      <c r="CN31" s="451"/>
      <c r="CO31" s="451"/>
      <c r="CP31" s="451"/>
      <c r="CQ31" s="452"/>
      <c r="CR31" s="451"/>
      <c r="CS31" s="451"/>
      <c r="CT31" s="451"/>
      <c r="CU31" s="451"/>
      <c r="CV31" s="452"/>
      <c r="CW31" s="451"/>
      <c r="CX31" s="451"/>
      <c r="CY31" s="451"/>
      <c r="CZ31" s="451"/>
      <c r="DA31" s="452"/>
      <c r="DB31" s="451"/>
      <c r="DC31" s="451"/>
      <c r="DD31" s="451"/>
      <c r="DE31" s="451"/>
      <c r="DF31" s="452"/>
      <c r="DG31" s="451"/>
      <c r="DH31" s="451"/>
      <c r="DI31" s="451"/>
      <c r="DJ31" s="451"/>
      <c r="DK31" s="452"/>
      <c r="DL31" s="451"/>
      <c r="DM31" s="451"/>
      <c r="DN31" s="451"/>
      <c r="DO31" s="451"/>
      <c r="DP31" s="452"/>
      <c r="DQ31" s="451"/>
      <c r="DR31" s="451"/>
      <c r="DS31" s="451"/>
      <c r="DT31" s="451"/>
      <c r="DU31" s="452"/>
      <c r="DV31" s="451"/>
      <c r="DW31" s="451"/>
      <c r="DX31" s="451"/>
      <c r="DY31" s="451"/>
      <c r="DZ31" s="452"/>
      <c r="EA31" s="451"/>
      <c r="EB31" s="451"/>
      <c r="EC31" s="451"/>
      <c r="ED31" s="451"/>
      <c r="EE31" s="452"/>
      <c r="EF31" s="451"/>
      <c r="EG31" s="451"/>
      <c r="EH31" s="451"/>
      <c r="EI31" s="451"/>
      <c r="EJ31" s="452"/>
      <c r="EK31" s="451"/>
      <c r="EL31" s="451"/>
      <c r="EM31" s="451"/>
      <c r="EN31" s="451"/>
      <c r="EO31" s="13"/>
    </row>
    <row r="32" spans="4:148" hidden="1" x14ac:dyDescent="0.2">
      <c r="D32" s="13" t="s">
        <v>452</v>
      </c>
      <c r="E32" s="198"/>
      <c r="G32" s="451">
        <v>0</v>
      </c>
      <c r="H32" s="451"/>
      <c r="I32" s="451"/>
      <c r="J32" s="452"/>
      <c r="K32" s="451"/>
      <c r="L32" s="451">
        <f>L33+L35</f>
        <v>0</v>
      </c>
      <c r="M32" s="451"/>
      <c r="N32" s="451"/>
      <c r="O32" s="452"/>
      <c r="P32" s="451"/>
      <c r="Q32" s="451">
        <f>Q33+Q35</f>
        <v>0</v>
      </c>
      <c r="R32" s="451"/>
      <c r="S32" s="451"/>
      <c r="T32" s="452"/>
      <c r="U32" s="451"/>
      <c r="V32" s="451">
        <f>V33+V35</f>
        <v>0</v>
      </c>
      <c r="W32" s="451"/>
      <c r="X32" s="451"/>
      <c r="Y32" s="452"/>
      <c r="Z32" s="451"/>
      <c r="AA32" s="451">
        <f>AA33+AA35</f>
        <v>0</v>
      </c>
      <c r="AB32" s="451"/>
      <c r="AC32" s="451"/>
      <c r="AD32" s="452"/>
      <c r="AE32" s="451"/>
      <c r="AF32" s="451">
        <f>AF33+AF35</f>
        <v>0</v>
      </c>
      <c r="AG32" s="451"/>
      <c r="AH32" s="451"/>
      <c r="AI32" s="452"/>
      <c r="AJ32" s="451"/>
      <c r="AK32" s="451">
        <f>AK33+AK35</f>
        <v>0</v>
      </c>
      <c r="AL32" s="451"/>
      <c r="AM32" s="451"/>
      <c r="AN32" s="452"/>
      <c r="AO32" s="451"/>
      <c r="AP32" s="451">
        <f>AP33+AP35</f>
        <v>0</v>
      </c>
      <c r="AQ32" s="451"/>
      <c r="AR32" s="451"/>
      <c r="AS32" s="452"/>
      <c r="AT32" s="451"/>
      <c r="AU32" s="451">
        <f>AU33+AU35</f>
        <v>0</v>
      </c>
      <c r="AV32" s="451"/>
      <c r="AW32" s="451"/>
      <c r="AX32" s="452"/>
      <c r="AY32" s="451"/>
      <c r="AZ32" s="451">
        <f>AZ33+AZ35</f>
        <v>0</v>
      </c>
      <c r="BA32" s="451"/>
      <c r="BB32" s="451"/>
      <c r="BC32" s="452"/>
      <c r="BD32" s="451"/>
      <c r="BE32" s="451">
        <f>BE33+BE35</f>
        <v>0</v>
      </c>
      <c r="BF32" s="451"/>
      <c r="BG32" s="451"/>
      <c r="BH32" s="452"/>
      <c r="BI32" s="451"/>
      <c r="BJ32" s="451">
        <f>BJ33+BJ35</f>
        <v>0</v>
      </c>
      <c r="BK32" s="451"/>
      <c r="BL32" s="451"/>
      <c r="BM32" s="452"/>
      <c r="BN32" s="451"/>
      <c r="BO32" s="451">
        <f>BO33+BO35</f>
        <v>0</v>
      </c>
      <c r="BP32" s="451"/>
      <c r="BQ32" s="451"/>
      <c r="BR32" s="452"/>
      <c r="BS32" s="451"/>
      <c r="BT32" s="451">
        <f>SUM(BT33:BT35)</f>
        <v>0</v>
      </c>
      <c r="BU32" s="451"/>
      <c r="BV32" s="451"/>
      <c r="BW32" s="452"/>
      <c r="BX32" s="451"/>
      <c r="BY32" s="451">
        <f>SUM(BY33:BY35)</f>
        <v>0</v>
      </c>
      <c r="BZ32" s="451"/>
      <c r="CA32" s="451"/>
      <c r="CB32" s="452"/>
      <c r="CC32" s="451"/>
      <c r="CD32" s="451">
        <f>CD33+CD35</f>
        <v>0</v>
      </c>
      <c r="CE32" s="451"/>
      <c r="CF32" s="451"/>
      <c r="CG32" s="452"/>
      <c r="CH32" s="451"/>
      <c r="CI32" s="451">
        <f>CI33+CI35</f>
        <v>0</v>
      </c>
      <c r="CJ32" s="451"/>
      <c r="CK32" s="451"/>
      <c r="CL32" s="452"/>
      <c r="CM32" s="451"/>
      <c r="CN32" s="451">
        <f>CN33+CN35</f>
        <v>0</v>
      </c>
      <c r="CO32" s="451"/>
      <c r="CP32" s="451"/>
      <c r="CQ32" s="452"/>
      <c r="CR32" s="451"/>
      <c r="CS32" s="451">
        <f>CS33+CS35</f>
        <v>0</v>
      </c>
      <c r="CT32" s="451"/>
      <c r="CU32" s="451"/>
      <c r="CV32" s="452"/>
      <c r="CW32" s="451"/>
      <c r="CX32" s="451">
        <f>CX33+CX35</f>
        <v>0</v>
      </c>
      <c r="CY32" s="451"/>
      <c r="CZ32" s="451"/>
      <c r="DA32" s="452"/>
      <c r="DB32" s="451"/>
      <c r="DC32" s="451">
        <f>DC33+DC35</f>
        <v>0</v>
      </c>
      <c r="DD32" s="451"/>
      <c r="DE32" s="451"/>
      <c r="DF32" s="452"/>
      <c r="DG32" s="451"/>
      <c r="DH32" s="451">
        <f>DH33+DH35</f>
        <v>0</v>
      </c>
      <c r="DI32" s="451"/>
      <c r="DJ32" s="451"/>
      <c r="DK32" s="452"/>
      <c r="DL32" s="451"/>
      <c r="DM32" s="451">
        <f>DM33+DM35</f>
        <v>0</v>
      </c>
      <c r="DN32" s="451"/>
      <c r="DO32" s="451"/>
      <c r="DP32" s="452"/>
      <c r="DQ32" s="451"/>
      <c r="DR32" s="451">
        <f>DR33+DR35</f>
        <v>0</v>
      </c>
      <c r="DS32" s="451"/>
      <c r="DT32" s="451"/>
      <c r="DU32" s="452"/>
      <c r="DV32" s="451"/>
      <c r="DW32" s="451">
        <f>DW33+DW35</f>
        <v>0</v>
      </c>
      <c r="DX32" s="451"/>
      <c r="DY32" s="451"/>
      <c r="DZ32" s="452"/>
      <c r="EA32" s="451"/>
      <c r="EB32" s="451">
        <f>EB33+EB35</f>
        <v>0</v>
      </c>
      <c r="EC32" s="451"/>
      <c r="ED32" s="451"/>
      <c r="EE32" s="452"/>
      <c r="EF32" s="451"/>
      <c r="EG32" s="451">
        <f>EG33+EG35</f>
        <v>0</v>
      </c>
      <c r="EH32" s="451"/>
      <c r="EI32" s="451"/>
      <c r="EJ32" s="452"/>
      <c r="EK32" s="451"/>
      <c r="EL32" s="451">
        <f>SUM(EL33:EL35)</f>
        <v>0</v>
      </c>
      <c r="EM32" s="451"/>
      <c r="EN32" s="451"/>
      <c r="EO32" s="13"/>
    </row>
    <row r="33" spans="4:145" hidden="1" x14ac:dyDescent="0.2">
      <c r="D33" s="13" t="s">
        <v>347</v>
      </c>
      <c r="E33" s="198"/>
      <c r="F33" s="374"/>
      <c r="G33" s="449">
        <v>0</v>
      </c>
      <c r="H33" s="450"/>
      <c r="I33" s="451"/>
      <c r="J33" s="452"/>
      <c r="K33" s="453"/>
      <c r="L33" s="449">
        <v>0</v>
      </c>
      <c r="M33" s="450"/>
      <c r="N33" s="451"/>
      <c r="O33" s="452"/>
      <c r="P33" s="453"/>
      <c r="Q33" s="449">
        <v>0</v>
      </c>
      <c r="R33" s="450"/>
      <c r="S33" s="451"/>
      <c r="T33" s="452"/>
      <c r="U33" s="453"/>
      <c r="V33" s="449">
        <v>0</v>
      </c>
      <c r="W33" s="450"/>
      <c r="X33" s="451"/>
      <c r="Y33" s="452"/>
      <c r="Z33" s="453"/>
      <c r="AA33" s="449">
        <v>0</v>
      </c>
      <c r="AB33" s="450"/>
      <c r="AC33" s="451"/>
      <c r="AD33" s="452"/>
      <c r="AE33" s="453"/>
      <c r="AF33" s="449">
        <v>0</v>
      </c>
      <c r="AG33" s="450"/>
      <c r="AH33" s="451"/>
      <c r="AI33" s="452"/>
      <c r="AJ33" s="453"/>
      <c r="AK33" s="449">
        <v>0</v>
      </c>
      <c r="AL33" s="450"/>
      <c r="AM33" s="451"/>
      <c r="AN33" s="452"/>
      <c r="AO33" s="453"/>
      <c r="AP33" s="449">
        <v>0</v>
      </c>
      <c r="AQ33" s="450"/>
      <c r="AR33" s="451"/>
      <c r="AS33" s="452"/>
      <c r="AT33" s="453"/>
      <c r="AU33" s="449">
        <v>0</v>
      </c>
      <c r="AV33" s="450"/>
      <c r="AW33" s="451"/>
      <c r="AX33" s="452"/>
      <c r="AY33" s="453"/>
      <c r="AZ33" s="449">
        <v>0</v>
      </c>
      <c r="BA33" s="450"/>
      <c r="BB33" s="451"/>
      <c r="BC33" s="452"/>
      <c r="BD33" s="453"/>
      <c r="BE33" s="449">
        <v>0</v>
      </c>
      <c r="BF33" s="450"/>
      <c r="BG33" s="451"/>
      <c r="BH33" s="452"/>
      <c r="BI33" s="453"/>
      <c r="BJ33" s="449">
        <v>0</v>
      </c>
      <c r="BK33" s="450"/>
      <c r="BL33" s="451"/>
      <c r="BM33" s="452"/>
      <c r="BN33" s="453"/>
      <c r="BO33" s="449">
        <v>0</v>
      </c>
      <c r="BP33" s="450"/>
      <c r="BQ33" s="451"/>
      <c r="BR33" s="452"/>
      <c r="BS33" s="453"/>
      <c r="BT33" s="449">
        <f>SUM(L33:BO33)</f>
        <v>0</v>
      </c>
      <c r="BU33" s="450"/>
      <c r="BV33" s="451"/>
      <c r="BW33" s="452"/>
      <c r="BX33" s="453"/>
      <c r="BY33" s="449">
        <v>0</v>
      </c>
      <c r="BZ33" s="450"/>
      <c r="CA33" s="451"/>
      <c r="CB33" s="452"/>
      <c r="CC33" s="453"/>
      <c r="CD33" s="449">
        <v>0</v>
      </c>
      <c r="CE33" s="450"/>
      <c r="CF33" s="451"/>
      <c r="CG33" s="452"/>
      <c r="CH33" s="453"/>
      <c r="CI33" s="449">
        <v>0</v>
      </c>
      <c r="CJ33" s="450"/>
      <c r="CK33" s="451"/>
      <c r="CL33" s="452"/>
      <c r="CM33" s="453"/>
      <c r="CN33" s="449">
        <v>0</v>
      </c>
      <c r="CO33" s="450"/>
      <c r="CP33" s="451"/>
      <c r="CQ33" s="452"/>
      <c r="CR33" s="453"/>
      <c r="CS33" s="449">
        <v>0</v>
      </c>
      <c r="CT33" s="450"/>
      <c r="CU33" s="451"/>
      <c r="CV33" s="452"/>
      <c r="CW33" s="453"/>
      <c r="CX33" s="449">
        <v>0</v>
      </c>
      <c r="CY33" s="450"/>
      <c r="CZ33" s="451"/>
      <c r="DA33" s="452"/>
      <c r="DB33" s="453"/>
      <c r="DC33" s="449">
        <v>0</v>
      </c>
      <c r="DD33" s="450"/>
      <c r="DE33" s="451"/>
      <c r="DF33" s="452"/>
      <c r="DG33" s="453"/>
      <c r="DH33" s="449">
        <v>0</v>
      </c>
      <c r="DI33" s="450"/>
      <c r="DJ33" s="451"/>
      <c r="DK33" s="452"/>
      <c r="DL33" s="453"/>
      <c r="DM33" s="449">
        <v>0</v>
      </c>
      <c r="DN33" s="450"/>
      <c r="DO33" s="451"/>
      <c r="DP33" s="452"/>
      <c r="DQ33" s="453"/>
      <c r="DR33" s="449">
        <v>0</v>
      </c>
      <c r="DS33" s="450"/>
      <c r="DT33" s="451"/>
      <c r="DU33" s="452"/>
      <c r="DV33" s="453"/>
      <c r="DW33" s="449">
        <v>0</v>
      </c>
      <c r="DX33" s="450"/>
      <c r="DY33" s="451"/>
      <c r="DZ33" s="452"/>
      <c r="EA33" s="453"/>
      <c r="EB33" s="449">
        <v>0</v>
      </c>
      <c r="EC33" s="450"/>
      <c r="ED33" s="451"/>
      <c r="EE33" s="452"/>
      <c r="EF33" s="453"/>
      <c r="EG33" s="449">
        <v>0</v>
      </c>
      <c r="EH33" s="450"/>
      <c r="EI33" s="451"/>
      <c r="EJ33" s="452"/>
      <c r="EK33" s="453"/>
      <c r="EL33" s="449">
        <f>SUM(CD33:EG33)</f>
        <v>0</v>
      </c>
      <c r="EM33" s="450"/>
      <c r="EN33" s="451"/>
      <c r="EO33" s="13"/>
    </row>
    <row r="34" spans="4:145" hidden="1" x14ac:dyDescent="0.2">
      <c r="D34" s="13" t="s">
        <v>349</v>
      </c>
      <c r="E34" s="198"/>
      <c r="F34" s="198"/>
      <c r="G34" s="451">
        <v>0</v>
      </c>
      <c r="H34" s="455"/>
      <c r="I34" s="451"/>
      <c r="J34" s="452"/>
      <c r="K34" s="452"/>
      <c r="L34" s="451">
        <v>0</v>
      </c>
      <c r="M34" s="455"/>
      <c r="N34" s="451"/>
      <c r="O34" s="452"/>
      <c r="P34" s="452"/>
      <c r="Q34" s="451">
        <v>0</v>
      </c>
      <c r="R34" s="455"/>
      <c r="S34" s="451"/>
      <c r="T34" s="452"/>
      <c r="U34" s="452"/>
      <c r="V34" s="451">
        <v>0</v>
      </c>
      <c r="W34" s="455"/>
      <c r="X34" s="451"/>
      <c r="Y34" s="452"/>
      <c r="Z34" s="452"/>
      <c r="AA34" s="451">
        <v>0</v>
      </c>
      <c r="AB34" s="455"/>
      <c r="AC34" s="451"/>
      <c r="AD34" s="452"/>
      <c r="AE34" s="452"/>
      <c r="AF34" s="451">
        <v>0</v>
      </c>
      <c r="AG34" s="455"/>
      <c r="AH34" s="451"/>
      <c r="AI34" s="452"/>
      <c r="AJ34" s="452"/>
      <c r="AK34" s="451">
        <v>0</v>
      </c>
      <c r="AL34" s="455"/>
      <c r="AM34" s="451"/>
      <c r="AN34" s="452"/>
      <c r="AO34" s="452"/>
      <c r="AP34" s="451">
        <v>0</v>
      </c>
      <c r="AQ34" s="455"/>
      <c r="AR34" s="451"/>
      <c r="AS34" s="452"/>
      <c r="AT34" s="452"/>
      <c r="AU34" s="451">
        <v>0</v>
      </c>
      <c r="AV34" s="455"/>
      <c r="AW34" s="451"/>
      <c r="AX34" s="452"/>
      <c r="AY34" s="452"/>
      <c r="AZ34" s="451">
        <v>0</v>
      </c>
      <c r="BA34" s="455"/>
      <c r="BB34" s="451"/>
      <c r="BC34" s="452"/>
      <c r="BD34" s="452"/>
      <c r="BE34" s="451">
        <v>0</v>
      </c>
      <c r="BF34" s="455"/>
      <c r="BG34" s="451"/>
      <c r="BH34" s="452"/>
      <c r="BI34" s="452"/>
      <c r="BJ34" s="451">
        <v>0</v>
      </c>
      <c r="BK34" s="455"/>
      <c r="BL34" s="451"/>
      <c r="BM34" s="452"/>
      <c r="BN34" s="452"/>
      <c r="BO34" s="451">
        <v>0</v>
      </c>
      <c r="BP34" s="455"/>
      <c r="BQ34" s="451"/>
      <c r="BR34" s="452"/>
      <c r="BS34" s="452"/>
      <c r="BT34" s="451">
        <f>SUM(L34:BO34)</f>
        <v>0</v>
      </c>
      <c r="BU34" s="455"/>
      <c r="BV34" s="451"/>
      <c r="BW34" s="452"/>
      <c r="BX34" s="452"/>
      <c r="BY34" s="451">
        <v>0</v>
      </c>
      <c r="BZ34" s="455"/>
      <c r="CA34" s="451"/>
      <c r="CB34" s="452"/>
      <c r="CC34" s="452"/>
      <c r="CD34" s="451">
        <v>0</v>
      </c>
      <c r="CE34" s="455"/>
      <c r="CF34" s="451"/>
      <c r="CG34" s="452"/>
      <c r="CH34" s="452"/>
      <c r="CI34" s="451">
        <v>0</v>
      </c>
      <c r="CJ34" s="455"/>
      <c r="CK34" s="451"/>
      <c r="CL34" s="452"/>
      <c r="CM34" s="452"/>
      <c r="CN34" s="451">
        <v>0</v>
      </c>
      <c r="CO34" s="455"/>
      <c r="CP34" s="451"/>
      <c r="CQ34" s="452"/>
      <c r="CR34" s="452"/>
      <c r="CS34" s="451">
        <v>0</v>
      </c>
      <c r="CT34" s="455"/>
      <c r="CU34" s="451"/>
      <c r="CV34" s="452"/>
      <c r="CW34" s="452"/>
      <c r="CX34" s="451">
        <v>0</v>
      </c>
      <c r="CY34" s="455"/>
      <c r="CZ34" s="451"/>
      <c r="DA34" s="452"/>
      <c r="DB34" s="452"/>
      <c r="DC34" s="451">
        <v>0</v>
      </c>
      <c r="DD34" s="455"/>
      <c r="DE34" s="451"/>
      <c r="DF34" s="452"/>
      <c r="DG34" s="452"/>
      <c r="DH34" s="451">
        <v>0</v>
      </c>
      <c r="DI34" s="455"/>
      <c r="DJ34" s="451"/>
      <c r="DK34" s="452"/>
      <c r="DL34" s="452"/>
      <c r="DM34" s="451">
        <v>0</v>
      </c>
      <c r="DN34" s="455"/>
      <c r="DO34" s="451"/>
      <c r="DP34" s="452"/>
      <c r="DQ34" s="452"/>
      <c r="DR34" s="451">
        <v>0</v>
      </c>
      <c r="DS34" s="455"/>
      <c r="DT34" s="451"/>
      <c r="DU34" s="452"/>
      <c r="DV34" s="452"/>
      <c r="DW34" s="451">
        <v>0</v>
      </c>
      <c r="DX34" s="455"/>
      <c r="DY34" s="451"/>
      <c r="DZ34" s="452"/>
      <c r="EA34" s="452"/>
      <c r="EB34" s="451">
        <v>0</v>
      </c>
      <c r="EC34" s="455"/>
      <c r="ED34" s="451"/>
      <c r="EE34" s="452"/>
      <c r="EF34" s="452"/>
      <c r="EG34" s="451">
        <v>0</v>
      </c>
      <c r="EH34" s="455"/>
      <c r="EI34" s="451"/>
      <c r="EJ34" s="452"/>
      <c r="EK34" s="452"/>
      <c r="EL34" s="451">
        <f>SUM(CD34:EG34)</f>
        <v>0</v>
      </c>
      <c r="EM34" s="455"/>
      <c r="EN34" s="451"/>
      <c r="EO34" s="13"/>
    </row>
    <row r="35" spans="4:145" hidden="1" x14ac:dyDescent="0.2">
      <c r="D35" s="13" t="s">
        <v>357</v>
      </c>
      <c r="E35" s="198"/>
      <c r="F35" s="385"/>
      <c r="G35" s="463">
        <v>0</v>
      </c>
      <c r="H35" s="464"/>
      <c r="I35" s="451"/>
      <c r="J35" s="452"/>
      <c r="K35" s="465"/>
      <c r="L35" s="463">
        <v>0</v>
      </c>
      <c r="M35" s="464"/>
      <c r="N35" s="451"/>
      <c r="O35" s="452"/>
      <c r="P35" s="465"/>
      <c r="Q35" s="463">
        <v>0</v>
      </c>
      <c r="R35" s="464"/>
      <c r="S35" s="451"/>
      <c r="T35" s="452"/>
      <c r="U35" s="465"/>
      <c r="V35" s="463">
        <v>0</v>
      </c>
      <c r="W35" s="464"/>
      <c r="X35" s="451"/>
      <c r="Y35" s="452"/>
      <c r="Z35" s="465"/>
      <c r="AA35" s="463">
        <v>0</v>
      </c>
      <c r="AB35" s="464"/>
      <c r="AC35" s="451"/>
      <c r="AD35" s="452"/>
      <c r="AE35" s="465"/>
      <c r="AF35" s="463">
        <v>0</v>
      </c>
      <c r="AG35" s="464"/>
      <c r="AH35" s="451"/>
      <c r="AI35" s="452"/>
      <c r="AJ35" s="465"/>
      <c r="AK35" s="463">
        <v>0</v>
      </c>
      <c r="AL35" s="464"/>
      <c r="AM35" s="451"/>
      <c r="AN35" s="452"/>
      <c r="AO35" s="465"/>
      <c r="AP35" s="463">
        <v>0</v>
      </c>
      <c r="AQ35" s="464"/>
      <c r="AR35" s="451"/>
      <c r="AS35" s="452"/>
      <c r="AT35" s="465"/>
      <c r="AU35" s="463">
        <v>0</v>
      </c>
      <c r="AV35" s="464"/>
      <c r="AW35" s="451"/>
      <c r="AX35" s="452"/>
      <c r="AY35" s="465"/>
      <c r="AZ35" s="463">
        <v>0</v>
      </c>
      <c r="BA35" s="464"/>
      <c r="BB35" s="451"/>
      <c r="BC35" s="452"/>
      <c r="BD35" s="465"/>
      <c r="BE35" s="463">
        <v>0</v>
      </c>
      <c r="BF35" s="464"/>
      <c r="BG35" s="451"/>
      <c r="BH35" s="452"/>
      <c r="BI35" s="465"/>
      <c r="BJ35" s="463">
        <v>0</v>
      </c>
      <c r="BK35" s="464"/>
      <c r="BL35" s="451"/>
      <c r="BM35" s="452"/>
      <c r="BN35" s="465"/>
      <c r="BO35" s="463">
        <v>0</v>
      </c>
      <c r="BP35" s="464"/>
      <c r="BQ35" s="451"/>
      <c r="BR35" s="452"/>
      <c r="BS35" s="465"/>
      <c r="BT35" s="463">
        <f>SUM(L35:BO35)</f>
        <v>0</v>
      </c>
      <c r="BU35" s="464"/>
      <c r="BV35" s="451"/>
      <c r="BW35" s="452"/>
      <c r="BX35" s="465"/>
      <c r="BY35" s="463">
        <v>0</v>
      </c>
      <c r="BZ35" s="464"/>
      <c r="CA35" s="451"/>
      <c r="CB35" s="452"/>
      <c r="CC35" s="465"/>
      <c r="CD35" s="463">
        <v>0</v>
      </c>
      <c r="CE35" s="464"/>
      <c r="CF35" s="451"/>
      <c r="CG35" s="452"/>
      <c r="CH35" s="465"/>
      <c r="CI35" s="463">
        <v>0</v>
      </c>
      <c r="CJ35" s="464"/>
      <c r="CK35" s="451"/>
      <c r="CL35" s="452"/>
      <c r="CM35" s="465"/>
      <c r="CN35" s="463">
        <v>0</v>
      </c>
      <c r="CO35" s="464"/>
      <c r="CP35" s="451"/>
      <c r="CQ35" s="452"/>
      <c r="CR35" s="465"/>
      <c r="CS35" s="463">
        <v>0</v>
      </c>
      <c r="CT35" s="464"/>
      <c r="CU35" s="451"/>
      <c r="CV35" s="452"/>
      <c r="CW35" s="465"/>
      <c r="CX35" s="463">
        <v>0</v>
      </c>
      <c r="CY35" s="464"/>
      <c r="CZ35" s="451"/>
      <c r="DA35" s="452"/>
      <c r="DB35" s="465"/>
      <c r="DC35" s="463">
        <v>0</v>
      </c>
      <c r="DD35" s="464"/>
      <c r="DE35" s="451"/>
      <c r="DF35" s="452"/>
      <c r="DG35" s="465"/>
      <c r="DH35" s="463">
        <v>0</v>
      </c>
      <c r="DI35" s="464"/>
      <c r="DJ35" s="451"/>
      <c r="DK35" s="452"/>
      <c r="DL35" s="465"/>
      <c r="DM35" s="463">
        <v>0</v>
      </c>
      <c r="DN35" s="464"/>
      <c r="DO35" s="451"/>
      <c r="DP35" s="452"/>
      <c r="DQ35" s="465"/>
      <c r="DR35" s="463">
        <v>0</v>
      </c>
      <c r="DS35" s="464"/>
      <c r="DT35" s="451"/>
      <c r="DU35" s="452"/>
      <c r="DV35" s="465"/>
      <c r="DW35" s="463">
        <v>0</v>
      </c>
      <c r="DX35" s="464"/>
      <c r="DY35" s="451"/>
      <c r="DZ35" s="452"/>
      <c r="EA35" s="465"/>
      <c r="EB35" s="463">
        <v>0</v>
      </c>
      <c r="EC35" s="464"/>
      <c r="ED35" s="451"/>
      <c r="EE35" s="452"/>
      <c r="EF35" s="465"/>
      <c r="EG35" s="463">
        <v>0</v>
      </c>
      <c r="EH35" s="464"/>
      <c r="EI35" s="451"/>
      <c r="EJ35" s="452"/>
      <c r="EK35" s="465"/>
      <c r="EL35" s="463">
        <f>SUM(CD35:EG35)</f>
        <v>0</v>
      </c>
      <c r="EM35" s="464"/>
      <c r="EN35" s="451"/>
      <c r="EO35" s="13"/>
    </row>
    <row r="36" spans="4:145" hidden="1" x14ac:dyDescent="0.2">
      <c r="D36" s="13"/>
      <c r="E36" s="198"/>
      <c r="G36" s="451"/>
      <c r="H36" s="451"/>
      <c r="I36" s="451"/>
      <c r="J36" s="452"/>
      <c r="K36" s="451"/>
      <c r="L36" s="451"/>
      <c r="M36" s="451"/>
      <c r="N36" s="451"/>
      <c r="O36" s="452"/>
      <c r="P36" s="451"/>
      <c r="Q36" s="451"/>
      <c r="R36" s="451"/>
      <c r="S36" s="451"/>
      <c r="T36" s="452"/>
      <c r="U36" s="451"/>
      <c r="V36" s="451"/>
      <c r="W36" s="451"/>
      <c r="X36" s="451"/>
      <c r="Y36" s="452"/>
      <c r="Z36" s="451"/>
      <c r="AA36" s="451"/>
      <c r="AB36" s="451"/>
      <c r="AC36" s="451"/>
      <c r="AD36" s="452"/>
      <c r="AE36" s="451"/>
      <c r="AF36" s="451"/>
      <c r="AG36" s="451"/>
      <c r="AH36" s="451"/>
      <c r="AI36" s="452"/>
      <c r="AJ36" s="451"/>
      <c r="AK36" s="451"/>
      <c r="AL36" s="451"/>
      <c r="AM36" s="451"/>
      <c r="AN36" s="452"/>
      <c r="AO36" s="451"/>
      <c r="AP36" s="451"/>
      <c r="AQ36" s="451"/>
      <c r="AR36" s="451"/>
      <c r="AS36" s="452"/>
      <c r="AT36" s="451"/>
      <c r="AU36" s="451"/>
      <c r="AV36" s="451"/>
      <c r="AW36" s="451"/>
      <c r="AX36" s="452"/>
      <c r="AY36" s="451"/>
      <c r="AZ36" s="451"/>
      <c r="BA36" s="451"/>
      <c r="BB36" s="451"/>
      <c r="BC36" s="452"/>
      <c r="BD36" s="451"/>
      <c r="BE36" s="451"/>
      <c r="BF36" s="451"/>
      <c r="BG36" s="451"/>
      <c r="BH36" s="452"/>
      <c r="BI36" s="451"/>
      <c r="BJ36" s="451"/>
      <c r="BK36" s="451"/>
      <c r="BL36" s="451"/>
      <c r="BM36" s="452"/>
      <c r="BN36" s="451"/>
      <c r="BO36" s="451"/>
      <c r="BP36" s="451"/>
      <c r="BQ36" s="451"/>
      <c r="BR36" s="452"/>
      <c r="BS36" s="451"/>
      <c r="BT36" s="451"/>
      <c r="BU36" s="451"/>
      <c r="BV36" s="451"/>
      <c r="BW36" s="452"/>
      <c r="BX36" s="451"/>
      <c r="BY36" s="451"/>
      <c r="BZ36" s="451"/>
      <c r="CA36" s="451"/>
      <c r="CB36" s="452"/>
      <c r="CC36" s="451"/>
      <c r="CD36" s="451"/>
      <c r="CE36" s="451"/>
      <c r="CF36" s="451"/>
      <c r="CG36" s="452"/>
      <c r="CH36" s="451"/>
      <c r="CI36" s="451"/>
      <c r="CJ36" s="451"/>
      <c r="CK36" s="451"/>
      <c r="CL36" s="452"/>
      <c r="CM36" s="451"/>
      <c r="CN36" s="451"/>
      <c r="CO36" s="451"/>
      <c r="CP36" s="451"/>
      <c r="CQ36" s="452"/>
      <c r="CR36" s="451"/>
      <c r="CS36" s="451"/>
      <c r="CT36" s="451"/>
      <c r="CU36" s="451"/>
      <c r="CV36" s="452"/>
      <c r="CW36" s="451"/>
      <c r="CX36" s="451"/>
      <c r="CY36" s="451"/>
      <c r="CZ36" s="451"/>
      <c r="DA36" s="452"/>
      <c r="DB36" s="451"/>
      <c r="DC36" s="451"/>
      <c r="DD36" s="451"/>
      <c r="DE36" s="451"/>
      <c r="DF36" s="452"/>
      <c r="DG36" s="451"/>
      <c r="DH36" s="451"/>
      <c r="DI36" s="451"/>
      <c r="DJ36" s="451"/>
      <c r="DK36" s="452"/>
      <c r="DL36" s="451"/>
      <c r="DM36" s="451"/>
      <c r="DN36" s="451"/>
      <c r="DO36" s="451"/>
      <c r="DP36" s="452"/>
      <c r="DQ36" s="451"/>
      <c r="DR36" s="451"/>
      <c r="DS36" s="451"/>
      <c r="DT36" s="451"/>
      <c r="DU36" s="452"/>
      <c r="DV36" s="451"/>
      <c r="DW36" s="451"/>
      <c r="DX36" s="451"/>
      <c r="DY36" s="451"/>
      <c r="DZ36" s="452"/>
      <c r="EA36" s="451"/>
      <c r="EB36" s="451"/>
      <c r="EC36" s="451"/>
      <c r="ED36" s="451"/>
      <c r="EE36" s="452"/>
      <c r="EF36" s="451"/>
      <c r="EG36" s="451"/>
      <c r="EH36" s="451"/>
      <c r="EI36" s="451"/>
      <c r="EJ36" s="452"/>
      <c r="EK36" s="451"/>
      <c r="EL36" s="451"/>
      <c r="EM36" s="451"/>
      <c r="EN36" s="451"/>
      <c r="EO36" s="13"/>
    </row>
    <row r="37" spans="4:145" x14ac:dyDescent="0.2">
      <c r="D37" s="13" t="s">
        <v>453</v>
      </c>
      <c r="E37" s="198"/>
      <c r="G37" s="451">
        <v>0</v>
      </c>
      <c r="H37" s="451"/>
      <c r="I37" s="451"/>
      <c r="J37" s="452"/>
      <c r="K37" s="451"/>
      <c r="L37" s="451">
        <f>L38+L40</f>
        <v>0</v>
      </c>
      <c r="M37" s="451"/>
      <c r="N37" s="451"/>
      <c r="O37" s="452"/>
      <c r="P37" s="451"/>
      <c r="Q37" s="451">
        <f>SUM(Q38:Q40)</f>
        <v>0</v>
      </c>
      <c r="R37" s="451"/>
      <c r="S37" s="451"/>
      <c r="T37" s="452"/>
      <c r="U37" s="451"/>
      <c r="V37" s="451">
        <f>V38+V40</f>
        <v>0</v>
      </c>
      <c r="W37" s="451"/>
      <c r="X37" s="451"/>
      <c r="Y37" s="452"/>
      <c r="Z37" s="451"/>
      <c r="AA37" s="451">
        <f>AA38+AA40</f>
        <v>16390000</v>
      </c>
      <c r="AB37" s="451"/>
      <c r="AC37" s="451"/>
      <c r="AD37" s="452"/>
      <c r="AE37" s="451"/>
      <c r="AF37" s="451">
        <f>AF38+AF40</f>
        <v>0</v>
      </c>
      <c r="AG37" s="451"/>
      <c r="AH37" s="451"/>
      <c r="AI37" s="452"/>
      <c r="AJ37" s="451"/>
      <c r="AK37" s="451">
        <f>AK38+AK40</f>
        <v>0</v>
      </c>
      <c r="AL37" s="451"/>
      <c r="AM37" s="451"/>
      <c r="AN37" s="452"/>
      <c r="AO37" s="451"/>
      <c r="AP37" s="451">
        <f>AP38+AP40</f>
        <v>0</v>
      </c>
      <c r="AQ37" s="451"/>
      <c r="AR37" s="451"/>
      <c r="AS37" s="452"/>
      <c r="AT37" s="451"/>
      <c r="AU37" s="451">
        <f>AU38+AU40</f>
        <v>0</v>
      </c>
      <c r="AV37" s="451"/>
      <c r="AW37" s="451"/>
      <c r="AX37" s="452"/>
      <c r="AY37" s="451"/>
      <c r="AZ37" s="451">
        <f>AZ38+AZ40</f>
        <v>0</v>
      </c>
      <c r="BA37" s="451"/>
      <c r="BB37" s="451"/>
      <c r="BC37" s="452"/>
      <c r="BD37" s="451"/>
      <c r="BE37" s="451">
        <f>BE38+BE40</f>
        <v>0</v>
      </c>
      <c r="BF37" s="451"/>
      <c r="BG37" s="451"/>
      <c r="BH37" s="452"/>
      <c r="BI37" s="451"/>
      <c r="BJ37" s="451">
        <f>BJ38+BJ40</f>
        <v>0</v>
      </c>
      <c r="BK37" s="451"/>
      <c r="BL37" s="451"/>
      <c r="BM37" s="452"/>
      <c r="BN37" s="451"/>
      <c r="BO37" s="451">
        <f>BO38+BO40</f>
        <v>0</v>
      </c>
      <c r="BP37" s="451"/>
      <c r="BQ37" s="451"/>
      <c r="BR37" s="452"/>
      <c r="BS37" s="451"/>
      <c r="BT37" s="451">
        <f>SUM(BT38:BT40)</f>
        <v>16390000</v>
      </c>
      <c r="BU37" s="451"/>
      <c r="BV37" s="451"/>
      <c r="BW37" s="452"/>
      <c r="BX37" s="451"/>
      <c r="BY37" s="451">
        <f>SUM(BY38:BY40)</f>
        <v>0</v>
      </c>
      <c r="BZ37" s="451"/>
      <c r="CA37" s="451"/>
      <c r="CB37" s="452"/>
      <c r="CC37" s="451"/>
      <c r="CD37" s="451">
        <f>CD38+CD40</f>
        <v>0</v>
      </c>
      <c r="CE37" s="451"/>
      <c r="CF37" s="451"/>
      <c r="CG37" s="452"/>
      <c r="CH37" s="451"/>
      <c r="CI37" s="451">
        <f>SUM(CI38:CI40)</f>
        <v>0</v>
      </c>
      <c r="CJ37" s="451"/>
      <c r="CK37" s="451"/>
      <c r="CL37" s="452"/>
      <c r="CM37" s="451"/>
      <c r="CN37" s="451">
        <f>CN38+CN40</f>
        <v>0</v>
      </c>
      <c r="CO37" s="451"/>
      <c r="CP37" s="451"/>
      <c r="CQ37" s="452"/>
      <c r="CR37" s="451"/>
      <c r="CS37" s="451">
        <f>CS38+CS40</f>
        <v>0</v>
      </c>
      <c r="CT37" s="451"/>
      <c r="CU37" s="451"/>
      <c r="CV37" s="452"/>
      <c r="CW37" s="451"/>
      <c r="CX37" s="451">
        <f>CX38+CX40</f>
        <v>0</v>
      </c>
      <c r="CY37" s="451"/>
      <c r="CZ37" s="451"/>
      <c r="DA37" s="452"/>
      <c r="DB37" s="451"/>
      <c r="DC37" s="451">
        <f>DC38+DC40</f>
        <v>0</v>
      </c>
      <c r="DD37" s="451"/>
      <c r="DE37" s="451"/>
      <c r="DF37" s="452"/>
      <c r="DG37" s="451"/>
      <c r="DH37" s="451">
        <f>DH38+DH40</f>
        <v>0</v>
      </c>
      <c r="DI37" s="451"/>
      <c r="DJ37" s="451"/>
      <c r="DK37" s="452"/>
      <c r="DL37" s="451"/>
      <c r="DM37" s="451">
        <f>DM38+DM40</f>
        <v>0</v>
      </c>
      <c r="DN37" s="451"/>
      <c r="DO37" s="451"/>
      <c r="DP37" s="452"/>
      <c r="DQ37" s="451"/>
      <c r="DR37" s="451">
        <f>DR38+DR40</f>
        <v>0</v>
      </c>
      <c r="DS37" s="451"/>
      <c r="DT37" s="451"/>
      <c r="DU37" s="452"/>
      <c r="DV37" s="451"/>
      <c r="DW37" s="451">
        <f>DW38+DW40</f>
        <v>0</v>
      </c>
      <c r="DX37" s="451"/>
      <c r="DY37" s="451"/>
      <c r="DZ37" s="452"/>
      <c r="EA37" s="451"/>
      <c r="EB37" s="451">
        <f>EB38+EB40</f>
        <v>0</v>
      </c>
      <c r="EC37" s="451"/>
      <c r="ED37" s="451"/>
      <c r="EE37" s="452"/>
      <c r="EF37" s="451"/>
      <c r="EG37" s="451">
        <f>EG38+EG40</f>
        <v>0</v>
      </c>
      <c r="EH37" s="451"/>
      <c r="EI37" s="451"/>
      <c r="EJ37" s="452"/>
      <c r="EK37" s="451"/>
      <c r="EL37" s="451">
        <f>SUM(EL38:EL40)</f>
        <v>0</v>
      </c>
      <c r="EM37" s="451"/>
      <c r="EN37" s="451"/>
      <c r="EO37" s="13"/>
    </row>
    <row r="38" spans="4:145" x14ac:dyDescent="0.2">
      <c r="D38" s="13" t="s">
        <v>347</v>
      </c>
      <c r="E38" s="198"/>
      <c r="F38" s="374"/>
      <c r="G38" s="449">
        <v>0</v>
      </c>
      <c r="H38" s="450"/>
      <c r="I38" s="451"/>
      <c r="J38" s="452"/>
      <c r="K38" s="453"/>
      <c r="L38" s="449">
        <v>0</v>
      </c>
      <c r="M38" s="450"/>
      <c r="N38" s="451"/>
      <c r="O38" s="452"/>
      <c r="P38" s="453"/>
      <c r="Q38" s="449">
        <v>0</v>
      </c>
      <c r="R38" s="450"/>
      <c r="S38" s="451"/>
      <c r="T38" s="452"/>
      <c r="U38" s="453"/>
      <c r="V38" s="449">
        <v>0</v>
      </c>
      <c r="W38" s="450"/>
      <c r="X38" s="451"/>
      <c r="Y38" s="452"/>
      <c r="Z38" s="453"/>
      <c r="AA38" s="449">
        <v>16390000</v>
      </c>
      <c r="AB38" s="450"/>
      <c r="AC38" s="451"/>
      <c r="AD38" s="452"/>
      <c r="AE38" s="453"/>
      <c r="AF38" s="449">
        <v>0</v>
      </c>
      <c r="AG38" s="450"/>
      <c r="AH38" s="451"/>
      <c r="AI38" s="452"/>
      <c r="AJ38" s="453"/>
      <c r="AK38" s="449">
        <v>0</v>
      </c>
      <c r="AL38" s="450"/>
      <c r="AM38" s="451"/>
      <c r="AN38" s="452"/>
      <c r="AO38" s="453"/>
      <c r="AP38" s="449">
        <v>0</v>
      </c>
      <c r="AQ38" s="450"/>
      <c r="AR38" s="451"/>
      <c r="AS38" s="452"/>
      <c r="AT38" s="453"/>
      <c r="AU38" s="449">
        <v>0</v>
      </c>
      <c r="AV38" s="450"/>
      <c r="AW38" s="451"/>
      <c r="AX38" s="452"/>
      <c r="AY38" s="453"/>
      <c r="AZ38" s="449">
        <v>0</v>
      </c>
      <c r="BA38" s="450"/>
      <c r="BB38" s="451"/>
      <c r="BC38" s="452"/>
      <c r="BD38" s="453"/>
      <c r="BE38" s="449">
        <v>0</v>
      </c>
      <c r="BF38" s="450"/>
      <c r="BG38" s="451"/>
      <c r="BH38" s="452"/>
      <c r="BI38" s="453"/>
      <c r="BJ38" s="449">
        <v>0</v>
      </c>
      <c r="BK38" s="450"/>
      <c r="BL38" s="451"/>
      <c r="BM38" s="452"/>
      <c r="BN38" s="453"/>
      <c r="BO38" s="449">
        <v>0</v>
      </c>
      <c r="BP38" s="450"/>
      <c r="BQ38" s="451"/>
      <c r="BR38" s="452"/>
      <c r="BS38" s="453"/>
      <c r="BT38" s="449">
        <f>SUM(L38:BO38)</f>
        <v>16390000</v>
      </c>
      <c r="BU38" s="450"/>
      <c r="BV38" s="451"/>
      <c r="BW38" s="452"/>
      <c r="BX38" s="453"/>
      <c r="BY38" s="449">
        <v>0</v>
      </c>
      <c r="BZ38" s="450"/>
      <c r="CA38" s="451"/>
      <c r="CB38" s="452"/>
      <c r="CC38" s="453"/>
      <c r="CD38" s="449">
        <v>0</v>
      </c>
      <c r="CE38" s="450"/>
      <c r="CF38" s="451"/>
      <c r="CG38" s="452"/>
      <c r="CH38" s="453"/>
      <c r="CI38" s="449">
        <v>0</v>
      </c>
      <c r="CJ38" s="450"/>
      <c r="CK38" s="451"/>
      <c r="CL38" s="452"/>
      <c r="CM38" s="453"/>
      <c r="CN38" s="449">
        <v>0</v>
      </c>
      <c r="CO38" s="450"/>
      <c r="CP38" s="451"/>
      <c r="CQ38" s="452"/>
      <c r="CR38" s="453"/>
      <c r="CS38" s="449">
        <v>0</v>
      </c>
      <c r="CT38" s="450"/>
      <c r="CU38" s="451"/>
      <c r="CV38" s="452"/>
      <c r="CW38" s="453"/>
      <c r="CX38" s="449">
        <v>0</v>
      </c>
      <c r="CY38" s="450"/>
      <c r="CZ38" s="451"/>
      <c r="DA38" s="452"/>
      <c r="DB38" s="453"/>
      <c r="DC38" s="449">
        <v>0</v>
      </c>
      <c r="DD38" s="450"/>
      <c r="DE38" s="451"/>
      <c r="DF38" s="452"/>
      <c r="DG38" s="453"/>
      <c r="DH38" s="449">
        <v>0</v>
      </c>
      <c r="DI38" s="450"/>
      <c r="DJ38" s="451"/>
      <c r="DK38" s="452"/>
      <c r="DL38" s="453"/>
      <c r="DM38" s="449">
        <v>0</v>
      </c>
      <c r="DN38" s="450"/>
      <c r="DO38" s="451"/>
      <c r="DP38" s="452"/>
      <c r="DQ38" s="453"/>
      <c r="DR38" s="449">
        <v>0</v>
      </c>
      <c r="DS38" s="450"/>
      <c r="DT38" s="451"/>
      <c r="DU38" s="452"/>
      <c r="DV38" s="453"/>
      <c r="DW38" s="449">
        <v>0</v>
      </c>
      <c r="DX38" s="450"/>
      <c r="DY38" s="451"/>
      <c r="DZ38" s="452"/>
      <c r="EA38" s="453"/>
      <c r="EB38" s="449">
        <v>0</v>
      </c>
      <c r="EC38" s="450"/>
      <c r="ED38" s="451"/>
      <c r="EE38" s="452"/>
      <c r="EF38" s="453"/>
      <c r="EG38" s="449">
        <v>0</v>
      </c>
      <c r="EH38" s="450"/>
      <c r="EI38" s="451"/>
      <c r="EJ38" s="452"/>
      <c r="EK38" s="453"/>
      <c r="EL38" s="449">
        <f>SUM(CD38:DW38)</f>
        <v>0</v>
      </c>
      <c r="EM38" s="450"/>
      <c r="EN38" s="451"/>
      <c r="EO38" s="13"/>
    </row>
    <row r="39" spans="4:145" x14ac:dyDescent="0.2">
      <c r="D39" s="13" t="s">
        <v>349</v>
      </c>
      <c r="E39" s="198"/>
      <c r="F39" s="198"/>
      <c r="G39" s="451">
        <v>0</v>
      </c>
      <c r="H39" s="455"/>
      <c r="I39" s="451"/>
      <c r="J39" s="452"/>
      <c r="K39" s="452"/>
      <c r="L39" s="451">
        <v>0</v>
      </c>
      <c r="M39" s="455"/>
      <c r="N39" s="451"/>
      <c r="O39" s="452"/>
      <c r="P39" s="452"/>
      <c r="Q39" s="451">
        <v>0</v>
      </c>
      <c r="R39" s="455"/>
      <c r="S39" s="451"/>
      <c r="T39" s="452"/>
      <c r="U39" s="452"/>
      <c r="V39" s="451">
        <v>0</v>
      </c>
      <c r="W39" s="455"/>
      <c r="X39" s="451"/>
      <c r="Y39" s="452"/>
      <c r="Z39" s="452"/>
      <c r="AA39" s="451">
        <v>0</v>
      </c>
      <c r="AB39" s="455"/>
      <c r="AC39" s="451"/>
      <c r="AD39" s="452"/>
      <c r="AE39" s="452"/>
      <c r="AF39" s="451">
        <v>0</v>
      </c>
      <c r="AG39" s="455"/>
      <c r="AH39" s="451"/>
      <c r="AI39" s="452"/>
      <c r="AJ39" s="452"/>
      <c r="AK39" s="451">
        <v>0</v>
      </c>
      <c r="AL39" s="455"/>
      <c r="AM39" s="451"/>
      <c r="AN39" s="452"/>
      <c r="AO39" s="452"/>
      <c r="AP39" s="451">
        <v>0</v>
      </c>
      <c r="AQ39" s="455"/>
      <c r="AR39" s="451"/>
      <c r="AS39" s="452"/>
      <c r="AT39" s="452"/>
      <c r="AU39" s="451">
        <v>0</v>
      </c>
      <c r="AV39" s="455"/>
      <c r="AW39" s="451"/>
      <c r="AX39" s="452"/>
      <c r="AY39" s="452"/>
      <c r="AZ39" s="451">
        <v>0</v>
      </c>
      <c r="BA39" s="455"/>
      <c r="BB39" s="451"/>
      <c r="BC39" s="452"/>
      <c r="BD39" s="452"/>
      <c r="BE39" s="451">
        <v>0</v>
      </c>
      <c r="BF39" s="455"/>
      <c r="BG39" s="451"/>
      <c r="BH39" s="452"/>
      <c r="BI39" s="452"/>
      <c r="BJ39" s="451">
        <v>0</v>
      </c>
      <c r="BK39" s="455"/>
      <c r="BL39" s="451"/>
      <c r="BM39" s="452"/>
      <c r="BN39" s="452"/>
      <c r="BO39" s="451">
        <v>0</v>
      </c>
      <c r="BP39" s="455"/>
      <c r="BQ39" s="451"/>
      <c r="BR39" s="452"/>
      <c r="BS39" s="452"/>
      <c r="BT39" s="451">
        <f>SUM(L39:BO39)</f>
        <v>0</v>
      </c>
      <c r="BU39" s="455"/>
      <c r="BV39" s="451"/>
      <c r="BW39" s="452"/>
      <c r="BX39" s="452"/>
      <c r="BY39" s="451">
        <v>0</v>
      </c>
      <c r="BZ39" s="455"/>
      <c r="CA39" s="451"/>
      <c r="CB39" s="452"/>
      <c r="CC39" s="452"/>
      <c r="CD39" s="451">
        <v>0</v>
      </c>
      <c r="CE39" s="455"/>
      <c r="CF39" s="451"/>
      <c r="CG39" s="452"/>
      <c r="CH39" s="452"/>
      <c r="CI39" s="451">
        <v>0</v>
      </c>
      <c r="CJ39" s="455"/>
      <c r="CK39" s="451"/>
      <c r="CL39" s="452"/>
      <c r="CM39" s="452"/>
      <c r="CN39" s="451">
        <v>0</v>
      </c>
      <c r="CO39" s="455"/>
      <c r="CP39" s="451"/>
      <c r="CQ39" s="452"/>
      <c r="CR39" s="452"/>
      <c r="CS39" s="451">
        <v>0</v>
      </c>
      <c r="CT39" s="455"/>
      <c r="CU39" s="451"/>
      <c r="CV39" s="452"/>
      <c r="CW39" s="452"/>
      <c r="CX39" s="451">
        <v>0</v>
      </c>
      <c r="CY39" s="455"/>
      <c r="CZ39" s="451"/>
      <c r="DA39" s="452"/>
      <c r="DB39" s="452"/>
      <c r="DC39" s="451">
        <v>0</v>
      </c>
      <c r="DD39" s="455"/>
      <c r="DE39" s="451"/>
      <c r="DF39" s="452"/>
      <c r="DG39" s="452"/>
      <c r="DH39" s="451">
        <v>0</v>
      </c>
      <c r="DI39" s="455"/>
      <c r="DJ39" s="451"/>
      <c r="DK39" s="452"/>
      <c r="DL39" s="452"/>
      <c r="DM39" s="451">
        <v>0</v>
      </c>
      <c r="DN39" s="455"/>
      <c r="DO39" s="451"/>
      <c r="DP39" s="452"/>
      <c r="DQ39" s="452"/>
      <c r="DR39" s="451">
        <v>0</v>
      </c>
      <c r="DS39" s="455"/>
      <c r="DT39" s="451"/>
      <c r="DU39" s="452"/>
      <c r="DV39" s="452"/>
      <c r="DW39" s="451">
        <v>0</v>
      </c>
      <c r="DX39" s="455"/>
      <c r="DY39" s="451"/>
      <c r="DZ39" s="452"/>
      <c r="EA39" s="452"/>
      <c r="EB39" s="451">
        <v>0</v>
      </c>
      <c r="EC39" s="455"/>
      <c r="ED39" s="451"/>
      <c r="EE39" s="452"/>
      <c r="EF39" s="452"/>
      <c r="EG39" s="451">
        <v>0</v>
      </c>
      <c r="EH39" s="455"/>
      <c r="EI39" s="451"/>
      <c r="EJ39" s="452"/>
      <c r="EK39" s="452"/>
      <c r="EL39" s="451">
        <f>SUM(CD39:DW39)</f>
        <v>0</v>
      </c>
      <c r="EM39" s="455"/>
      <c r="EN39" s="451"/>
      <c r="EO39" s="13"/>
    </row>
    <row r="40" spans="4:145" x14ac:dyDescent="0.2">
      <c r="D40" s="13" t="s">
        <v>357</v>
      </c>
      <c r="E40" s="198"/>
      <c r="F40" s="385"/>
      <c r="G40" s="463">
        <v>0</v>
      </c>
      <c r="H40" s="464"/>
      <c r="I40" s="451"/>
      <c r="J40" s="452"/>
      <c r="K40" s="465"/>
      <c r="L40" s="463">
        <v>0</v>
      </c>
      <c r="M40" s="464"/>
      <c r="N40" s="451"/>
      <c r="O40" s="452"/>
      <c r="P40" s="465"/>
      <c r="Q40" s="463">
        <v>0</v>
      </c>
      <c r="R40" s="464"/>
      <c r="S40" s="451"/>
      <c r="T40" s="452"/>
      <c r="U40" s="465"/>
      <c r="V40" s="463">
        <v>0</v>
      </c>
      <c r="W40" s="464"/>
      <c r="X40" s="451"/>
      <c r="Y40" s="452"/>
      <c r="Z40" s="465"/>
      <c r="AA40" s="463">
        <v>0</v>
      </c>
      <c r="AB40" s="464"/>
      <c r="AC40" s="451"/>
      <c r="AD40" s="452"/>
      <c r="AE40" s="465"/>
      <c r="AF40" s="463">
        <v>0</v>
      </c>
      <c r="AG40" s="464"/>
      <c r="AH40" s="451"/>
      <c r="AI40" s="452"/>
      <c r="AJ40" s="465"/>
      <c r="AK40" s="463">
        <v>0</v>
      </c>
      <c r="AL40" s="464"/>
      <c r="AM40" s="451"/>
      <c r="AN40" s="452"/>
      <c r="AO40" s="465"/>
      <c r="AP40" s="463">
        <v>0</v>
      </c>
      <c r="AQ40" s="464"/>
      <c r="AR40" s="451"/>
      <c r="AS40" s="452"/>
      <c r="AT40" s="465"/>
      <c r="AU40" s="463">
        <v>0</v>
      </c>
      <c r="AV40" s="464"/>
      <c r="AW40" s="451"/>
      <c r="AX40" s="452"/>
      <c r="AY40" s="465"/>
      <c r="AZ40" s="463">
        <v>0</v>
      </c>
      <c r="BA40" s="464"/>
      <c r="BB40" s="451"/>
      <c r="BC40" s="452"/>
      <c r="BD40" s="465"/>
      <c r="BE40" s="463">
        <v>0</v>
      </c>
      <c r="BF40" s="464"/>
      <c r="BG40" s="451"/>
      <c r="BH40" s="452"/>
      <c r="BI40" s="465"/>
      <c r="BJ40" s="463">
        <v>0</v>
      </c>
      <c r="BK40" s="464"/>
      <c r="BL40" s="451"/>
      <c r="BM40" s="452"/>
      <c r="BN40" s="465"/>
      <c r="BO40" s="463">
        <v>0</v>
      </c>
      <c r="BP40" s="464"/>
      <c r="BQ40" s="451"/>
      <c r="BR40" s="452"/>
      <c r="BS40" s="465"/>
      <c r="BT40" s="463">
        <f>SUM(L40:BO40)</f>
        <v>0</v>
      </c>
      <c r="BU40" s="464"/>
      <c r="BV40" s="451"/>
      <c r="BW40" s="452"/>
      <c r="BX40" s="465"/>
      <c r="BY40" s="463">
        <v>0</v>
      </c>
      <c r="BZ40" s="464"/>
      <c r="CA40" s="451"/>
      <c r="CB40" s="452"/>
      <c r="CC40" s="465"/>
      <c r="CD40" s="463">
        <v>0</v>
      </c>
      <c r="CE40" s="464"/>
      <c r="CF40" s="451"/>
      <c r="CG40" s="452"/>
      <c r="CH40" s="465"/>
      <c r="CI40" s="463">
        <v>0</v>
      </c>
      <c r="CJ40" s="464"/>
      <c r="CK40" s="451"/>
      <c r="CL40" s="452"/>
      <c r="CM40" s="465"/>
      <c r="CN40" s="463">
        <v>0</v>
      </c>
      <c r="CO40" s="464"/>
      <c r="CP40" s="451"/>
      <c r="CQ40" s="452"/>
      <c r="CR40" s="465"/>
      <c r="CS40" s="463">
        <v>0</v>
      </c>
      <c r="CT40" s="464"/>
      <c r="CU40" s="451"/>
      <c r="CV40" s="452"/>
      <c r="CW40" s="465"/>
      <c r="CX40" s="463">
        <v>0</v>
      </c>
      <c r="CY40" s="464"/>
      <c r="CZ40" s="451"/>
      <c r="DA40" s="452"/>
      <c r="DB40" s="465"/>
      <c r="DC40" s="463">
        <v>0</v>
      </c>
      <c r="DD40" s="464"/>
      <c r="DE40" s="451"/>
      <c r="DF40" s="452"/>
      <c r="DG40" s="465"/>
      <c r="DH40" s="463">
        <v>0</v>
      </c>
      <c r="DI40" s="464"/>
      <c r="DJ40" s="451"/>
      <c r="DK40" s="452"/>
      <c r="DL40" s="465"/>
      <c r="DM40" s="463">
        <v>0</v>
      </c>
      <c r="DN40" s="464"/>
      <c r="DO40" s="451"/>
      <c r="DP40" s="452"/>
      <c r="DQ40" s="465"/>
      <c r="DR40" s="463">
        <v>0</v>
      </c>
      <c r="DS40" s="464"/>
      <c r="DT40" s="451"/>
      <c r="DU40" s="452"/>
      <c r="DV40" s="465"/>
      <c r="DW40" s="463">
        <v>0</v>
      </c>
      <c r="DX40" s="464"/>
      <c r="DY40" s="451"/>
      <c r="DZ40" s="452"/>
      <c r="EA40" s="465"/>
      <c r="EB40" s="463">
        <v>0</v>
      </c>
      <c r="EC40" s="464"/>
      <c r="ED40" s="451"/>
      <c r="EE40" s="452"/>
      <c r="EF40" s="465"/>
      <c r="EG40" s="463">
        <v>0</v>
      </c>
      <c r="EH40" s="464"/>
      <c r="EI40" s="451"/>
      <c r="EJ40" s="452"/>
      <c r="EK40" s="465"/>
      <c r="EL40" s="463">
        <f>SUM(CD40:DW40)</f>
        <v>0</v>
      </c>
      <c r="EM40" s="464"/>
      <c r="EN40" s="451"/>
      <c r="EO40" s="13"/>
    </row>
    <row r="41" spans="4:145" ht="12.75" customHeight="1" x14ac:dyDescent="0.2">
      <c r="D41" s="50"/>
      <c r="E41" s="502"/>
      <c r="F41" s="38"/>
      <c r="G41" s="451"/>
      <c r="H41" s="451"/>
      <c r="I41" s="451"/>
      <c r="J41" s="452"/>
      <c r="K41" s="451"/>
      <c r="L41" s="451"/>
      <c r="M41" s="451"/>
      <c r="N41" s="451"/>
      <c r="O41" s="452"/>
      <c r="P41" s="451"/>
      <c r="Q41" s="451"/>
      <c r="R41" s="451"/>
      <c r="S41" s="451"/>
      <c r="T41" s="452"/>
      <c r="U41" s="451"/>
      <c r="V41" s="451"/>
      <c r="W41" s="451"/>
      <c r="X41" s="451"/>
      <c r="Y41" s="452"/>
      <c r="Z41" s="451"/>
      <c r="AA41" s="451"/>
      <c r="AB41" s="451"/>
      <c r="AC41" s="451"/>
      <c r="AD41" s="452"/>
      <c r="AE41" s="451"/>
      <c r="AF41" s="451"/>
      <c r="AG41" s="451"/>
      <c r="AH41" s="451"/>
      <c r="AI41" s="452"/>
      <c r="AJ41" s="451"/>
      <c r="AK41" s="451"/>
      <c r="AL41" s="451"/>
      <c r="AM41" s="451"/>
      <c r="AN41" s="452"/>
      <c r="AO41" s="451"/>
      <c r="AP41" s="451"/>
      <c r="AQ41" s="451"/>
      <c r="AR41" s="451"/>
      <c r="AS41" s="452"/>
      <c r="AT41" s="451"/>
      <c r="AU41" s="451"/>
      <c r="AV41" s="451"/>
      <c r="AW41" s="451"/>
      <c r="AX41" s="452"/>
      <c r="AY41" s="451"/>
      <c r="AZ41" s="451"/>
      <c r="BA41" s="451"/>
      <c r="BB41" s="451"/>
      <c r="BC41" s="452"/>
      <c r="BD41" s="451"/>
      <c r="BE41" s="451"/>
      <c r="BF41" s="451"/>
      <c r="BG41" s="451"/>
      <c r="BH41" s="452"/>
      <c r="BI41" s="451"/>
      <c r="BJ41" s="451"/>
      <c r="BK41" s="451"/>
      <c r="BL41" s="451"/>
      <c r="BM41" s="452"/>
      <c r="BN41" s="451"/>
      <c r="BO41" s="451"/>
      <c r="BP41" s="451"/>
      <c r="BQ41" s="451"/>
      <c r="BR41" s="452"/>
      <c r="BS41" s="451"/>
      <c r="BT41" s="451"/>
      <c r="BU41" s="451"/>
      <c r="BV41" s="451"/>
      <c r="BW41" s="452"/>
      <c r="BX41" s="451"/>
      <c r="BY41" s="451"/>
      <c r="BZ41" s="451"/>
      <c r="CA41" s="451"/>
      <c r="CB41" s="452"/>
      <c r="CC41" s="451"/>
      <c r="CD41" s="451"/>
      <c r="CE41" s="451"/>
      <c r="CF41" s="451"/>
      <c r="CG41" s="452"/>
      <c r="CH41" s="451"/>
      <c r="CI41" s="451"/>
      <c r="CJ41" s="451"/>
      <c r="CK41" s="451"/>
      <c r="CL41" s="452"/>
      <c r="CM41" s="451"/>
      <c r="CN41" s="451"/>
      <c r="CO41" s="451"/>
      <c r="CP41" s="451"/>
      <c r="CQ41" s="452"/>
      <c r="CR41" s="451"/>
      <c r="CS41" s="451"/>
      <c r="CT41" s="451"/>
      <c r="CU41" s="451"/>
      <c r="CV41" s="452"/>
      <c r="CW41" s="451"/>
      <c r="CX41" s="451"/>
      <c r="CY41" s="451"/>
      <c r="CZ41" s="451"/>
      <c r="DA41" s="452"/>
      <c r="DB41" s="451"/>
      <c r="DC41" s="451"/>
      <c r="DD41" s="451"/>
      <c r="DE41" s="451"/>
      <c r="DF41" s="452"/>
      <c r="DG41" s="451"/>
      <c r="DH41" s="451"/>
      <c r="DI41" s="451"/>
      <c r="DJ41" s="451"/>
      <c r="DK41" s="452"/>
      <c r="DL41" s="451"/>
      <c r="DM41" s="451"/>
      <c r="DN41" s="451"/>
      <c r="DO41" s="451"/>
      <c r="DP41" s="452"/>
      <c r="DQ41" s="451"/>
      <c r="DR41" s="451"/>
      <c r="DS41" s="451"/>
      <c r="DT41" s="451"/>
      <c r="DU41" s="452"/>
      <c r="DV41" s="451"/>
      <c r="DW41" s="451"/>
      <c r="DX41" s="451"/>
      <c r="DY41" s="451"/>
      <c r="DZ41" s="452"/>
      <c r="EA41" s="451"/>
      <c r="EB41" s="451"/>
      <c r="EC41" s="451"/>
      <c r="ED41" s="451"/>
      <c r="EE41" s="452"/>
      <c r="EF41" s="451"/>
      <c r="EG41" s="451"/>
      <c r="EH41" s="451"/>
      <c r="EI41" s="451"/>
      <c r="EJ41" s="452"/>
      <c r="EK41" s="451"/>
      <c r="EL41" s="451"/>
      <c r="EM41" s="451"/>
      <c r="EN41" s="451"/>
      <c r="EO41" s="13"/>
    </row>
    <row r="42" spans="4:145" ht="12.75" customHeight="1" x14ac:dyDescent="0.2">
      <c r="D42" s="13" t="s">
        <v>454</v>
      </c>
      <c r="E42" s="198"/>
      <c r="G42" s="451">
        <v>0</v>
      </c>
      <c r="H42" s="451"/>
      <c r="I42" s="451"/>
      <c r="J42" s="452"/>
      <c r="K42" s="451"/>
      <c r="L42" s="451">
        <f>L43+L45</f>
        <v>0</v>
      </c>
      <c r="M42" s="451"/>
      <c r="N42" s="451"/>
      <c r="O42" s="452"/>
      <c r="P42" s="451"/>
      <c r="Q42" s="451">
        <f>SUM(Q43:Q45)</f>
        <v>0</v>
      </c>
      <c r="R42" s="451"/>
      <c r="S42" s="451"/>
      <c r="T42" s="452"/>
      <c r="U42" s="451"/>
      <c r="V42" s="451">
        <f>V43+V45</f>
        <v>0</v>
      </c>
      <c r="W42" s="451"/>
      <c r="X42" s="451"/>
      <c r="Y42" s="452"/>
      <c r="Z42" s="451"/>
      <c r="AA42" s="451">
        <f>AA43+AA45</f>
        <v>70521584</v>
      </c>
      <c r="AB42" s="451"/>
      <c r="AC42" s="451"/>
      <c r="AD42" s="452"/>
      <c r="AE42" s="451"/>
      <c r="AF42" s="451">
        <f>AF43+AF45</f>
        <v>0</v>
      </c>
      <c r="AG42" s="451"/>
      <c r="AH42" s="451"/>
      <c r="AI42" s="452"/>
      <c r="AJ42" s="451"/>
      <c r="AK42" s="451">
        <f>AK43+AK45</f>
        <v>0</v>
      </c>
      <c r="AL42" s="451"/>
      <c r="AM42" s="451"/>
      <c r="AN42" s="452"/>
      <c r="AO42" s="451"/>
      <c r="AP42" s="451">
        <f>AP43+AP45</f>
        <v>0</v>
      </c>
      <c r="AQ42" s="451"/>
      <c r="AR42" s="451"/>
      <c r="AS42" s="452"/>
      <c r="AT42" s="451"/>
      <c r="AU42" s="451">
        <f>AU43+AU45</f>
        <v>0</v>
      </c>
      <c r="AV42" s="451"/>
      <c r="AW42" s="451"/>
      <c r="AX42" s="452"/>
      <c r="AY42" s="451"/>
      <c r="AZ42" s="451">
        <f>AZ43+AZ45</f>
        <v>0</v>
      </c>
      <c r="BA42" s="451"/>
      <c r="BB42" s="451"/>
      <c r="BC42" s="452"/>
      <c r="BD42" s="451"/>
      <c r="BE42" s="451">
        <f>BE43+BE45</f>
        <v>0</v>
      </c>
      <c r="BF42" s="451"/>
      <c r="BG42" s="451"/>
      <c r="BH42" s="452"/>
      <c r="BI42" s="451"/>
      <c r="BJ42" s="451">
        <f>BJ43+BJ45</f>
        <v>0</v>
      </c>
      <c r="BK42" s="451"/>
      <c r="BL42" s="451"/>
      <c r="BM42" s="452"/>
      <c r="BN42" s="451"/>
      <c r="BO42" s="451">
        <f>BO43+BO45</f>
        <v>0</v>
      </c>
      <c r="BP42" s="451"/>
      <c r="BQ42" s="451"/>
      <c r="BR42" s="452"/>
      <c r="BS42" s="451"/>
      <c r="BT42" s="451">
        <f>SUM(BT43:BT45)</f>
        <v>70521584</v>
      </c>
      <c r="BU42" s="451"/>
      <c r="BV42" s="451"/>
      <c r="BW42" s="452"/>
      <c r="BX42" s="451"/>
      <c r="BY42" s="451">
        <f>SUM(BY43:BY45)</f>
        <v>0</v>
      </c>
      <c r="BZ42" s="451"/>
      <c r="CA42" s="451"/>
      <c r="CB42" s="452"/>
      <c r="CC42" s="451"/>
      <c r="CD42" s="451">
        <f>CD43+CD45</f>
        <v>0</v>
      </c>
      <c r="CE42" s="451"/>
      <c r="CF42" s="451"/>
      <c r="CG42" s="452"/>
      <c r="CH42" s="451"/>
      <c r="CI42" s="451">
        <f>SUM(CI43:CI45)</f>
        <v>0</v>
      </c>
      <c r="CJ42" s="451"/>
      <c r="CK42" s="451"/>
      <c r="CL42" s="452"/>
      <c r="CM42" s="451"/>
      <c r="CN42" s="451">
        <f>CN43+CN45</f>
        <v>0</v>
      </c>
      <c r="CO42" s="451"/>
      <c r="CP42" s="451"/>
      <c r="CQ42" s="452"/>
      <c r="CR42" s="451"/>
      <c r="CS42" s="451">
        <f>CS43+CS45</f>
        <v>0</v>
      </c>
      <c r="CT42" s="451"/>
      <c r="CU42" s="451"/>
      <c r="CV42" s="452"/>
      <c r="CW42" s="451"/>
      <c r="CX42" s="451">
        <f>CX43+CX45</f>
        <v>0</v>
      </c>
      <c r="CY42" s="451"/>
      <c r="CZ42" s="451"/>
      <c r="DA42" s="452"/>
      <c r="DB42" s="451"/>
      <c r="DC42" s="451">
        <f>DC43+DC45</f>
        <v>0</v>
      </c>
      <c r="DD42" s="451"/>
      <c r="DE42" s="451"/>
      <c r="DF42" s="452"/>
      <c r="DG42" s="451"/>
      <c r="DH42" s="451">
        <f>DH43+DH45</f>
        <v>0</v>
      </c>
      <c r="DI42" s="451"/>
      <c r="DJ42" s="451"/>
      <c r="DK42" s="452"/>
      <c r="DL42" s="451"/>
      <c r="DM42" s="451">
        <f>DM43+DM45</f>
        <v>0</v>
      </c>
      <c r="DN42" s="451"/>
      <c r="DO42" s="451"/>
      <c r="DP42" s="452"/>
      <c r="DQ42" s="451"/>
      <c r="DR42" s="451">
        <f>DR43+DR45</f>
        <v>0</v>
      </c>
      <c r="DS42" s="451"/>
      <c r="DT42" s="451"/>
      <c r="DU42" s="452"/>
      <c r="DV42" s="451"/>
      <c r="DW42" s="451">
        <f>DW43+DW45</f>
        <v>0</v>
      </c>
      <c r="DX42" s="451"/>
      <c r="DY42" s="451"/>
      <c r="DZ42" s="452"/>
      <c r="EA42" s="451"/>
      <c r="EB42" s="451">
        <f>EB43+EB45</f>
        <v>0</v>
      </c>
      <c r="EC42" s="451"/>
      <c r="ED42" s="451"/>
      <c r="EE42" s="452"/>
      <c r="EF42" s="451"/>
      <c r="EG42" s="451">
        <f>EG43+EG45</f>
        <v>0</v>
      </c>
      <c r="EH42" s="451"/>
      <c r="EI42" s="451"/>
      <c r="EJ42" s="452"/>
      <c r="EK42" s="451"/>
      <c r="EL42" s="451">
        <f>SUM(EL43:EL45)</f>
        <v>0</v>
      </c>
      <c r="EM42" s="451"/>
      <c r="EN42" s="451"/>
      <c r="EO42" s="13"/>
    </row>
    <row r="43" spans="4:145" ht="12.75" customHeight="1" x14ac:dyDescent="0.2">
      <c r="D43" s="13" t="s">
        <v>347</v>
      </c>
      <c r="E43" s="198"/>
      <c r="F43" s="374"/>
      <c r="G43" s="449">
        <v>0</v>
      </c>
      <c r="H43" s="450"/>
      <c r="I43" s="451"/>
      <c r="J43" s="452"/>
      <c r="K43" s="453"/>
      <c r="L43" s="449">
        <v>0</v>
      </c>
      <c r="M43" s="450"/>
      <c r="N43" s="451"/>
      <c r="O43" s="452"/>
      <c r="P43" s="453"/>
      <c r="Q43" s="449">
        <v>0</v>
      </c>
      <c r="R43" s="450"/>
      <c r="S43" s="451"/>
      <c r="T43" s="452"/>
      <c r="U43" s="453"/>
      <c r="V43" s="449">
        <v>0</v>
      </c>
      <c r="W43" s="450"/>
      <c r="X43" s="451"/>
      <c r="Y43" s="452"/>
      <c r="Z43" s="453"/>
      <c r="AA43" s="449">
        <v>70521584</v>
      </c>
      <c r="AB43" s="450"/>
      <c r="AC43" s="451"/>
      <c r="AD43" s="452"/>
      <c r="AE43" s="453"/>
      <c r="AF43" s="449">
        <v>0</v>
      </c>
      <c r="AG43" s="450"/>
      <c r="AH43" s="451"/>
      <c r="AI43" s="452"/>
      <c r="AJ43" s="453"/>
      <c r="AK43" s="449">
        <v>0</v>
      </c>
      <c r="AL43" s="450"/>
      <c r="AM43" s="451"/>
      <c r="AN43" s="452"/>
      <c r="AO43" s="453"/>
      <c r="AP43" s="449">
        <v>0</v>
      </c>
      <c r="AQ43" s="450"/>
      <c r="AR43" s="451"/>
      <c r="AS43" s="452"/>
      <c r="AT43" s="453"/>
      <c r="AU43" s="449">
        <v>0</v>
      </c>
      <c r="AV43" s="450"/>
      <c r="AW43" s="451"/>
      <c r="AX43" s="452"/>
      <c r="AY43" s="453"/>
      <c r="AZ43" s="449">
        <v>0</v>
      </c>
      <c r="BA43" s="450"/>
      <c r="BB43" s="451"/>
      <c r="BC43" s="452"/>
      <c r="BD43" s="453"/>
      <c r="BE43" s="449">
        <v>0</v>
      </c>
      <c r="BF43" s="450"/>
      <c r="BG43" s="451"/>
      <c r="BH43" s="452"/>
      <c r="BI43" s="453"/>
      <c r="BJ43" s="449">
        <v>0</v>
      </c>
      <c r="BK43" s="450"/>
      <c r="BL43" s="451"/>
      <c r="BM43" s="452"/>
      <c r="BN43" s="453"/>
      <c r="BO43" s="449">
        <v>0</v>
      </c>
      <c r="BP43" s="450"/>
      <c r="BQ43" s="451"/>
      <c r="BR43" s="452"/>
      <c r="BS43" s="453"/>
      <c r="BT43" s="449">
        <f>SUM(L43:BO43)</f>
        <v>70521584</v>
      </c>
      <c r="BU43" s="450"/>
      <c r="BV43" s="451"/>
      <c r="BW43" s="452"/>
      <c r="BX43" s="453"/>
      <c r="BY43" s="449">
        <v>0</v>
      </c>
      <c r="BZ43" s="450"/>
      <c r="CA43" s="451"/>
      <c r="CB43" s="452"/>
      <c r="CC43" s="453"/>
      <c r="CD43" s="449">
        <v>0</v>
      </c>
      <c r="CE43" s="450"/>
      <c r="CF43" s="451"/>
      <c r="CG43" s="452"/>
      <c r="CH43" s="453"/>
      <c r="CI43" s="449">
        <v>0</v>
      </c>
      <c r="CJ43" s="450"/>
      <c r="CK43" s="451"/>
      <c r="CL43" s="452"/>
      <c r="CM43" s="453"/>
      <c r="CN43" s="449">
        <v>0</v>
      </c>
      <c r="CO43" s="450"/>
      <c r="CP43" s="451"/>
      <c r="CQ43" s="452"/>
      <c r="CR43" s="453"/>
      <c r="CS43" s="449">
        <v>0</v>
      </c>
      <c r="CT43" s="450"/>
      <c r="CU43" s="451"/>
      <c r="CV43" s="452"/>
      <c r="CW43" s="453"/>
      <c r="CX43" s="449">
        <v>0</v>
      </c>
      <c r="CY43" s="450"/>
      <c r="CZ43" s="451"/>
      <c r="DA43" s="452"/>
      <c r="DB43" s="453"/>
      <c r="DC43" s="449">
        <v>0</v>
      </c>
      <c r="DD43" s="450"/>
      <c r="DE43" s="451"/>
      <c r="DF43" s="452"/>
      <c r="DG43" s="453"/>
      <c r="DH43" s="449">
        <v>0</v>
      </c>
      <c r="DI43" s="450"/>
      <c r="DJ43" s="451"/>
      <c r="DK43" s="452"/>
      <c r="DL43" s="453"/>
      <c r="DM43" s="449">
        <v>0</v>
      </c>
      <c r="DN43" s="450"/>
      <c r="DO43" s="451"/>
      <c r="DP43" s="452"/>
      <c r="DQ43" s="453"/>
      <c r="DR43" s="449">
        <v>0</v>
      </c>
      <c r="DS43" s="450"/>
      <c r="DT43" s="451"/>
      <c r="DU43" s="452"/>
      <c r="DV43" s="453"/>
      <c r="DW43" s="449">
        <v>0</v>
      </c>
      <c r="DX43" s="450"/>
      <c r="DY43" s="451"/>
      <c r="DZ43" s="452"/>
      <c r="EA43" s="453"/>
      <c r="EB43" s="449">
        <v>0</v>
      </c>
      <c r="EC43" s="450"/>
      <c r="ED43" s="451"/>
      <c r="EE43" s="452"/>
      <c r="EF43" s="453"/>
      <c r="EG43" s="449">
        <v>0</v>
      </c>
      <c r="EH43" s="450"/>
      <c r="EI43" s="451"/>
      <c r="EJ43" s="452"/>
      <c r="EK43" s="453"/>
      <c r="EL43" s="449">
        <f>SUM(CD43:DW43)</f>
        <v>0</v>
      </c>
      <c r="EM43" s="450"/>
      <c r="EN43" s="451"/>
      <c r="EO43" s="13"/>
    </row>
    <row r="44" spans="4:145" ht="12.75" customHeight="1" x14ac:dyDescent="0.2">
      <c r="D44" s="13" t="s">
        <v>349</v>
      </c>
      <c r="E44" s="198"/>
      <c r="F44" s="198"/>
      <c r="G44" s="451">
        <v>0</v>
      </c>
      <c r="H44" s="455"/>
      <c r="I44" s="451"/>
      <c r="J44" s="452"/>
      <c r="K44" s="452"/>
      <c r="L44" s="451">
        <v>0</v>
      </c>
      <c r="M44" s="455"/>
      <c r="N44" s="451"/>
      <c r="O44" s="452"/>
      <c r="P44" s="452"/>
      <c r="Q44" s="451">
        <v>0</v>
      </c>
      <c r="R44" s="455"/>
      <c r="S44" s="451"/>
      <c r="T44" s="452"/>
      <c r="U44" s="452"/>
      <c r="V44" s="451">
        <v>0</v>
      </c>
      <c r="W44" s="455"/>
      <c r="X44" s="451"/>
      <c r="Y44" s="452"/>
      <c r="Z44" s="452"/>
      <c r="AA44" s="451">
        <v>0</v>
      </c>
      <c r="AB44" s="455"/>
      <c r="AC44" s="451"/>
      <c r="AD44" s="452"/>
      <c r="AE44" s="452"/>
      <c r="AF44" s="451">
        <v>0</v>
      </c>
      <c r="AG44" s="455"/>
      <c r="AH44" s="451"/>
      <c r="AI44" s="452"/>
      <c r="AJ44" s="452"/>
      <c r="AK44" s="451">
        <v>0</v>
      </c>
      <c r="AL44" s="455"/>
      <c r="AM44" s="451"/>
      <c r="AN44" s="452"/>
      <c r="AO44" s="452"/>
      <c r="AP44" s="451">
        <v>0</v>
      </c>
      <c r="AQ44" s="455"/>
      <c r="AR44" s="451"/>
      <c r="AS44" s="452"/>
      <c r="AT44" s="452"/>
      <c r="AU44" s="451">
        <v>0</v>
      </c>
      <c r="AV44" s="455"/>
      <c r="AW44" s="451"/>
      <c r="AX44" s="452"/>
      <c r="AY44" s="452"/>
      <c r="AZ44" s="451">
        <v>0</v>
      </c>
      <c r="BA44" s="455"/>
      <c r="BB44" s="451"/>
      <c r="BC44" s="452"/>
      <c r="BD44" s="452"/>
      <c r="BE44" s="451">
        <v>0</v>
      </c>
      <c r="BF44" s="455"/>
      <c r="BG44" s="451"/>
      <c r="BH44" s="452"/>
      <c r="BI44" s="452"/>
      <c r="BJ44" s="451">
        <v>0</v>
      </c>
      <c r="BK44" s="455"/>
      <c r="BL44" s="451"/>
      <c r="BM44" s="452"/>
      <c r="BN44" s="452"/>
      <c r="BO44" s="451">
        <v>0</v>
      </c>
      <c r="BP44" s="455"/>
      <c r="BQ44" s="451"/>
      <c r="BR44" s="452"/>
      <c r="BS44" s="452"/>
      <c r="BT44" s="451">
        <f>SUM(L44:BO44)</f>
        <v>0</v>
      </c>
      <c r="BU44" s="455"/>
      <c r="BV44" s="451"/>
      <c r="BW44" s="452"/>
      <c r="BX44" s="452"/>
      <c r="BY44" s="451">
        <v>0</v>
      </c>
      <c r="BZ44" s="455"/>
      <c r="CA44" s="451"/>
      <c r="CB44" s="452"/>
      <c r="CC44" s="452"/>
      <c r="CD44" s="451">
        <v>0</v>
      </c>
      <c r="CE44" s="455"/>
      <c r="CF44" s="451"/>
      <c r="CG44" s="452"/>
      <c r="CH44" s="452"/>
      <c r="CI44" s="451">
        <v>0</v>
      </c>
      <c r="CJ44" s="455"/>
      <c r="CK44" s="451"/>
      <c r="CL44" s="452"/>
      <c r="CM44" s="452"/>
      <c r="CN44" s="451">
        <v>0</v>
      </c>
      <c r="CO44" s="455"/>
      <c r="CP44" s="451"/>
      <c r="CQ44" s="452"/>
      <c r="CR44" s="452"/>
      <c r="CS44" s="451">
        <v>0</v>
      </c>
      <c r="CT44" s="455"/>
      <c r="CU44" s="451"/>
      <c r="CV44" s="452"/>
      <c r="CW44" s="452"/>
      <c r="CX44" s="451">
        <v>0</v>
      </c>
      <c r="CY44" s="455"/>
      <c r="CZ44" s="451"/>
      <c r="DA44" s="452"/>
      <c r="DB44" s="452"/>
      <c r="DC44" s="451">
        <v>0</v>
      </c>
      <c r="DD44" s="455"/>
      <c r="DE44" s="451"/>
      <c r="DF44" s="452"/>
      <c r="DG44" s="452"/>
      <c r="DH44" s="451">
        <v>0</v>
      </c>
      <c r="DI44" s="455"/>
      <c r="DJ44" s="451"/>
      <c r="DK44" s="452"/>
      <c r="DL44" s="452"/>
      <c r="DM44" s="451">
        <v>0</v>
      </c>
      <c r="DN44" s="455"/>
      <c r="DO44" s="451"/>
      <c r="DP44" s="452"/>
      <c r="DQ44" s="452"/>
      <c r="DR44" s="451">
        <v>0</v>
      </c>
      <c r="DS44" s="455"/>
      <c r="DT44" s="451"/>
      <c r="DU44" s="452"/>
      <c r="DV44" s="452"/>
      <c r="DW44" s="451">
        <v>0</v>
      </c>
      <c r="DX44" s="455"/>
      <c r="DY44" s="451"/>
      <c r="DZ44" s="452"/>
      <c r="EA44" s="452"/>
      <c r="EB44" s="451">
        <v>0</v>
      </c>
      <c r="EC44" s="455"/>
      <c r="ED44" s="451"/>
      <c r="EE44" s="452"/>
      <c r="EF44" s="452"/>
      <c r="EG44" s="451">
        <v>0</v>
      </c>
      <c r="EH44" s="455"/>
      <c r="EI44" s="451"/>
      <c r="EJ44" s="452"/>
      <c r="EK44" s="452"/>
      <c r="EL44" s="451">
        <f>SUM(CD44:DW44)</f>
        <v>0</v>
      </c>
      <c r="EM44" s="455"/>
      <c r="EN44" s="451"/>
      <c r="EO44" s="13"/>
    </row>
    <row r="45" spans="4:145" ht="12.75" customHeight="1" x14ac:dyDescent="0.2">
      <c r="D45" s="13" t="s">
        <v>357</v>
      </c>
      <c r="E45" s="198"/>
      <c r="F45" s="385"/>
      <c r="G45" s="463">
        <v>0</v>
      </c>
      <c r="H45" s="464"/>
      <c r="I45" s="451"/>
      <c r="J45" s="452"/>
      <c r="K45" s="465"/>
      <c r="L45" s="463">
        <v>0</v>
      </c>
      <c r="M45" s="464"/>
      <c r="N45" s="451"/>
      <c r="O45" s="452"/>
      <c r="P45" s="465"/>
      <c r="Q45" s="463">
        <v>0</v>
      </c>
      <c r="R45" s="464"/>
      <c r="S45" s="451"/>
      <c r="T45" s="452"/>
      <c r="U45" s="465"/>
      <c r="V45" s="463">
        <v>0</v>
      </c>
      <c r="W45" s="464"/>
      <c r="X45" s="451"/>
      <c r="Y45" s="452"/>
      <c r="Z45" s="465"/>
      <c r="AA45" s="463">
        <v>0</v>
      </c>
      <c r="AB45" s="464"/>
      <c r="AC45" s="451"/>
      <c r="AD45" s="452"/>
      <c r="AE45" s="465"/>
      <c r="AF45" s="463">
        <v>0</v>
      </c>
      <c r="AG45" s="464"/>
      <c r="AH45" s="451"/>
      <c r="AI45" s="452"/>
      <c r="AJ45" s="465"/>
      <c r="AK45" s="463">
        <v>0</v>
      </c>
      <c r="AL45" s="464"/>
      <c r="AM45" s="451"/>
      <c r="AN45" s="452"/>
      <c r="AO45" s="465"/>
      <c r="AP45" s="463">
        <v>0</v>
      </c>
      <c r="AQ45" s="464"/>
      <c r="AR45" s="451"/>
      <c r="AS45" s="452"/>
      <c r="AT45" s="465"/>
      <c r="AU45" s="463">
        <v>0</v>
      </c>
      <c r="AV45" s="464"/>
      <c r="AW45" s="451"/>
      <c r="AX45" s="452"/>
      <c r="AY45" s="465"/>
      <c r="AZ45" s="463">
        <v>0</v>
      </c>
      <c r="BA45" s="464"/>
      <c r="BB45" s="451"/>
      <c r="BC45" s="452"/>
      <c r="BD45" s="465"/>
      <c r="BE45" s="463">
        <v>0</v>
      </c>
      <c r="BF45" s="464"/>
      <c r="BG45" s="451"/>
      <c r="BH45" s="452"/>
      <c r="BI45" s="465"/>
      <c r="BJ45" s="463">
        <v>0</v>
      </c>
      <c r="BK45" s="464"/>
      <c r="BL45" s="451"/>
      <c r="BM45" s="452"/>
      <c r="BN45" s="465"/>
      <c r="BO45" s="463">
        <v>0</v>
      </c>
      <c r="BP45" s="464"/>
      <c r="BQ45" s="451"/>
      <c r="BR45" s="452"/>
      <c r="BS45" s="465"/>
      <c r="BT45" s="463">
        <f>SUM(L45:BO45)</f>
        <v>0</v>
      </c>
      <c r="BU45" s="464"/>
      <c r="BV45" s="451"/>
      <c r="BW45" s="452"/>
      <c r="BX45" s="465"/>
      <c r="BY45" s="463">
        <v>0</v>
      </c>
      <c r="BZ45" s="464"/>
      <c r="CA45" s="451"/>
      <c r="CB45" s="452"/>
      <c r="CC45" s="465"/>
      <c r="CD45" s="463">
        <v>0</v>
      </c>
      <c r="CE45" s="464"/>
      <c r="CF45" s="451"/>
      <c r="CG45" s="452"/>
      <c r="CH45" s="465"/>
      <c r="CI45" s="463">
        <v>0</v>
      </c>
      <c r="CJ45" s="464"/>
      <c r="CK45" s="451"/>
      <c r="CL45" s="452"/>
      <c r="CM45" s="465"/>
      <c r="CN45" s="463">
        <v>0</v>
      </c>
      <c r="CO45" s="464"/>
      <c r="CP45" s="451"/>
      <c r="CQ45" s="452"/>
      <c r="CR45" s="465"/>
      <c r="CS45" s="463">
        <v>0</v>
      </c>
      <c r="CT45" s="464"/>
      <c r="CU45" s="451"/>
      <c r="CV45" s="452"/>
      <c r="CW45" s="465"/>
      <c r="CX45" s="463">
        <v>0</v>
      </c>
      <c r="CY45" s="464"/>
      <c r="CZ45" s="451"/>
      <c r="DA45" s="452"/>
      <c r="DB45" s="465"/>
      <c r="DC45" s="463">
        <v>0</v>
      </c>
      <c r="DD45" s="464"/>
      <c r="DE45" s="451"/>
      <c r="DF45" s="452"/>
      <c r="DG45" s="465"/>
      <c r="DH45" s="463">
        <v>0</v>
      </c>
      <c r="DI45" s="464"/>
      <c r="DJ45" s="451"/>
      <c r="DK45" s="452"/>
      <c r="DL45" s="465"/>
      <c r="DM45" s="463">
        <v>0</v>
      </c>
      <c r="DN45" s="464"/>
      <c r="DO45" s="451"/>
      <c r="DP45" s="452"/>
      <c r="DQ45" s="465"/>
      <c r="DR45" s="463">
        <v>0</v>
      </c>
      <c r="DS45" s="464"/>
      <c r="DT45" s="451"/>
      <c r="DU45" s="452"/>
      <c r="DV45" s="465"/>
      <c r="DW45" s="463">
        <v>0</v>
      </c>
      <c r="DX45" s="464"/>
      <c r="DY45" s="451"/>
      <c r="DZ45" s="452"/>
      <c r="EA45" s="465"/>
      <c r="EB45" s="463">
        <v>0</v>
      </c>
      <c r="EC45" s="464"/>
      <c r="ED45" s="451"/>
      <c r="EE45" s="452"/>
      <c r="EF45" s="465"/>
      <c r="EG45" s="463">
        <v>0</v>
      </c>
      <c r="EH45" s="464"/>
      <c r="EI45" s="451"/>
      <c r="EJ45" s="452"/>
      <c r="EK45" s="465"/>
      <c r="EL45" s="463">
        <f>SUM(CD45:DW45)</f>
        <v>0</v>
      </c>
      <c r="EM45" s="464"/>
      <c r="EN45" s="451"/>
      <c r="EO45" s="13"/>
    </row>
    <row r="46" spans="4:145" ht="12.75" customHeight="1" x14ac:dyDescent="0.2">
      <c r="D46" s="50"/>
      <c r="E46" s="502"/>
      <c r="F46" s="38"/>
      <c r="G46" s="451"/>
      <c r="H46" s="451"/>
      <c r="I46" s="451"/>
      <c r="J46" s="452"/>
      <c r="K46" s="451"/>
      <c r="L46" s="451"/>
      <c r="M46" s="451"/>
      <c r="N46" s="451"/>
      <c r="O46" s="452"/>
      <c r="P46" s="451"/>
      <c r="Q46" s="451"/>
      <c r="R46" s="451"/>
      <c r="S46" s="451"/>
      <c r="T46" s="452"/>
      <c r="U46" s="451"/>
      <c r="V46" s="451"/>
      <c r="W46" s="451"/>
      <c r="X46" s="451"/>
      <c r="Y46" s="452"/>
      <c r="Z46" s="451"/>
      <c r="AA46" s="451"/>
      <c r="AB46" s="451"/>
      <c r="AC46" s="451"/>
      <c r="AD46" s="452"/>
      <c r="AE46" s="451"/>
      <c r="AF46" s="451"/>
      <c r="AG46" s="451"/>
      <c r="AH46" s="451"/>
      <c r="AI46" s="452"/>
      <c r="AJ46" s="451"/>
      <c r="AK46" s="451"/>
      <c r="AL46" s="451"/>
      <c r="AM46" s="451"/>
      <c r="AN46" s="452"/>
      <c r="AO46" s="451"/>
      <c r="AP46" s="451"/>
      <c r="AQ46" s="451"/>
      <c r="AR46" s="451"/>
      <c r="AS46" s="452"/>
      <c r="AT46" s="451"/>
      <c r="AU46" s="451"/>
      <c r="AV46" s="451"/>
      <c r="AW46" s="451"/>
      <c r="AX46" s="452"/>
      <c r="AY46" s="451"/>
      <c r="AZ46" s="451"/>
      <c r="BA46" s="451"/>
      <c r="BB46" s="451"/>
      <c r="BC46" s="452"/>
      <c r="BD46" s="451"/>
      <c r="BE46" s="451"/>
      <c r="BF46" s="451"/>
      <c r="BG46" s="451"/>
      <c r="BH46" s="452"/>
      <c r="BI46" s="451"/>
      <c r="BJ46" s="451"/>
      <c r="BK46" s="451"/>
      <c r="BL46" s="451"/>
      <c r="BM46" s="452"/>
      <c r="BN46" s="451"/>
      <c r="BO46" s="451"/>
      <c r="BP46" s="451"/>
      <c r="BQ46" s="451"/>
      <c r="BR46" s="452"/>
      <c r="BS46" s="451"/>
      <c r="BT46" s="451"/>
      <c r="BU46" s="451"/>
      <c r="BV46" s="451"/>
      <c r="BW46" s="452"/>
      <c r="BX46" s="451"/>
      <c r="BY46" s="451"/>
      <c r="BZ46" s="451"/>
      <c r="CA46" s="451"/>
      <c r="CB46" s="452"/>
      <c r="CC46" s="451"/>
      <c r="CD46" s="451"/>
      <c r="CE46" s="451"/>
      <c r="CF46" s="451"/>
      <c r="CG46" s="452"/>
      <c r="CH46" s="451"/>
      <c r="CI46" s="451"/>
      <c r="CJ46" s="451"/>
      <c r="CK46" s="451"/>
      <c r="CL46" s="452"/>
      <c r="CM46" s="451"/>
      <c r="CN46" s="451"/>
      <c r="CO46" s="451"/>
      <c r="CP46" s="451"/>
      <c r="CQ46" s="452"/>
      <c r="CR46" s="451"/>
      <c r="CS46" s="451"/>
      <c r="CT46" s="451"/>
      <c r="CU46" s="451"/>
      <c r="CV46" s="452"/>
      <c r="CW46" s="451"/>
      <c r="CX46" s="451"/>
      <c r="CY46" s="451"/>
      <c r="CZ46" s="451"/>
      <c r="DA46" s="452"/>
      <c r="DB46" s="451"/>
      <c r="DC46" s="451"/>
      <c r="DD46" s="451"/>
      <c r="DE46" s="451"/>
      <c r="DF46" s="452"/>
      <c r="DG46" s="451"/>
      <c r="DH46" s="451"/>
      <c r="DI46" s="451"/>
      <c r="DJ46" s="451"/>
      <c r="DK46" s="452"/>
      <c r="DL46" s="451"/>
      <c r="DM46" s="451"/>
      <c r="DN46" s="451"/>
      <c r="DO46" s="451"/>
      <c r="DP46" s="452"/>
      <c r="DQ46" s="451"/>
      <c r="DR46" s="451"/>
      <c r="DS46" s="451"/>
      <c r="DT46" s="451"/>
      <c r="DU46" s="452"/>
      <c r="DV46" s="451"/>
      <c r="DW46" s="451"/>
      <c r="DX46" s="451"/>
      <c r="DY46" s="451"/>
      <c r="DZ46" s="452"/>
      <c r="EA46" s="451"/>
      <c r="EB46" s="451"/>
      <c r="EC46" s="451"/>
      <c r="ED46" s="451"/>
      <c r="EE46" s="452"/>
      <c r="EF46" s="451"/>
      <c r="EG46" s="451"/>
      <c r="EH46" s="451"/>
      <c r="EI46" s="451"/>
      <c r="EJ46" s="452"/>
      <c r="EK46" s="451"/>
      <c r="EL46" s="451"/>
      <c r="EM46" s="451"/>
      <c r="EN46" s="451"/>
      <c r="EO46" s="13"/>
    </row>
    <row r="47" spans="4:145" ht="12.75" hidden="1" customHeight="1" x14ac:dyDescent="0.2">
      <c r="D47" s="13" t="s">
        <v>455</v>
      </c>
      <c r="E47" s="198"/>
      <c r="G47" s="451">
        <v>0</v>
      </c>
      <c r="H47" s="451"/>
      <c r="I47" s="451"/>
      <c r="J47" s="452"/>
      <c r="K47" s="451"/>
      <c r="L47" s="451">
        <f>L48+L50</f>
        <v>0</v>
      </c>
      <c r="M47" s="451"/>
      <c r="N47" s="451"/>
      <c r="O47" s="452"/>
      <c r="P47" s="451"/>
      <c r="Q47" s="451">
        <f>Q48+Q50</f>
        <v>0</v>
      </c>
      <c r="R47" s="451"/>
      <c r="S47" s="451"/>
      <c r="T47" s="452"/>
      <c r="U47" s="451"/>
      <c r="V47" s="451">
        <f>V48+V50</f>
        <v>0</v>
      </c>
      <c r="W47" s="451"/>
      <c r="X47" s="451"/>
      <c r="Y47" s="452"/>
      <c r="Z47" s="451"/>
      <c r="AA47" s="451">
        <f>AA48+AA50</f>
        <v>0</v>
      </c>
      <c r="AB47" s="451"/>
      <c r="AC47" s="451"/>
      <c r="AD47" s="452"/>
      <c r="AE47" s="451"/>
      <c r="AF47" s="451">
        <f>AF48+AF50</f>
        <v>0</v>
      </c>
      <c r="AG47" s="451"/>
      <c r="AH47" s="451"/>
      <c r="AI47" s="452"/>
      <c r="AJ47" s="451"/>
      <c r="AK47" s="451">
        <f>AK48+AK50</f>
        <v>0</v>
      </c>
      <c r="AL47" s="451"/>
      <c r="AM47" s="451"/>
      <c r="AN47" s="452"/>
      <c r="AO47" s="451"/>
      <c r="AP47" s="451">
        <f>AP48+AP50</f>
        <v>0</v>
      </c>
      <c r="AQ47" s="451"/>
      <c r="AR47" s="451"/>
      <c r="AS47" s="452"/>
      <c r="AT47" s="451"/>
      <c r="AU47" s="451">
        <f>AU48+AU50</f>
        <v>0</v>
      </c>
      <c r="AV47" s="451"/>
      <c r="AW47" s="451"/>
      <c r="AX47" s="452"/>
      <c r="AY47" s="451"/>
      <c r="AZ47" s="451">
        <f>AZ48+AZ50</f>
        <v>0</v>
      </c>
      <c r="BA47" s="451"/>
      <c r="BB47" s="451"/>
      <c r="BC47" s="452"/>
      <c r="BD47" s="451"/>
      <c r="BE47" s="451">
        <f>BE48+BE50</f>
        <v>0</v>
      </c>
      <c r="BF47" s="451"/>
      <c r="BG47" s="451"/>
      <c r="BH47" s="452"/>
      <c r="BI47" s="451"/>
      <c r="BJ47" s="451">
        <f>BJ48+BJ50</f>
        <v>0</v>
      </c>
      <c r="BK47" s="451"/>
      <c r="BL47" s="451"/>
      <c r="BM47" s="452"/>
      <c r="BN47" s="451"/>
      <c r="BO47" s="451">
        <f>BO48+BO50</f>
        <v>0</v>
      </c>
      <c r="BP47" s="451"/>
      <c r="BQ47" s="451"/>
      <c r="BR47" s="452"/>
      <c r="BS47" s="451"/>
      <c r="BT47" s="451">
        <f>SUM(BT48:BT50)</f>
        <v>0</v>
      </c>
      <c r="BU47" s="451"/>
      <c r="BV47" s="451"/>
      <c r="BW47" s="452"/>
      <c r="BX47" s="451"/>
      <c r="BY47" s="451">
        <f>SUM(BY48:BY50)</f>
        <v>0</v>
      </c>
      <c r="BZ47" s="451"/>
      <c r="CA47" s="451"/>
      <c r="CB47" s="452"/>
      <c r="CC47" s="451"/>
      <c r="CD47" s="451">
        <f>CD48+CD50</f>
        <v>0</v>
      </c>
      <c r="CE47" s="451"/>
      <c r="CF47" s="451"/>
      <c r="CG47" s="452"/>
      <c r="CH47" s="451"/>
      <c r="CI47" s="451">
        <f>CI48+CI50</f>
        <v>0</v>
      </c>
      <c r="CJ47" s="451"/>
      <c r="CK47" s="451"/>
      <c r="CL47" s="452"/>
      <c r="CM47" s="451"/>
      <c r="CN47" s="451">
        <f>CN48+CN50</f>
        <v>0</v>
      </c>
      <c r="CO47" s="451"/>
      <c r="CP47" s="451"/>
      <c r="CQ47" s="452"/>
      <c r="CR47" s="451"/>
      <c r="CS47" s="451">
        <f>CS48+CS50</f>
        <v>0</v>
      </c>
      <c r="CT47" s="451"/>
      <c r="CU47" s="451"/>
      <c r="CV47" s="452"/>
      <c r="CW47" s="451"/>
      <c r="CX47" s="451">
        <f>CX48+CX50</f>
        <v>0</v>
      </c>
      <c r="CY47" s="451"/>
      <c r="CZ47" s="451"/>
      <c r="DA47" s="452"/>
      <c r="DB47" s="451"/>
      <c r="DC47" s="451">
        <f>DC48+DC50</f>
        <v>0</v>
      </c>
      <c r="DD47" s="451"/>
      <c r="DE47" s="451"/>
      <c r="DF47" s="452"/>
      <c r="DG47" s="451"/>
      <c r="DH47" s="451">
        <f>DH48+DH50</f>
        <v>0</v>
      </c>
      <c r="DI47" s="451"/>
      <c r="DJ47" s="451"/>
      <c r="DK47" s="452"/>
      <c r="DL47" s="451"/>
      <c r="DM47" s="451">
        <f>DM48+DM50</f>
        <v>0</v>
      </c>
      <c r="DN47" s="451"/>
      <c r="DO47" s="451"/>
      <c r="DP47" s="452"/>
      <c r="DQ47" s="451"/>
      <c r="DR47" s="451">
        <f>DR48+DR50</f>
        <v>0</v>
      </c>
      <c r="DS47" s="451"/>
      <c r="DT47" s="451"/>
      <c r="DU47" s="452"/>
      <c r="DV47" s="451"/>
      <c r="DW47" s="451">
        <f>DW48+DW50</f>
        <v>0</v>
      </c>
      <c r="DX47" s="451"/>
      <c r="DY47" s="451"/>
      <c r="DZ47" s="452"/>
      <c r="EA47" s="451"/>
      <c r="EB47" s="451">
        <f>EB48+EB50</f>
        <v>0</v>
      </c>
      <c r="EC47" s="451"/>
      <c r="ED47" s="451"/>
      <c r="EE47" s="452"/>
      <c r="EF47" s="451"/>
      <c r="EG47" s="451">
        <f>EG48+EG50</f>
        <v>0</v>
      </c>
      <c r="EH47" s="451"/>
      <c r="EI47" s="451"/>
      <c r="EJ47" s="452"/>
      <c r="EK47" s="451"/>
      <c r="EL47" s="451">
        <f>SUM(EL48:EL50)</f>
        <v>0</v>
      </c>
      <c r="EM47" s="451"/>
      <c r="EN47" s="451"/>
      <c r="EO47" s="13"/>
    </row>
    <row r="48" spans="4:145" ht="12.75" hidden="1" customHeight="1" x14ac:dyDescent="0.2">
      <c r="D48" s="13" t="s">
        <v>347</v>
      </c>
      <c r="E48" s="198"/>
      <c r="F48" s="374"/>
      <c r="G48" s="449">
        <v>0</v>
      </c>
      <c r="H48" s="450"/>
      <c r="I48" s="451"/>
      <c r="J48" s="452"/>
      <c r="K48" s="453"/>
      <c r="L48" s="449">
        <v>0</v>
      </c>
      <c r="M48" s="450"/>
      <c r="N48" s="451"/>
      <c r="O48" s="452"/>
      <c r="P48" s="453"/>
      <c r="Q48" s="449">
        <v>0</v>
      </c>
      <c r="R48" s="450"/>
      <c r="S48" s="451"/>
      <c r="T48" s="452"/>
      <c r="U48" s="453"/>
      <c r="V48" s="449">
        <v>0</v>
      </c>
      <c r="W48" s="450"/>
      <c r="X48" s="451"/>
      <c r="Y48" s="452"/>
      <c r="Z48" s="453"/>
      <c r="AA48" s="449">
        <v>0</v>
      </c>
      <c r="AB48" s="450"/>
      <c r="AC48" s="451"/>
      <c r="AD48" s="452"/>
      <c r="AE48" s="453"/>
      <c r="AF48" s="449">
        <v>0</v>
      </c>
      <c r="AG48" s="450"/>
      <c r="AH48" s="451"/>
      <c r="AI48" s="452"/>
      <c r="AJ48" s="453"/>
      <c r="AK48" s="449">
        <v>0</v>
      </c>
      <c r="AL48" s="450"/>
      <c r="AM48" s="451"/>
      <c r="AN48" s="452"/>
      <c r="AO48" s="453"/>
      <c r="AP48" s="449">
        <v>0</v>
      </c>
      <c r="AQ48" s="450"/>
      <c r="AR48" s="451"/>
      <c r="AS48" s="452"/>
      <c r="AT48" s="453"/>
      <c r="AU48" s="449">
        <v>0</v>
      </c>
      <c r="AV48" s="450"/>
      <c r="AW48" s="451"/>
      <c r="AX48" s="452"/>
      <c r="AY48" s="453"/>
      <c r="AZ48" s="449">
        <v>0</v>
      </c>
      <c r="BA48" s="450"/>
      <c r="BB48" s="451"/>
      <c r="BC48" s="452"/>
      <c r="BD48" s="453"/>
      <c r="BE48" s="449">
        <v>0</v>
      </c>
      <c r="BF48" s="450"/>
      <c r="BG48" s="451"/>
      <c r="BH48" s="452"/>
      <c r="BI48" s="453"/>
      <c r="BJ48" s="449">
        <v>0</v>
      </c>
      <c r="BK48" s="450"/>
      <c r="BL48" s="451"/>
      <c r="BM48" s="452"/>
      <c r="BN48" s="453"/>
      <c r="BO48" s="449">
        <v>0</v>
      </c>
      <c r="BP48" s="450"/>
      <c r="BQ48" s="451"/>
      <c r="BR48" s="452"/>
      <c r="BS48" s="453"/>
      <c r="BT48" s="449">
        <f>SUM(L48:BO48)</f>
        <v>0</v>
      </c>
      <c r="BU48" s="450"/>
      <c r="BV48" s="451"/>
      <c r="BW48" s="452"/>
      <c r="BX48" s="453"/>
      <c r="BY48" s="449">
        <f>SUM(Q48:BT48)</f>
        <v>0</v>
      </c>
      <c r="BZ48" s="450"/>
      <c r="CA48" s="451"/>
      <c r="CB48" s="452"/>
      <c r="CC48" s="453"/>
      <c r="CD48" s="449">
        <v>0</v>
      </c>
      <c r="CE48" s="450"/>
      <c r="CF48" s="451"/>
      <c r="CG48" s="452"/>
      <c r="CH48" s="453"/>
      <c r="CI48" s="449">
        <v>0</v>
      </c>
      <c r="CJ48" s="450"/>
      <c r="CK48" s="451"/>
      <c r="CL48" s="452"/>
      <c r="CM48" s="453"/>
      <c r="CN48" s="449">
        <v>0</v>
      </c>
      <c r="CO48" s="450"/>
      <c r="CP48" s="451"/>
      <c r="CQ48" s="452"/>
      <c r="CR48" s="453"/>
      <c r="CS48" s="449">
        <v>0</v>
      </c>
      <c r="CT48" s="450"/>
      <c r="CU48" s="451"/>
      <c r="CV48" s="452"/>
      <c r="CW48" s="453"/>
      <c r="CX48" s="449">
        <v>0</v>
      </c>
      <c r="CY48" s="450"/>
      <c r="CZ48" s="451"/>
      <c r="DA48" s="452"/>
      <c r="DB48" s="453"/>
      <c r="DC48" s="449">
        <v>0</v>
      </c>
      <c r="DD48" s="450"/>
      <c r="DE48" s="451"/>
      <c r="DF48" s="452"/>
      <c r="DG48" s="453"/>
      <c r="DH48" s="449">
        <v>0</v>
      </c>
      <c r="DI48" s="450"/>
      <c r="DJ48" s="451"/>
      <c r="DK48" s="452"/>
      <c r="DL48" s="453"/>
      <c r="DM48" s="449">
        <v>0</v>
      </c>
      <c r="DN48" s="450"/>
      <c r="DO48" s="451"/>
      <c r="DP48" s="452"/>
      <c r="DQ48" s="453"/>
      <c r="DR48" s="449">
        <v>0</v>
      </c>
      <c r="DS48" s="450"/>
      <c r="DT48" s="451"/>
      <c r="DU48" s="452"/>
      <c r="DV48" s="453"/>
      <c r="DW48" s="449">
        <v>0</v>
      </c>
      <c r="DX48" s="450"/>
      <c r="DY48" s="451"/>
      <c r="DZ48" s="452"/>
      <c r="EA48" s="453"/>
      <c r="EB48" s="449">
        <v>0</v>
      </c>
      <c r="EC48" s="450"/>
      <c r="ED48" s="451"/>
      <c r="EE48" s="452"/>
      <c r="EF48" s="453"/>
      <c r="EG48" s="449">
        <v>0</v>
      </c>
      <c r="EH48" s="450"/>
      <c r="EI48" s="451"/>
      <c r="EJ48" s="452"/>
      <c r="EK48" s="453"/>
      <c r="EL48" s="449">
        <f>SUM(CD48:EG48)</f>
        <v>0</v>
      </c>
      <c r="EM48" s="450"/>
      <c r="EN48" s="451"/>
      <c r="EO48" s="13"/>
    </row>
    <row r="49" spans="4:148" ht="12.75" hidden="1" customHeight="1" x14ac:dyDescent="0.2">
      <c r="D49" s="13" t="s">
        <v>349</v>
      </c>
      <c r="E49" s="198"/>
      <c r="F49" s="198"/>
      <c r="G49" s="451">
        <v>0</v>
      </c>
      <c r="H49" s="455"/>
      <c r="I49" s="451"/>
      <c r="J49" s="452"/>
      <c r="K49" s="452"/>
      <c r="L49" s="451">
        <v>0</v>
      </c>
      <c r="M49" s="455"/>
      <c r="N49" s="451"/>
      <c r="O49" s="452"/>
      <c r="P49" s="452"/>
      <c r="Q49" s="451">
        <v>0</v>
      </c>
      <c r="R49" s="455"/>
      <c r="S49" s="451"/>
      <c r="T49" s="452"/>
      <c r="U49" s="452"/>
      <c r="V49" s="451">
        <v>0</v>
      </c>
      <c r="W49" s="455"/>
      <c r="X49" s="451"/>
      <c r="Y49" s="452"/>
      <c r="Z49" s="452"/>
      <c r="AA49" s="451">
        <v>0</v>
      </c>
      <c r="AB49" s="455"/>
      <c r="AC49" s="451"/>
      <c r="AD49" s="452"/>
      <c r="AE49" s="452"/>
      <c r="AF49" s="451">
        <v>0</v>
      </c>
      <c r="AG49" s="455"/>
      <c r="AH49" s="451"/>
      <c r="AI49" s="452"/>
      <c r="AJ49" s="452"/>
      <c r="AK49" s="451">
        <v>0</v>
      </c>
      <c r="AL49" s="455"/>
      <c r="AM49" s="451"/>
      <c r="AN49" s="452"/>
      <c r="AO49" s="452"/>
      <c r="AP49" s="451">
        <v>0</v>
      </c>
      <c r="AQ49" s="455"/>
      <c r="AR49" s="451"/>
      <c r="AS49" s="452"/>
      <c r="AT49" s="452"/>
      <c r="AU49" s="451">
        <v>0</v>
      </c>
      <c r="AV49" s="455"/>
      <c r="AW49" s="451"/>
      <c r="AX49" s="452"/>
      <c r="AY49" s="452"/>
      <c r="AZ49" s="451">
        <v>0</v>
      </c>
      <c r="BA49" s="455"/>
      <c r="BB49" s="451"/>
      <c r="BC49" s="452"/>
      <c r="BD49" s="452"/>
      <c r="BE49" s="451">
        <v>0</v>
      </c>
      <c r="BF49" s="455"/>
      <c r="BG49" s="451"/>
      <c r="BH49" s="452"/>
      <c r="BI49" s="452"/>
      <c r="BJ49" s="451">
        <v>0</v>
      </c>
      <c r="BK49" s="455"/>
      <c r="BL49" s="451"/>
      <c r="BM49" s="452"/>
      <c r="BN49" s="452"/>
      <c r="BO49" s="451">
        <v>0</v>
      </c>
      <c r="BP49" s="455"/>
      <c r="BQ49" s="451"/>
      <c r="BR49" s="452"/>
      <c r="BS49" s="452"/>
      <c r="BT49" s="451">
        <f>SUM(L49:BO49)</f>
        <v>0</v>
      </c>
      <c r="BU49" s="455"/>
      <c r="BV49" s="451"/>
      <c r="BW49" s="452"/>
      <c r="BX49" s="452"/>
      <c r="BY49" s="451">
        <f>SUM(Q49:BT49)</f>
        <v>0</v>
      </c>
      <c r="BZ49" s="455"/>
      <c r="CA49" s="451"/>
      <c r="CB49" s="452"/>
      <c r="CC49" s="452"/>
      <c r="CD49" s="451">
        <v>0</v>
      </c>
      <c r="CE49" s="455"/>
      <c r="CF49" s="451"/>
      <c r="CG49" s="452"/>
      <c r="CH49" s="452"/>
      <c r="CI49" s="451">
        <v>0</v>
      </c>
      <c r="CJ49" s="455"/>
      <c r="CK49" s="451"/>
      <c r="CL49" s="452"/>
      <c r="CM49" s="452"/>
      <c r="CN49" s="451">
        <v>0</v>
      </c>
      <c r="CO49" s="455"/>
      <c r="CP49" s="451"/>
      <c r="CQ49" s="452"/>
      <c r="CR49" s="452"/>
      <c r="CS49" s="451">
        <v>0</v>
      </c>
      <c r="CT49" s="455"/>
      <c r="CU49" s="451"/>
      <c r="CV49" s="452"/>
      <c r="CW49" s="452"/>
      <c r="CX49" s="451">
        <v>0</v>
      </c>
      <c r="CY49" s="455"/>
      <c r="CZ49" s="451"/>
      <c r="DA49" s="452"/>
      <c r="DB49" s="452"/>
      <c r="DC49" s="451">
        <v>0</v>
      </c>
      <c r="DD49" s="455"/>
      <c r="DE49" s="451"/>
      <c r="DF49" s="452"/>
      <c r="DG49" s="452"/>
      <c r="DH49" s="451">
        <v>0</v>
      </c>
      <c r="DI49" s="455"/>
      <c r="DJ49" s="451"/>
      <c r="DK49" s="452"/>
      <c r="DL49" s="452"/>
      <c r="DM49" s="451">
        <v>0</v>
      </c>
      <c r="DN49" s="455"/>
      <c r="DO49" s="451"/>
      <c r="DP49" s="452"/>
      <c r="DQ49" s="452"/>
      <c r="DR49" s="451">
        <v>0</v>
      </c>
      <c r="DS49" s="455"/>
      <c r="DT49" s="451"/>
      <c r="DU49" s="452"/>
      <c r="DV49" s="452"/>
      <c r="DW49" s="451">
        <v>0</v>
      </c>
      <c r="DX49" s="455"/>
      <c r="DY49" s="451"/>
      <c r="DZ49" s="452"/>
      <c r="EA49" s="452"/>
      <c r="EB49" s="451">
        <v>0</v>
      </c>
      <c r="EC49" s="455"/>
      <c r="ED49" s="451"/>
      <c r="EE49" s="452"/>
      <c r="EF49" s="452"/>
      <c r="EG49" s="451">
        <v>0</v>
      </c>
      <c r="EH49" s="455"/>
      <c r="EI49" s="451"/>
      <c r="EJ49" s="452"/>
      <c r="EK49" s="452"/>
      <c r="EL49" s="451">
        <f>SUM(CD49:EG49)</f>
        <v>0</v>
      </c>
      <c r="EM49" s="455"/>
      <c r="EN49" s="451"/>
      <c r="EO49" s="13"/>
    </row>
    <row r="50" spans="4:148" ht="12.75" hidden="1" customHeight="1" x14ac:dyDescent="0.2">
      <c r="D50" s="13" t="s">
        <v>357</v>
      </c>
      <c r="E50" s="198"/>
      <c r="F50" s="385"/>
      <c r="G50" s="463">
        <v>0</v>
      </c>
      <c r="H50" s="464"/>
      <c r="I50" s="451"/>
      <c r="J50" s="452"/>
      <c r="K50" s="465"/>
      <c r="L50" s="463">
        <v>0</v>
      </c>
      <c r="M50" s="464"/>
      <c r="N50" s="451"/>
      <c r="O50" s="452"/>
      <c r="P50" s="465"/>
      <c r="Q50" s="463">
        <v>0</v>
      </c>
      <c r="R50" s="464"/>
      <c r="S50" s="451"/>
      <c r="T50" s="452"/>
      <c r="U50" s="465"/>
      <c r="V50" s="463">
        <v>0</v>
      </c>
      <c r="W50" s="464"/>
      <c r="X50" s="451"/>
      <c r="Y50" s="452"/>
      <c r="Z50" s="465"/>
      <c r="AA50" s="463">
        <v>0</v>
      </c>
      <c r="AB50" s="464"/>
      <c r="AC50" s="451"/>
      <c r="AD50" s="452"/>
      <c r="AE50" s="465"/>
      <c r="AF50" s="463">
        <v>0</v>
      </c>
      <c r="AG50" s="464"/>
      <c r="AH50" s="451"/>
      <c r="AI50" s="452"/>
      <c r="AJ50" s="465"/>
      <c r="AK50" s="463">
        <v>0</v>
      </c>
      <c r="AL50" s="464"/>
      <c r="AM50" s="451"/>
      <c r="AN50" s="452"/>
      <c r="AO50" s="465"/>
      <c r="AP50" s="463">
        <v>0</v>
      </c>
      <c r="AQ50" s="464"/>
      <c r="AR50" s="451"/>
      <c r="AS50" s="452"/>
      <c r="AT50" s="465"/>
      <c r="AU50" s="463">
        <v>0</v>
      </c>
      <c r="AV50" s="464"/>
      <c r="AW50" s="451"/>
      <c r="AX50" s="452"/>
      <c r="AY50" s="465"/>
      <c r="AZ50" s="463">
        <v>0</v>
      </c>
      <c r="BA50" s="464"/>
      <c r="BB50" s="451"/>
      <c r="BC50" s="452"/>
      <c r="BD50" s="465"/>
      <c r="BE50" s="463">
        <v>0</v>
      </c>
      <c r="BF50" s="464"/>
      <c r="BG50" s="451"/>
      <c r="BH50" s="452"/>
      <c r="BI50" s="465"/>
      <c r="BJ50" s="463">
        <v>0</v>
      </c>
      <c r="BK50" s="464"/>
      <c r="BL50" s="451"/>
      <c r="BM50" s="452"/>
      <c r="BN50" s="465"/>
      <c r="BO50" s="463">
        <v>0</v>
      </c>
      <c r="BP50" s="464"/>
      <c r="BQ50" s="451"/>
      <c r="BR50" s="452"/>
      <c r="BS50" s="465"/>
      <c r="BT50" s="463">
        <f>SUM(L50:BO50)</f>
        <v>0</v>
      </c>
      <c r="BU50" s="464"/>
      <c r="BV50" s="451"/>
      <c r="BW50" s="452"/>
      <c r="BX50" s="465"/>
      <c r="BY50" s="463">
        <f>SUM(Q50:BT50)</f>
        <v>0</v>
      </c>
      <c r="BZ50" s="464"/>
      <c r="CA50" s="451"/>
      <c r="CB50" s="452"/>
      <c r="CC50" s="465"/>
      <c r="CD50" s="463">
        <v>0</v>
      </c>
      <c r="CE50" s="464"/>
      <c r="CF50" s="451"/>
      <c r="CG50" s="452"/>
      <c r="CH50" s="465"/>
      <c r="CI50" s="463">
        <v>0</v>
      </c>
      <c r="CJ50" s="464"/>
      <c r="CK50" s="451"/>
      <c r="CL50" s="452"/>
      <c r="CM50" s="465"/>
      <c r="CN50" s="463">
        <v>0</v>
      </c>
      <c r="CO50" s="464"/>
      <c r="CP50" s="451"/>
      <c r="CQ50" s="452"/>
      <c r="CR50" s="465"/>
      <c r="CS50" s="463">
        <v>0</v>
      </c>
      <c r="CT50" s="464"/>
      <c r="CU50" s="451"/>
      <c r="CV50" s="452"/>
      <c r="CW50" s="465"/>
      <c r="CX50" s="463">
        <v>0</v>
      </c>
      <c r="CY50" s="464"/>
      <c r="CZ50" s="451"/>
      <c r="DA50" s="452"/>
      <c r="DB50" s="465"/>
      <c r="DC50" s="463">
        <v>0</v>
      </c>
      <c r="DD50" s="464"/>
      <c r="DE50" s="451"/>
      <c r="DF50" s="452"/>
      <c r="DG50" s="465"/>
      <c r="DH50" s="463">
        <v>0</v>
      </c>
      <c r="DI50" s="464"/>
      <c r="DJ50" s="451"/>
      <c r="DK50" s="452"/>
      <c r="DL50" s="465"/>
      <c r="DM50" s="463">
        <v>0</v>
      </c>
      <c r="DN50" s="464"/>
      <c r="DO50" s="451"/>
      <c r="DP50" s="452"/>
      <c r="DQ50" s="465"/>
      <c r="DR50" s="463">
        <v>0</v>
      </c>
      <c r="DS50" s="464"/>
      <c r="DT50" s="451"/>
      <c r="DU50" s="452"/>
      <c r="DV50" s="465"/>
      <c r="DW50" s="463">
        <v>0</v>
      </c>
      <c r="DX50" s="464"/>
      <c r="DY50" s="451"/>
      <c r="DZ50" s="452"/>
      <c r="EA50" s="465"/>
      <c r="EB50" s="463">
        <v>0</v>
      </c>
      <c r="EC50" s="464"/>
      <c r="ED50" s="451"/>
      <c r="EE50" s="452"/>
      <c r="EF50" s="465"/>
      <c r="EG50" s="463">
        <v>0</v>
      </c>
      <c r="EH50" s="464"/>
      <c r="EI50" s="451"/>
      <c r="EJ50" s="452"/>
      <c r="EK50" s="465"/>
      <c r="EL50" s="463">
        <f>SUM(CD50:EG50)</f>
        <v>0</v>
      </c>
      <c r="EM50" s="464"/>
      <c r="EN50" s="451"/>
      <c r="EO50" s="13"/>
    </row>
    <row r="51" spans="4:148" ht="12.75" hidden="1" customHeight="1" x14ac:dyDescent="0.2">
      <c r="D51" s="50"/>
      <c r="E51" s="502"/>
      <c r="F51" s="38"/>
      <c r="G51" s="451"/>
      <c r="H51" s="451"/>
      <c r="I51" s="451"/>
      <c r="J51" s="452"/>
      <c r="K51" s="451"/>
      <c r="L51" s="451"/>
      <c r="M51" s="451"/>
      <c r="N51" s="451"/>
      <c r="O51" s="452"/>
      <c r="P51" s="451"/>
      <c r="Q51" s="451"/>
      <c r="R51" s="451"/>
      <c r="S51" s="451"/>
      <c r="T51" s="452"/>
      <c r="U51" s="451"/>
      <c r="V51" s="451"/>
      <c r="W51" s="451"/>
      <c r="X51" s="451"/>
      <c r="Y51" s="452"/>
      <c r="Z51" s="451"/>
      <c r="AA51" s="451"/>
      <c r="AB51" s="451"/>
      <c r="AC51" s="451"/>
      <c r="AD51" s="452"/>
      <c r="AE51" s="451"/>
      <c r="AF51" s="451"/>
      <c r="AG51" s="451"/>
      <c r="AH51" s="451"/>
      <c r="AI51" s="452"/>
      <c r="AJ51" s="451"/>
      <c r="AK51" s="451"/>
      <c r="AL51" s="451"/>
      <c r="AM51" s="451"/>
      <c r="AN51" s="452"/>
      <c r="AO51" s="451"/>
      <c r="AP51" s="451"/>
      <c r="AQ51" s="451"/>
      <c r="AR51" s="451"/>
      <c r="AS51" s="452"/>
      <c r="AT51" s="451"/>
      <c r="AU51" s="451"/>
      <c r="AV51" s="451"/>
      <c r="AW51" s="451"/>
      <c r="AX51" s="452"/>
      <c r="AY51" s="451"/>
      <c r="AZ51" s="451"/>
      <c r="BA51" s="451"/>
      <c r="BB51" s="451"/>
      <c r="BC51" s="452"/>
      <c r="BD51" s="451"/>
      <c r="BE51" s="451"/>
      <c r="BF51" s="451"/>
      <c r="BG51" s="451"/>
      <c r="BH51" s="452"/>
      <c r="BI51" s="451"/>
      <c r="BJ51" s="451"/>
      <c r="BK51" s="451"/>
      <c r="BL51" s="451"/>
      <c r="BM51" s="452"/>
      <c r="BN51" s="451"/>
      <c r="BO51" s="451"/>
      <c r="BP51" s="451"/>
      <c r="BQ51" s="451"/>
      <c r="BR51" s="452"/>
      <c r="BS51" s="451"/>
      <c r="BT51" s="451"/>
      <c r="BU51" s="451"/>
      <c r="BV51" s="451"/>
      <c r="BW51" s="452"/>
      <c r="BX51" s="451"/>
      <c r="BY51" s="451"/>
      <c r="BZ51" s="451"/>
      <c r="CA51" s="451"/>
      <c r="CB51" s="452"/>
      <c r="CC51" s="451"/>
      <c r="CD51" s="451"/>
      <c r="CE51" s="451"/>
      <c r="CF51" s="451"/>
      <c r="CG51" s="452"/>
      <c r="CH51" s="451"/>
      <c r="CI51" s="451"/>
      <c r="CJ51" s="451"/>
      <c r="CK51" s="451"/>
      <c r="CL51" s="452"/>
      <c r="CM51" s="451"/>
      <c r="CN51" s="451"/>
      <c r="CO51" s="451"/>
      <c r="CP51" s="451"/>
      <c r="CQ51" s="452"/>
      <c r="CR51" s="451"/>
      <c r="CS51" s="451"/>
      <c r="CT51" s="451"/>
      <c r="CU51" s="451"/>
      <c r="CV51" s="452"/>
      <c r="CW51" s="451"/>
      <c r="CX51" s="451"/>
      <c r="CY51" s="451"/>
      <c r="CZ51" s="451"/>
      <c r="DA51" s="452"/>
      <c r="DB51" s="451"/>
      <c r="DC51" s="451"/>
      <c r="DD51" s="451"/>
      <c r="DE51" s="451"/>
      <c r="DF51" s="452"/>
      <c r="DG51" s="451"/>
      <c r="DH51" s="451"/>
      <c r="DI51" s="451"/>
      <c r="DJ51" s="451"/>
      <c r="DK51" s="452"/>
      <c r="DL51" s="451"/>
      <c r="DM51" s="451"/>
      <c r="DN51" s="451"/>
      <c r="DO51" s="451"/>
      <c r="DP51" s="452"/>
      <c r="DQ51" s="451"/>
      <c r="DR51" s="451"/>
      <c r="DS51" s="451"/>
      <c r="DT51" s="451"/>
      <c r="DU51" s="452"/>
      <c r="DV51" s="451"/>
      <c r="DW51" s="451"/>
      <c r="DX51" s="451"/>
      <c r="DY51" s="451"/>
      <c r="DZ51" s="452"/>
      <c r="EA51" s="451"/>
      <c r="EB51" s="451"/>
      <c r="EC51" s="451"/>
      <c r="ED51" s="451"/>
      <c r="EE51" s="452"/>
      <c r="EF51" s="451"/>
      <c r="EG51" s="451"/>
      <c r="EH51" s="451"/>
      <c r="EI51" s="451"/>
      <c r="EJ51" s="452"/>
      <c r="EK51" s="451"/>
      <c r="EL51" s="451"/>
      <c r="EM51" s="451"/>
      <c r="EN51" s="451"/>
      <c r="EO51" s="13"/>
    </row>
    <row r="52" spans="4:148" ht="12.75" hidden="1" customHeight="1" x14ac:dyDescent="0.2">
      <c r="D52" s="13" t="s">
        <v>456</v>
      </c>
      <c r="E52" s="198"/>
      <c r="G52" s="451">
        <v>0</v>
      </c>
      <c r="H52" s="451"/>
      <c r="I52" s="451"/>
      <c r="J52" s="452"/>
      <c r="K52" s="451"/>
      <c r="L52" s="451">
        <f>L53+L55</f>
        <v>0</v>
      </c>
      <c r="M52" s="451"/>
      <c r="N52" s="451"/>
      <c r="O52" s="452"/>
      <c r="P52" s="451"/>
      <c r="Q52" s="451">
        <f>Q53+Q55</f>
        <v>0</v>
      </c>
      <c r="R52" s="451"/>
      <c r="S52" s="451"/>
      <c r="T52" s="452"/>
      <c r="U52" s="451"/>
      <c r="V52" s="451">
        <f>V53+V55</f>
        <v>0</v>
      </c>
      <c r="W52" s="451"/>
      <c r="X52" s="451"/>
      <c r="Y52" s="452"/>
      <c r="Z52" s="451"/>
      <c r="AA52" s="451">
        <f>AA53+AA55</f>
        <v>0</v>
      </c>
      <c r="AB52" s="451"/>
      <c r="AC52" s="451"/>
      <c r="AD52" s="452"/>
      <c r="AE52" s="451"/>
      <c r="AF52" s="451">
        <f>AF53+AF55</f>
        <v>0</v>
      </c>
      <c r="AG52" s="451"/>
      <c r="AH52" s="451"/>
      <c r="AI52" s="452"/>
      <c r="AJ52" s="451"/>
      <c r="AK52" s="451">
        <f>AK53+AK55</f>
        <v>0</v>
      </c>
      <c r="AL52" s="451"/>
      <c r="AM52" s="451"/>
      <c r="AN52" s="452"/>
      <c r="AO52" s="451"/>
      <c r="AP52" s="451">
        <f>AP53+AP55</f>
        <v>0</v>
      </c>
      <c r="AQ52" s="451"/>
      <c r="AR52" s="451"/>
      <c r="AS52" s="452"/>
      <c r="AT52" s="451"/>
      <c r="AU52" s="451">
        <f>AU53+AU55</f>
        <v>0</v>
      </c>
      <c r="AV52" s="451"/>
      <c r="AW52" s="451"/>
      <c r="AX52" s="452"/>
      <c r="AY52" s="451"/>
      <c r="AZ52" s="451">
        <f>AZ53+AZ55</f>
        <v>0</v>
      </c>
      <c r="BA52" s="451"/>
      <c r="BB52" s="451"/>
      <c r="BC52" s="452"/>
      <c r="BD52" s="451"/>
      <c r="BE52" s="451">
        <f>BE53+BE55</f>
        <v>0</v>
      </c>
      <c r="BF52" s="451"/>
      <c r="BG52" s="451"/>
      <c r="BH52" s="452"/>
      <c r="BI52" s="451"/>
      <c r="BJ52" s="451">
        <f>BJ53+BJ55</f>
        <v>0</v>
      </c>
      <c r="BK52" s="451"/>
      <c r="BL52" s="451"/>
      <c r="BM52" s="452"/>
      <c r="BN52" s="451"/>
      <c r="BO52" s="451">
        <f>BO53+BO55</f>
        <v>0</v>
      </c>
      <c r="BP52" s="451"/>
      <c r="BQ52" s="451"/>
      <c r="BR52" s="452"/>
      <c r="BS52" s="451"/>
      <c r="BT52" s="451">
        <f>SUM(BT53:BT55)</f>
        <v>0</v>
      </c>
      <c r="BU52" s="451"/>
      <c r="BV52" s="451"/>
      <c r="BW52" s="452"/>
      <c r="BX52" s="451"/>
      <c r="BY52" s="451">
        <f>SUM(BY53:BY55)</f>
        <v>0</v>
      </c>
      <c r="BZ52" s="451"/>
      <c r="CA52" s="451"/>
      <c r="CB52" s="452"/>
      <c r="CC52" s="451"/>
      <c r="CD52" s="451">
        <f>CD53+CD55</f>
        <v>0</v>
      </c>
      <c r="CE52" s="451"/>
      <c r="CF52" s="451"/>
      <c r="CG52" s="452"/>
      <c r="CH52" s="451"/>
      <c r="CI52" s="451">
        <f>CI53+CI55</f>
        <v>0</v>
      </c>
      <c r="CJ52" s="451"/>
      <c r="CK52" s="451"/>
      <c r="CL52" s="452"/>
      <c r="CM52" s="451"/>
      <c r="CN52" s="451">
        <f>CN53+CN55</f>
        <v>0</v>
      </c>
      <c r="CO52" s="451"/>
      <c r="CP52" s="451"/>
      <c r="CQ52" s="452"/>
      <c r="CR52" s="451"/>
      <c r="CS52" s="451">
        <f>CS53+CS55</f>
        <v>0</v>
      </c>
      <c r="CT52" s="451"/>
      <c r="CU52" s="451"/>
      <c r="CV52" s="452"/>
      <c r="CW52" s="451"/>
      <c r="CX52" s="451">
        <f>CX53+CX55</f>
        <v>0</v>
      </c>
      <c r="CY52" s="451"/>
      <c r="CZ52" s="451"/>
      <c r="DA52" s="452"/>
      <c r="DB52" s="451"/>
      <c r="DC52" s="451">
        <f>DC53+DC55</f>
        <v>0</v>
      </c>
      <c r="DD52" s="451"/>
      <c r="DE52" s="451"/>
      <c r="DF52" s="452"/>
      <c r="DG52" s="451"/>
      <c r="DH52" s="451">
        <f>DH53+DH55</f>
        <v>0</v>
      </c>
      <c r="DI52" s="451"/>
      <c r="DJ52" s="451"/>
      <c r="DK52" s="452"/>
      <c r="DL52" s="451"/>
      <c r="DM52" s="451">
        <f>DM53+DM55</f>
        <v>0</v>
      </c>
      <c r="DN52" s="451"/>
      <c r="DO52" s="451"/>
      <c r="DP52" s="452"/>
      <c r="DQ52" s="451"/>
      <c r="DR52" s="451">
        <f>DR53+DR55</f>
        <v>0</v>
      </c>
      <c r="DS52" s="451"/>
      <c r="DT52" s="451"/>
      <c r="DU52" s="452"/>
      <c r="DV52" s="451"/>
      <c r="DW52" s="451">
        <f>DW53+DW55</f>
        <v>0</v>
      </c>
      <c r="DX52" s="451"/>
      <c r="DY52" s="451"/>
      <c r="DZ52" s="452"/>
      <c r="EA52" s="451"/>
      <c r="EB52" s="451">
        <f>EB53+EB55</f>
        <v>0</v>
      </c>
      <c r="EC52" s="451"/>
      <c r="ED52" s="451"/>
      <c r="EE52" s="452"/>
      <c r="EF52" s="451"/>
      <c r="EG52" s="451">
        <f>EG53+EG55</f>
        <v>0</v>
      </c>
      <c r="EH52" s="451"/>
      <c r="EI52" s="451"/>
      <c r="EJ52" s="452"/>
      <c r="EK52" s="451"/>
      <c r="EL52" s="451">
        <f>SUM(EL53:EL55)</f>
        <v>0</v>
      </c>
      <c r="EM52" s="451"/>
      <c r="EN52" s="451"/>
      <c r="EO52" s="13"/>
    </row>
    <row r="53" spans="4:148" ht="12.75" hidden="1" customHeight="1" x14ac:dyDescent="0.2">
      <c r="D53" s="13" t="s">
        <v>347</v>
      </c>
      <c r="E53" s="198"/>
      <c r="F53" s="374"/>
      <c r="G53" s="449">
        <v>0</v>
      </c>
      <c r="H53" s="450"/>
      <c r="I53" s="451"/>
      <c r="J53" s="452"/>
      <c r="K53" s="453"/>
      <c r="L53" s="449">
        <v>0</v>
      </c>
      <c r="M53" s="450"/>
      <c r="N53" s="451"/>
      <c r="O53" s="452"/>
      <c r="P53" s="453"/>
      <c r="Q53" s="449">
        <v>0</v>
      </c>
      <c r="R53" s="450"/>
      <c r="S53" s="451"/>
      <c r="T53" s="452"/>
      <c r="U53" s="453"/>
      <c r="V53" s="449">
        <v>0</v>
      </c>
      <c r="W53" s="450"/>
      <c r="X53" s="451"/>
      <c r="Y53" s="452"/>
      <c r="Z53" s="453"/>
      <c r="AA53" s="449">
        <v>0</v>
      </c>
      <c r="AB53" s="450"/>
      <c r="AC53" s="451"/>
      <c r="AD53" s="452"/>
      <c r="AE53" s="453"/>
      <c r="AF53" s="449">
        <v>0</v>
      </c>
      <c r="AG53" s="450"/>
      <c r="AH53" s="451"/>
      <c r="AI53" s="452"/>
      <c r="AJ53" s="453"/>
      <c r="AK53" s="449">
        <v>0</v>
      </c>
      <c r="AL53" s="450"/>
      <c r="AM53" s="451"/>
      <c r="AN53" s="452"/>
      <c r="AO53" s="453"/>
      <c r="AP53" s="449">
        <v>0</v>
      </c>
      <c r="AQ53" s="450"/>
      <c r="AR53" s="451"/>
      <c r="AS53" s="452"/>
      <c r="AT53" s="453"/>
      <c r="AU53" s="449">
        <v>0</v>
      </c>
      <c r="AV53" s="450"/>
      <c r="AW53" s="451"/>
      <c r="AX53" s="452"/>
      <c r="AY53" s="453"/>
      <c r="AZ53" s="449">
        <v>0</v>
      </c>
      <c r="BA53" s="450"/>
      <c r="BB53" s="451"/>
      <c r="BC53" s="452"/>
      <c r="BD53" s="453"/>
      <c r="BE53" s="449">
        <v>0</v>
      </c>
      <c r="BF53" s="450"/>
      <c r="BG53" s="451"/>
      <c r="BH53" s="452"/>
      <c r="BI53" s="453"/>
      <c r="BJ53" s="449">
        <v>0</v>
      </c>
      <c r="BK53" s="450"/>
      <c r="BL53" s="451"/>
      <c r="BM53" s="452"/>
      <c r="BN53" s="453"/>
      <c r="BO53" s="449">
        <v>0</v>
      </c>
      <c r="BP53" s="450"/>
      <c r="BQ53" s="451"/>
      <c r="BR53" s="452"/>
      <c r="BS53" s="453"/>
      <c r="BT53" s="449">
        <f>SUM(L53:BO53)</f>
        <v>0</v>
      </c>
      <c r="BU53" s="450"/>
      <c r="BV53" s="451"/>
      <c r="BW53" s="452"/>
      <c r="BX53" s="453"/>
      <c r="BY53" s="449">
        <f>SUM(Q53:BT53)</f>
        <v>0</v>
      </c>
      <c r="BZ53" s="450"/>
      <c r="CA53" s="451"/>
      <c r="CB53" s="452"/>
      <c r="CC53" s="453"/>
      <c r="CD53" s="449">
        <v>0</v>
      </c>
      <c r="CE53" s="450"/>
      <c r="CF53" s="451"/>
      <c r="CG53" s="452"/>
      <c r="CH53" s="453"/>
      <c r="CI53" s="449">
        <v>0</v>
      </c>
      <c r="CJ53" s="450"/>
      <c r="CK53" s="451"/>
      <c r="CL53" s="452"/>
      <c r="CM53" s="453"/>
      <c r="CN53" s="449">
        <v>0</v>
      </c>
      <c r="CO53" s="450"/>
      <c r="CP53" s="451"/>
      <c r="CQ53" s="452"/>
      <c r="CR53" s="453"/>
      <c r="CS53" s="449">
        <v>0</v>
      </c>
      <c r="CT53" s="450"/>
      <c r="CU53" s="451"/>
      <c r="CV53" s="452"/>
      <c r="CW53" s="453"/>
      <c r="CX53" s="449">
        <v>0</v>
      </c>
      <c r="CY53" s="450"/>
      <c r="CZ53" s="451"/>
      <c r="DA53" s="452"/>
      <c r="DB53" s="453"/>
      <c r="DC53" s="449">
        <v>0</v>
      </c>
      <c r="DD53" s="450"/>
      <c r="DE53" s="451"/>
      <c r="DF53" s="452"/>
      <c r="DG53" s="453"/>
      <c r="DH53" s="449">
        <v>0</v>
      </c>
      <c r="DI53" s="450"/>
      <c r="DJ53" s="451"/>
      <c r="DK53" s="452"/>
      <c r="DL53" s="453"/>
      <c r="DM53" s="449">
        <v>0</v>
      </c>
      <c r="DN53" s="450"/>
      <c r="DO53" s="451"/>
      <c r="DP53" s="452"/>
      <c r="DQ53" s="453"/>
      <c r="DR53" s="449">
        <v>0</v>
      </c>
      <c r="DS53" s="450"/>
      <c r="DT53" s="451"/>
      <c r="DU53" s="452"/>
      <c r="DV53" s="453"/>
      <c r="DW53" s="449">
        <v>0</v>
      </c>
      <c r="DX53" s="450"/>
      <c r="DY53" s="451"/>
      <c r="DZ53" s="452"/>
      <c r="EA53" s="453"/>
      <c r="EB53" s="449">
        <v>0</v>
      </c>
      <c r="EC53" s="450"/>
      <c r="ED53" s="451"/>
      <c r="EE53" s="452"/>
      <c r="EF53" s="453"/>
      <c r="EG53" s="449">
        <v>0</v>
      </c>
      <c r="EH53" s="450"/>
      <c r="EI53" s="451"/>
      <c r="EJ53" s="452"/>
      <c r="EK53" s="453"/>
      <c r="EL53" s="449">
        <f>SUM(CD53:EG53)</f>
        <v>0</v>
      </c>
      <c r="EM53" s="450"/>
      <c r="EN53" s="451"/>
      <c r="EO53" s="13"/>
    </row>
    <row r="54" spans="4:148" ht="12.75" hidden="1" customHeight="1" x14ac:dyDescent="0.2">
      <c r="D54" s="13" t="s">
        <v>349</v>
      </c>
      <c r="E54" s="198"/>
      <c r="F54" s="198"/>
      <c r="G54" s="451">
        <v>0</v>
      </c>
      <c r="H54" s="455"/>
      <c r="I54" s="451"/>
      <c r="J54" s="452"/>
      <c r="K54" s="452"/>
      <c r="L54" s="451">
        <v>0</v>
      </c>
      <c r="M54" s="455"/>
      <c r="N54" s="451"/>
      <c r="O54" s="452"/>
      <c r="P54" s="452"/>
      <c r="Q54" s="451">
        <v>0</v>
      </c>
      <c r="R54" s="455"/>
      <c r="S54" s="451"/>
      <c r="T54" s="452"/>
      <c r="U54" s="452"/>
      <c r="V54" s="451">
        <v>0</v>
      </c>
      <c r="W54" s="455"/>
      <c r="X54" s="451"/>
      <c r="Y54" s="452"/>
      <c r="Z54" s="452"/>
      <c r="AA54" s="451">
        <v>0</v>
      </c>
      <c r="AB54" s="455"/>
      <c r="AC54" s="451"/>
      <c r="AD54" s="452"/>
      <c r="AE54" s="452"/>
      <c r="AF54" s="451">
        <v>0</v>
      </c>
      <c r="AG54" s="455"/>
      <c r="AH54" s="451"/>
      <c r="AI54" s="452"/>
      <c r="AJ54" s="452"/>
      <c r="AK54" s="451">
        <v>0</v>
      </c>
      <c r="AL54" s="455"/>
      <c r="AM54" s="451"/>
      <c r="AN54" s="452"/>
      <c r="AO54" s="452"/>
      <c r="AP54" s="451">
        <v>0</v>
      </c>
      <c r="AQ54" s="455"/>
      <c r="AR54" s="451"/>
      <c r="AS54" s="452"/>
      <c r="AT54" s="452"/>
      <c r="AU54" s="451">
        <v>0</v>
      </c>
      <c r="AV54" s="455"/>
      <c r="AW54" s="451"/>
      <c r="AX54" s="452"/>
      <c r="AY54" s="452"/>
      <c r="AZ54" s="451">
        <v>0</v>
      </c>
      <c r="BA54" s="455"/>
      <c r="BB54" s="451"/>
      <c r="BC54" s="452"/>
      <c r="BD54" s="452"/>
      <c r="BE54" s="451">
        <v>0</v>
      </c>
      <c r="BF54" s="455"/>
      <c r="BG54" s="451"/>
      <c r="BH54" s="452"/>
      <c r="BI54" s="452"/>
      <c r="BJ54" s="451">
        <v>0</v>
      </c>
      <c r="BK54" s="455"/>
      <c r="BL54" s="451"/>
      <c r="BM54" s="452"/>
      <c r="BN54" s="452"/>
      <c r="BO54" s="451">
        <v>0</v>
      </c>
      <c r="BP54" s="455"/>
      <c r="BQ54" s="451"/>
      <c r="BR54" s="452"/>
      <c r="BS54" s="452"/>
      <c r="BT54" s="451">
        <f>SUM(L54:BO54)</f>
        <v>0</v>
      </c>
      <c r="BU54" s="455"/>
      <c r="BV54" s="451"/>
      <c r="BW54" s="452"/>
      <c r="BX54" s="452"/>
      <c r="BY54" s="451">
        <f>SUM(Q54:BT54)</f>
        <v>0</v>
      </c>
      <c r="BZ54" s="455"/>
      <c r="CA54" s="451"/>
      <c r="CB54" s="452"/>
      <c r="CC54" s="452"/>
      <c r="CD54" s="451">
        <v>0</v>
      </c>
      <c r="CE54" s="455"/>
      <c r="CF54" s="451"/>
      <c r="CG54" s="452"/>
      <c r="CH54" s="452"/>
      <c r="CI54" s="451">
        <v>0</v>
      </c>
      <c r="CJ54" s="455"/>
      <c r="CK54" s="451"/>
      <c r="CL54" s="452"/>
      <c r="CM54" s="452"/>
      <c r="CN54" s="451">
        <v>0</v>
      </c>
      <c r="CO54" s="455"/>
      <c r="CP54" s="451"/>
      <c r="CQ54" s="452"/>
      <c r="CR54" s="452"/>
      <c r="CS54" s="451">
        <v>0</v>
      </c>
      <c r="CT54" s="455"/>
      <c r="CU54" s="451"/>
      <c r="CV54" s="452"/>
      <c r="CW54" s="452"/>
      <c r="CX54" s="451">
        <v>0</v>
      </c>
      <c r="CY54" s="455"/>
      <c r="CZ54" s="451"/>
      <c r="DA54" s="452"/>
      <c r="DB54" s="452"/>
      <c r="DC54" s="451">
        <v>0</v>
      </c>
      <c r="DD54" s="455"/>
      <c r="DE54" s="451"/>
      <c r="DF54" s="452"/>
      <c r="DG54" s="452"/>
      <c r="DH54" s="451">
        <v>0</v>
      </c>
      <c r="DI54" s="455"/>
      <c r="DJ54" s="451"/>
      <c r="DK54" s="452"/>
      <c r="DL54" s="452"/>
      <c r="DM54" s="451">
        <v>0</v>
      </c>
      <c r="DN54" s="455"/>
      <c r="DO54" s="451"/>
      <c r="DP54" s="452"/>
      <c r="DQ54" s="452"/>
      <c r="DR54" s="451">
        <v>0</v>
      </c>
      <c r="DS54" s="455"/>
      <c r="DT54" s="451"/>
      <c r="DU54" s="452"/>
      <c r="DV54" s="452"/>
      <c r="DW54" s="451">
        <v>0</v>
      </c>
      <c r="DX54" s="455"/>
      <c r="DY54" s="451"/>
      <c r="DZ54" s="452"/>
      <c r="EA54" s="452"/>
      <c r="EB54" s="451">
        <v>0</v>
      </c>
      <c r="EC54" s="455"/>
      <c r="ED54" s="451"/>
      <c r="EE54" s="452"/>
      <c r="EF54" s="452"/>
      <c r="EG54" s="451">
        <v>0</v>
      </c>
      <c r="EH54" s="455"/>
      <c r="EI54" s="451"/>
      <c r="EJ54" s="452"/>
      <c r="EK54" s="452"/>
      <c r="EL54" s="451">
        <f>SUM(CD54:EG54)</f>
        <v>0</v>
      </c>
      <c r="EM54" s="455"/>
      <c r="EN54" s="451"/>
      <c r="EO54" s="13"/>
    </row>
    <row r="55" spans="4:148" ht="12.75" hidden="1" customHeight="1" x14ac:dyDescent="0.2">
      <c r="D55" s="13" t="s">
        <v>357</v>
      </c>
      <c r="E55" s="198"/>
      <c r="F55" s="385"/>
      <c r="G55" s="463">
        <v>0</v>
      </c>
      <c r="H55" s="464"/>
      <c r="I55" s="451"/>
      <c r="J55" s="452"/>
      <c r="K55" s="465"/>
      <c r="L55" s="463">
        <v>0</v>
      </c>
      <c r="M55" s="464"/>
      <c r="N55" s="451"/>
      <c r="O55" s="452"/>
      <c r="P55" s="465"/>
      <c r="Q55" s="463">
        <v>0</v>
      </c>
      <c r="R55" s="464"/>
      <c r="S55" s="451"/>
      <c r="T55" s="452"/>
      <c r="U55" s="465"/>
      <c r="V55" s="463">
        <v>0</v>
      </c>
      <c r="W55" s="464"/>
      <c r="X55" s="451"/>
      <c r="Y55" s="452"/>
      <c r="Z55" s="465"/>
      <c r="AA55" s="463">
        <v>0</v>
      </c>
      <c r="AB55" s="464"/>
      <c r="AC55" s="451"/>
      <c r="AD55" s="452"/>
      <c r="AE55" s="465"/>
      <c r="AF55" s="463">
        <v>0</v>
      </c>
      <c r="AG55" s="464"/>
      <c r="AH55" s="451"/>
      <c r="AI55" s="452"/>
      <c r="AJ55" s="465"/>
      <c r="AK55" s="463">
        <v>0</v>
      </c>
      <c r="AL55" s="464"/>
      <c r="AM55" s="451"/>
      <c r="AN55" s="452"/>
      <c r="AO55" s="465"/>
      <c r="AP55" s="463">
        <v>0</v>
      </c>
      <c r="AQ55" s="464"/>
      <c r="AR55" s="451"/>
      <c r="AS55" s="452"/>
      <c r="AT55" s="465"/>
      <c r="AU55" s="463">
        <v>0</v>
      </c>
      <c r="AV55" s="464"/>
      <c r="AW55" s="451"/>
      <c r="AX55" s="452"/>
      <c r="AY55" s="465"/>
      <c r="AZ55" s="463">
        <v>0</v>
      </c>
      <c r="BA55" s="464"/>
      <c r="BB55" s="451"/>
      <c r="BC55" s="452"/>
      <c r="BD55" s="465"/>
      <c r="BE55" s="463">
        <v>0</v>
      </c>
      <c r="BF55" s="464"/>
      <c r="BG55" s="451"/>
      <c r="BH55" s="452"/>
      <c r="BI55" s="465"/>
      <c r="BJ55" s="463">
        <v>0</v>
      </c>
      <c r="BK55" s="464"/>
      <c r="BL55" s="451"/>
      <c r="BM55" s="452"/>
      <c r="BN55" s="465"/>
      <c r="BO55" s="463">
        <v>0</v>
      </c>
      <c r="BP55" s="464"/>
      <c r="BQ55" s="451"/>
      <c r="BR55" s="452"/>
      <c r="BS55" s="465"/>
      <c r="BT55" s="463">
        <f>SUM(L55:BO55)</f>
        <v>0</v>
      </c>
      <c r="BU55" s="464"/>
      <c r="BV55" s="451"/>
      <c r="BW55" s="452"/>
      <c r="BX55" s="465"/>
      <c r="BY55" s="463">
        <f>SUM(Q55:BT55)</f>
        <v>0</v>
      </c>
      <c r="BZ55" s="464"/>
      <c r="CA55" s="451"/>
      <c r="CB55" s="452"/>
      <c r="CC55" s="465"/>
      <c r="CD55" s="463">
        <v>0</v>
      </c>
      <c r="CE55" s="464"/>
      <c r="CF55" s="451"/>
      <c r="CG55" s="452"/>
      <c r="CH55" s="465"/>
      <c r="CI55" s="463">
        <v>0</v>
      </c>
      <c r="CJ55" s="464"/>
      <c r="CK55" s="451"/>
      <c r="CL55" s="452"/>
      <c r="CM55" s="465"/>
      <c r="CN55" s="463">
        <v>0</v>
      </c>
      <c r="CO55" s="464"/>
      <c r="CP55" s="451"/>
      <c r="CQ55" s="452"/>
      <c r="CR55" s="465"/>
      <c r="CS55" s="463">
        <v>0</v>
      </c>
      <c r="CT55" s="464"/>
      <c r="CU55" s="451"/>
      <c r="CV55" s="452"/>
      <c r="CW55" s="465"/>
      <c r="CX55" s="463">
        <v>0</v>
      </c>
      <c r="CY55" s="464"/>
      <c r="CZ55" s="451"/>
      <c r="DA55" s="452"/>
      <c r="DB55" s="465"/>
      <c r="DC55" s="463">
        <v>0</v>
      </c>
      <c r="DD55" s="464"/>
      <c r="DE55" s="451"/>
      <c r="DF55" s="452"/>
      <c r="DG55" s="465"/>
      <c r="DH55" s="463">
        <v>0</v>
      </c>
      <c r="DI55" s="464"/>
      <c r="DJ55" s="451"/>
      <c r="DK55" s="452"/>
      <c r="DL55" s="465"/>
      <c r="DM55" s="463">
        <v>0</v>
      </c>
      <c r="DN55" s="464"/>
      <c r="DO55" s="451"/>
      <c r="DP55" s="452"/>
      <c r="DQ55" s="465"/>
      <c r="DR55" s="463">
        <v>0</v>
      </c>
      <c r="DS55" s="464"/>
      <c r="DT55" s="451"/>
      <c r="DU55" s="452"/>
      <c r="DV55" s="465"/>
      <c r="DW55" s="463">
        <v>0</v>
      </c>
      <c r="DX55" s="464"/>
      <c r="DY55" s="451"/>
      <c r="DZ55" s="452"/>
      <c r="EA55" s="465"/>
      <c r="EB55" s="463">
        <v>0</v>
      </c>
      <c r="EC55" s="464"/>
      <c r="ED55" s="451"/>
      <c r="EE55" s="452"/>
      <c r="EF55" s="465"/>
      <c r="EG55" s="463">
        <v>0</v>
      </c>
      <c r="EH55" s="464"/>
      <c r="EI55" s="451"/>
      <c r="EJ55" s="452"/>
      <c r="EK55" s="465"/>
      <c r="EL55" s="463">
        <f>SUM(CD55:EG55)</f>
        <v>0</v>
      </c>
      <c r="EM55" s="464"/>
      <c r="EN55" s="451"/>
      <c r="EO55" s="13"/>
    </row>
    <row r="56" spans="4:148" ht="12.75" hidden="1" customHeight="1" x14ac:dyDescent="0.2">
      <c r="D56" s="13"/>
      <c r="E56" s="198"/>
      <c r="G56" s="451"/>
      <c r="H56" s="451"/>
      <c r="I56" s="451"/>
      <c r="J56" s="452"/>
      <c r="K56" s="451"/>
      <c r="L56" s="451"/>
      <c r="M56" s="451"/>
      <c r="N56" s="451"/>
      <c r="O56" s="452"/>
      <c r="P56" s="451"/>
      <c r="Q56" s="451"/>
      <c r="R56" s="451"/>
      <c r="S56" s="451"/>
      <c r="T56" s="452"/>
      <c r="U56" s="451"/>
      <c r="V56" s="451"/>
      <c r="W56" s="451"/>
      <c r="X56" s="451"/>
      <c r="Y56" s="452"/>
      <c r="Z56" s="451"/>
      <c r="AA56" s="451"/>
      <c r="AB56" s="451"/>
      <c r="AC56" s="451"/>
      <c r="AD56" s="452"/>
      <c r="AE56" s="451"/>
      <c r="AF56" s="451"/>
      <c r="AG56" s="451"/>
      <c r="AH56" s="451"/>
      <c r="AI56" s="452"/>
      <c r="AJ56" s="451"/>
      <c r="AK56" s="451"/>
      <c r="AL56" s="451"/>
      <c r="AM56" s="451"/>
      <c r="AN56" s="452"/>
      <c r="AO56" s="451"/>
      <c r="AP56" s="451"/>
      <c r="AQ56" s="451"/>
      <c r="AR56" s="451"/>
      <c r="AS56" s="452"/>
      <c r="AT56" s="451"/>
      <c r="AU56" s="451"/>
      <c r="AV56" s="451"/>
      <c r="AW56" s="451"/>
      <c r="AX56" s="452"/>
      <c r="AY56" s="451"/>
      <c r="AZ56" s="451"/>
      <c r="BA56" s="451"/>
      <c r="BB56" s="451"/>
      <c r="BC56" s="452"/>
      <c r="BD56" s="451"/>
      <c r="BE56" s="451"/>
      <c r="BF56" s="451"/>
      <c r="BG56" s="451"/>
      <c r="BH56" s="452"/>
      <c r="BI56" s="451"/>
      <c r="BJ56" s="451"/>
      <c r="BK56" s="451"/>
      <c r="BL56" s="451"/>
      <c r="BM56" s="452"/>
      <c r="BN56" s="451"/>
      <c r="BO56" s="451"/>
      <c r="BP56" s="451"/>
      <c r="BQ56" s="451"/>
      <c r="BR56" s="452"/>
      <c r="BS56" s="451"/>
      <c r="BT56" s="451"/>
      <c r="BU56" s="451"/>
      <c r="BV56" s="451"/>
      <c r="BW56" s="452"/>
      <c r="BX56" s="451"/>
      <c r="BY56" s="451"/>
      <c r="BZ56" s="451"/>
      <c r="CA56" s="451"/>
      <c r="CB56" s="452"/>
      <c r="CC56" s="451"/>
      <c r="CD56" s="451"/>
      <c r="CE56" s="451"/>
      <c r="CF56" s="451"/>
      <c r="CG56" s="452"/>
      <c r="CH56" s="451"/>
      <c r="CI56" s="451"/>
      <c r="CJ56" s="451"/>
      <c r="CK56" s="451"/>
      <c r="CL56" s="452"/>
      <c r="CM56" s="451"/>
      <c r="CN56" s="451"/>
      <c r="CO56" s="451"/>
      <c r="CP56" s="451"/>
      <c r="CQ56" s="452"/>
      <c r="CR56" s="451"/>
      <c r="CS56" s="451"/>
      <c r="CT56" s="451"/>
      <c r="CU56" s="451"/>
      <c r="CV56" s="452"/>
      <c r="CW56" s="451"/>
      <c r="CX56" s="451"/>
      <c r="CY56" s="451"/>
      <c r="CZ56" s="451"/>
      <c r="DA56" s="452"/>
      <c r="DB56" s="451"/>
      <c r="DC56" s="451"/>
      <c r="DD56" s="451"/>
      <c r="DE56" s="451"/>
      <c r="DF56" s="452"/>
      <c r="DG56" s="451"/>
      <c r="DH56" s="451"/>
      <c r="DI56" s="451"/>
      <c r="DJ56" s="451"/>
      <c r="DK56" s="452"/>
      <c r="DL56" s="451"/>
      <c r="DM56" s="451"/>
      <c r="DN56" s="451"/>
      <c r="DO56" s="451"/>
      <c r="DP56" s="452"/>
      <c r="DQ56" s="451"/>
      <c r="DR56" s="451"/>
      <c r="DS56" s="451"/>
      <c r="DT56" s="451"/>
      <c r="DU56" s="452"/>
      <c r="DV56" s="451"/>
      <c r="DW56" s="451"/>
      <c r="DX56" s="451"/>
      <c r="DY56" s="451"/>
      <c r="DZ56" s="452"/>
      <c r="EA56" s="451"/>
      <c r="EB56" s="451"/>
      <c r="EC56" s="451"/>
      <c r="ED56" s="451"/>
      <c r="EE56" s="452"/>
      <c r="EF56" s="451"/>
      <c r="EG56" s="451"/>
      <c r="EH56" s="451"/>
      <c r="EI56" s="451"/>
      <c r="EJ56" s="452"/>
      <c r="EK56" s="451"/>
      <c r="EL56" s="451"/>
      <c r="EM56" s="451"/>
      <c r="EN56" s="451"/>
      <c r="EO56" s="13"/>
    </row>
    <row r="57" spans="4:148" ht="12.75" customHeight="1" x14ac:dyDescent="0.2">
      <c r="D57" s="13" t="s">
        <v>457</v>
      </c>
      <c r="E57" s="198"/>
      <c r="G57" s="451">
        <v>0</v>
      </c>
      <c r="H57" s="451"/>
      <c r="I57" s="451"/>
      <c r="J57" s="452"/>
      <c r="K57" s="451"/>
      <c r="L57" s="451">
        <f>SUM(L58:L60)</f>
        <v>0</v>
      </c>
      <c r="M57" s="451"/>
      <c r="N57" s="451"/>
      <c r="O57" s="452"/>
      <c r="P57" s="451"/>
      <c r="Q57" s="451">
        <f>SUM(Q58:Q60)</f>
        <v>0</v>
      </c>
      <c r="R57" s="451"/>
      <c r="S57" s="451"/>
      <c r="T57" s="452"/>
      <c r="U57" s="451"/>
      <c r="V57" s="451">
        <f>SUM(V58:V60)</f>
        <v>0</v>
      </c>
      <c r="W57" s="451"/>
      <c r="X57" s="451"/>
      <c r="Y57" s="452"/>
      <c r="Z57" s="451"/>
      <c r="AA57" s="451">
        <f>SUM(AA58:AA60)</f>
        <v>0</v>
      </c>
      <c r="AB57" s="451"/>
      <c r="AC57" s="451"/>
      <c r="AD57" s="452"/>
      <c r="AE57" s="451"/>
      <c r="AF57" s="451">
        <f>SUM(AF58:AF60)</f>
        <v>0</v>
      </c>
      <c r="AG57" s="451"/>
      <c r="AH57" s="451"/>
      <c r="AI57" s="452"/>
      <c r="AJ57" s="451"/>
      <c r="AK57" s="451">
        <f>SUM(AK58:AK60)</f>
        <v>0</v>
      </c>
      <c r="AL57" s="451"/>
      <c r="AM57" s="451"/>
      <c r="AN57" s="452"/>
      <c r="AO57" s="451"/>
      <c r="AP57" s="451">
        <f>SUM(AP58:AP60)</f>
        <v>5008164</v>
      </c>
      <c r="AQ57" s="451"/>
      <c r="AR57" s="451"/>
      <c r="AS57" s="452"/>
      <c r="AT57" s="451"/>
      <c r="AU57" s="451">
        <f>SUM(AU58:AU60)</f>
        <v>0</v>
      </c>
      <c r="AV57" s="451"/>
      <c r="AW57" s="451"/>
      <c r="AX57" s="452"/>
      <c r="AY57" s="451"/>
      <c r="AZ57" s="451">
        <f>SUM(AZ58:AZ60)</f>
        <v>0</v>
      </c>
      <c r="BA57" s="451"/>
      <c r="BB57" s="451"/>
      <c r="BC57" s="452"/>
      <c r="BD57" s="451"/>
      <c r="BE57" s="451">
        <f>SUM(BE58:BE60)</f>
        <v>0</v>
      </c>
      <c r="BF57" s="451"/>
      <c r="BG57" s="451"/>
      <c r="BH57" s="452"/>
      <c r="BI57" s="451"/>
      <c r="BJ57" s="451">
        <f>SUM(BJ58:BJ60)</f>
        <v>0</v>
      </c>
      <c r="BK57" s="451"/>
      <c r="BL57" s="451"/>
      <c r="BM57" s="452"/>
      <c r="BN57" s="451"/>
      <c r="BO57" s="451">
        <f>SUM(BO58:BO60)</f>
        <v>0</v>
      </c>
      <c r="BP57" s="451"/>
      <c r="BQ57" s="451"/>
      <c r="BR57" s="452"/>
      <c r="BS57" s="451"/>
      <c r="BT57" s="451">
        <f>SUM(BT58:BT60)</f>
        <v>5008164</v>
      </c>
      <c r="BU57" s="451"/>
      <c r="BV57" s="451"/>
      <c r="BW57" s="452"/>
      <c r="BX57" s="451"/>
      <c r="BY57" s="451">
        <f>SUM(BY58:BY60)</f>
        <v>10016328</v>
      </c>
      <c r="BZ57" s="451"/>
      <c r="CA57" s="451"/>
      <c r="CB57" s="452"/>
      <c r="CC57" s="451"/>
      <c r="CD57" s="451">
        <f>SUM(CD58:CD60)</f>
        <v>0</v>
      </c>
      <c r="CE57" s="451"/>
      <c r="CF57" s="451"/>
      <c r="CG57" s="452"/>
      <c r="CH57" s="451"/>
      <c r="CI57" s="451">
        <f>SUM(CI58:CI60)</f>
        <v>0</v>
      </c>
      <c r="CJ57" s="451"/>
      <c r="CK57" s="451"/>
      <c r="CL57" s="452"/>
      <c r="CM57" s="451"/>
      <c r="CN57" s="451">
        <f>SUM(CN58:CN60)</f>
        <v>0</v>
      </c>
      <c r="CO57" s="451"/>
      <c r="CP57" s="451"/>
      <c r="CQ57" s="452"/>
      <c r="CR57" s="451"/>
      <c r="CS57" s="451">
        <f>SUM(CS58:CS60)</f>
        <v>0</v>
      </c>
      <c r="CT57" s="451"/>
      <c r="CU57" s="451"/>
      <c r="CV57" s="452"/>
      <c r="CW57" s="451"/>
      <c r="CX57" s="451">
        <f>SUM(CX58:CX60)</f>
        <v>0</v>
      </c>
      <c r="CY57" s="451"/>
      <c r="CZ57" s="451"/>
      <c r="DA57" s="452"/>
      <c r="DB57" s="451"/>
      <c r="DC57" s="451">
        <f>SUM(DC58:DC60)</f>
        <v>0</v>
      </c>
      <c r="DD57" s="451"/>
      <c r="DE57" s="451"/>
      <c r="DF57" s="452"/>
      <c r="DG57" s="451"/>
      <c r="DH57" s="451">
        <f>SUM(DH58:DH60)</f>
        <v>0</v>
      </c>
      <c r="DI57" s="451"/>
      <c r="DJ57" s="451"/>
      <c r="DK57" s="452"/>
      <c r="DL57" s="451"/>
      <c r="DM57" s="451">
        <f>SUM(DM58:DM60)</f>
        <v>0</v>
      </c>
      <c r="DN57" s="451"/>
      <c r="DO57" s="451"/>
      <c r="DP57" s="452"/>
      <c r="DQ57" s="451"/>
      <c r="DR57" s="451">
        <f>SUM(DR58:DR60)</f>
        <v>0</v>
      </c>
      <c r="DS57" s="451"/>
      <c r="DT57" s="451"/>
      <c r="DU57" s="452"/>
      <c r="DV57" s="451"/>
      <c r="DW57" s="451">
        <f>SUM(DW58:DW60)</f>
        <v>0</v>
      </c>
      <c r="DX57" s="451"/>
      <c r="DY57" s="451"/>
      <c r="DZ57" s="452"/>
      <c r="EA57" s="451"/>
      <c r="EB57" s="451">
        <f>SUM(EB58:EB60)</f>
        <v>0</v>
      </c>
      <c r="EC57" s="451"/>
      <c r="ED57" s="451"/>
      <c r="EE57" s="452"/>
      <c r="EF57" s="451"/>
      <c r="EG57" s="451">
        <f>SUM(EG58:EG60)</f>
        <v>0</v>
      </c>
      <c r="EH57" s="451"/>
      <c r="EI57" s="451"/>
      <c r="EJ57" s="452"/>
      <c r="EK57" s="451"/>
      <c r="EL57" s="451">
        <f>SUM(EL58:EL60)</f>
        <v>0</v>
      </c>
      <c r="EM57" s="451"/>
      <c r="EN57" s="451"/>
      <c r="EO57" s="13"/>
    </row>
    <row r="58" spans="4:148" ht="12.75" customHeight="1" x14ac:dyDescent="0.2">
      <c r="D58" s="13" t="s">
        <v>347</v>
      </c>
      <c r="E58" s="198"/>
      <c r="F58" s="453"/>
      <c r="G58" s="449">
        <v>0</v>
      </c>
      <c r="H58" s="450"/>
      <c r="I58" s="451"/>
      <c r="J58" s="452"/>
      <c r="K58" s="453"/>
      <c r="L58" s="449">
        <v>0</v>
      </c>
      <c r="M58" s="450"/>
      <c r="N58" s="451"/>
      <c r="O58" s="452"/>
      <c r="P58" s="453"/>
      <c r="Q58" s="449">
        <v>0</v>
      </c>
      <c r="R58" s="450"/>
      <c r="S58" s="451"/>
      <c r="T58" s="452"/>
      <c r="U58" s="453"/>
      <c r="V58" s="449">
        <v>0</v>
      </c>
      <c r="W58" s="450"/>
      <c r="X58" s="451"/>
      <c r="Y58" s="452"/>
      <c r="Z58" s="453"/>
      <c r="AA58" s="449">
        <v>0</v>
      </c>
      <c r="AB58" s="450"/>
      <c r="AC58" s="451"/>
      <c r="AD58" s="452"/>
      <c r="AE58" s="453"/>
      <c r="AF58" s="449">
        <v>0</v>
      </c>
      <c r="AG58" s="450"/>
      <c r="AH58" s="451"/>
      <c r="AI58" s="452"/>
      <c r="AJ58" s="453"/>
      <c r="AK58" s="449">
        <v>0</v>
      </c>
      <c r="AL58" s="450"/>
      <c r="AM58" s="451"/>
      <c r="AN58" s="452"/>
      <c r="AO58" s="453"/>
      <c r="AP58" s="449">
        <v>5008164</v>
      </c>
      <c r="AQ58" s="450"/>
      <c r="AR58" s="451"/>
      <c r="AS58" s="452"/>
      <c r="AT58" s="453"/>
      <c r="AU58" s="449">
        <v>0</v>
      </c>
      <c r="AV58" s="450"/>
      <c r="AW58" s="451"/>
      <c r="AX58" s="452"/>
      <c r="AY58" s="453"/>
      <c r="AZ58" s="449">
        <v>0</v>
      </c>
      <c r="BA58" s="450"/>
      <c r="BB58" s="451"/>
      <c r="BC58" s="452"/>
      <c r="BD58" s="453"/>
      <c r="BE58" s="449">
        <v>0</v>
      </c>
      <c r="BF58" s="450"/>
      <c r="BG58" s="451"/>
      <c r="BH58" s="452"/>
      <c r="BI58" s="453"/>
      <c r="BJ58" s="449">
        <v>0</v>
      </c>
      <c r="BK58" s="450"/>
      <c r="BL58" s="451"/>
      <c r="BM58" s="452"/>
      <c r="BN58" s="453"/>
      <c r="BO58" s="449">
        <v>0</v>
      </c>
      <c r="BP58" s="450"/>
      <c r="BQ58" s="451"/>
      <c r="BR58" s="452"/>
      <c r="BS58" s="453"/>
      <c r="BT58" s="449">
        <f>SUM(L58:BO58)</f>
        <v>5008164</v>
      </c>
      <c r="BU58" s="450"/>
      <c r="BV58" s="451"/>
      <c r="BW58" s="452"/>
      <c r="BX58" s="453"/>
      <c r="BY58" s="449">
        <f>SUM(Q58:BT58)</f>
        <v>10016328</v>
      </c>
      <c r="BZ58" s="450"/>
      <c r="CA58" s="451"/>
      <c r="CB58" s="452"/>
      <c r="CC58" s="453"/>
      <c r="CD58" s="449">
        <v>0</v>
      </c>
      <c r="CE58" s="450"/>
      <c r="CF58" s="451"/>
      <c r="CG58" s="452"/>
      <c r="CH58" s="453"/>
      <c r="CI58" s="449">
        <v>0</v>
      </c>
      <c r="CJ58" s="450"/>
      <c r="CK58" s="451"/>
      <c r="CL58" s="452"/>
      <c r="CM58" s="453"/>
      <c r="CN58" s="449">
        <v>0</v>
      </c>
      <c r="CO58" s="450"/>
      <c r="CP58" s="451"/>
      <c r="CQ58" s="452"/>
      <c r="CR58" s="453"/>
      <c r="CS58" s="449">
        <v>0</v>
      </c>
      <c r="CT58" s="450"/>
      <c r="CU58" s="451"/>
      <c r="CV58" s="452"/>
      <c r="CW58" s="453"/>
      <c r="CX58" s="449">
        <v>0</v>
      </c>
      <c r="CY58" s="450"/>
      <c r="CZ58" s="451"/>
      <c r="DA58" s="452"/>
      <c r="DB58" s="453"/>
      <c r="DC58" s="449">
        <v>0</v>
      </c>
      <c r="DD58" s="450"/>
      <c r="DE58" s="451"/>
      <c r="DF58" s="452"/>
      <c r="DG58" s="453"/>
      <c r="DH58" s="449">
        <v>0</v>
      </c>
      <c r="DI58" s="450"/>
      <c r="DJ58" s="451"/>
      <c r="DK58" s="452"/>
      <c r="DL58" s="453"/>
      <c r="DM58" s="449">
        <v>0</v>
      </c>
      <c r="DN58" s="450"/>
      <c r="DO58" s="451"/>
      <c r="DP58" s="452"/>
      <c r="DQ58" s="453"/>
      <c r="DR58" s="449">
        <v>0</v>
      </c>
      <c r="DS58" s="450"/>
      <c r="DT58" s="451"/>
      <c r="DU58" s="452"/>
      <c r="DV58" s="453"/>
      <c r="DW58" s="449">
        <v>0</v>
      </c>
      <c r="DX58" s="450"/>
      <c r="DY58" s="451"/>
      <c r="DZ58" s="452"/>
      <c r="EA58" s="453"/>
      <c r="EB58" s="449">
        <v>0</v>
      </c>
      <c r="EC58" s="450"/>
      <c r="ED58" s="451"/>
      <c r="EE58" s="452"/>
      <c r="EF58" s="453"/>
      <c r="EG58" s="449">
        <v>0</v>
      </c>
      <c r="EH58" s="450"/>
      <c r="EI58" s="451"/>
      <c r="EJ58" s="452"/>
      <c r="EK58" s="453"/>
      <c r="EL58" s="449">
        <f>SUM(CD58:DW58)</f>
        <v>0</v>
      </c>
      <c r="EM58" s="450"/>
      <c r="EN58" s="451"/>
      <c r="EO58" s="13"/>
    </row>
    <row r="59" spans="4:148" ht="12.75" customHeight="1" x14ac:dyDescent="0.2">
      <c r="D59" s="13" t="s">
        <v>349</v>
      </c>
      <c r="E59" s="198"/>
      <c r="F59" s="452"/>
      <c r="G59" s="451">
        <v>0</v>
      </c>
      <c r="H59" s="455"/>
      <c r="I59" s="451"/>
      <c r="J59" s="452"/>
      <c r="K59" s="452"/>
      <c r="L59" s="451">
        <v>0</v>
      </c>
      <c r="M59" s="455"/>
      <c r="N59" s="451"/>
      <c r="O59" s="452"/>
      <c r="P59" s="452"/>
      <c r="Q59" s="451">
        <v>0</v>
      </c>
      <c r="R59" s="455"/>
      <c r="S59" s="451"/>
      <c r="T59" s="452"/>
      <c r="U59" s="452"/>
      <c r="V59" s="451">
        <v>0</v>
      </c>
      <c r="W59" s="455"/>
      <c r="X59" s="451"/>
      <c r="Y59" s="452"/>
      <c r="Z59" s="452"/>
      <c r="AA59" s="451">
        <v>0</v>
      </c>
      <c r="AB59" s="455"/>
      <c r="AC59" s="451"/>
      <c r="AD59" s="452"/>
      <c r="AE59" s="452"/>
      <c r="AF59" s="451">
        <v>0</v>
      </c>
      <c r="AG59" s="455"/>
      <c r="AH59" s="451"/>
      <c r="AI59" s="452"/>
      <c r="AJ59" s="452"/>
      <c r="AK59" s="451">
        <v>0</v>
      </c>
      <c r="AL59" s="455"/>
      <c r="AM59" s="451"/>
      <c r="AN59" s="452"/>
      <c r="AO59" s="452"/>
      <c r="AP59" s="451">
        <v>0</v>
      </c>
      <c r="AQ59" s="455"/>
      <c r="AR59" s="451"/>
      <c r="AS59" s="452"/>
      <c r="AT59" s="452"/>
      <c r="AU59" s="451">
        <v>0</v>
      </c>
      <c r="AV59" s="455"/>
      <c r="AW59" s="451"/>
      <c r="AX59" s="452"/>
      <c r="AY59" s="452"/>
      <c r="AZ59" s="451">
        <v>0</v>
      </c>
      <c r="BA59" s="455"/>
      <c r="BB59" s="451"/>
      <c r="BC59" s="452"/>
      <c r="BD59" s="452"/>
      <c r="BE59" s="451">
        <v>0</v>
      </c>
      <c r="BF59" s="455"/>
      <c r="BG59" s="451"/>
      <c r="BH59" s="452"/>
      <c r="BI59" s="452"/>
      <c r="BJ59" s="451">
        <v>0</v>
      </c>
      <c r="BK59" s="455"/>
      <c r="BL59" s="451"/>
      <c r="BM59" s="452"/>
      <c r="BN59" s="452"/>
      <c r="BO59" s="451">
        <v>0</v>
      </c>
      <c r="BP59" s="455"/>
      <c r="BQ59" s="451"/>
      <c r="BR59" s="452"/>
      <c r="BS59" s="452"/>
      <c r="BT59" s="451">
        <f>SUM(L59:BO59)</f>
        <v>0</v>
      </c>
      <c r="BU59" s="455"/>
      <c r="BV59" s="451"/>
      <c r="BW59" s="452"/>
      <c r="BX59" s="452"/>
      <c r="BY59" s="451">
        <f>SUM(Q59:BT59)</f>
        <v>0</v>
      </c>
      <c r="BZ59" s="455"/>
      <c r="CA59" s="451"/>
      <c r="CB59" s="452"/>
      <c r="CC59" s="452"/>
      <c r="CD59" s="451">
        <v>0</v>
      </c>
      <c r="CE59" s="455"/>
      <c r="CF59" s="451"/>
      <c r="CG59" s="452"/>
      <c r="CH59" s="452"/>
      <c r="CI59" s="451">
        <v>0</v>
      </c>
      <c r="CJ59" s="455"/>
      <c r="CK59" s="451"/>
      <c r="CL59" s="452"/>
      <c r="CM59" s="452"/>
      <c r="CN59" s="451">
        <v>0</v>
      </c>
      <c r="CO59" s="455"/>
      <c r="CP59" s="451"/>
      <c r="CQ59" s="452"/>
      <c r="CR59" s="452"/>
      <c r="CS59" s="451">
        <v>0</v>
      </c>
      <c r="CT59" s="455"/>
      <c r="CU59" s="451"/>
      <c r="CV59" s="452"/>
      <c r="CW59" s="452"/>
      <c r="CX59" s="451">
        <v>0</v>
      </c>
      <c r="CY59" s="455"/>
      <c r="CZ59" s="451"/>
      <c r="DA59" s="452"/>
      <c r="DB59" s="452"/>
      <c r="DC59" s="451">
        <v>0</v>
      </c>
      <c r="DD59" s="455"/>
      <c r="DE59" s="451"/>
      <c r="DF59" s="452"/>
      <c r="DG59" s="452"/>
      <c r="DH59" s="451">
        <v>0</v>
      </c>
      <c r="DI59" s="455"/>
      <c r="DJ59" s="451"/>
      <c r="DK59" s="452"/>
      <c r="DL59" s="452"/>
      <c r="DM59" s="451">
        <v>0</v>
      </c>
      <c r="DN59" s="455"/>
      <c r="DO59" s="451"/>
      <c r="DP59" s="452"/>
      <c r="DQ59" s="452"/>
      <c r="DR59" s="451">
        <v>0</v>
      </c>
      <c r="DS59" s="455"/>
      <c r="DT59" s="451"/>
      <c r="DU59" s="452"/>
      <c r="DV59" s="452"/>
      <c r="DW59" s="451">
        <v>0</v>
      </c>
      <c r="DX59" s="455"/>
      <c r="DY59" s="451"/>
      <c r="DZ59" s="452"/>
      <c r="EA59" s="452"/>
      <c r="EB59" s="451">
        <v>0</v>
      </c>
      <c r="EC59" s="455"/>
      <c r="ED59" s="451"/>
      <c r="EE59" s="452"/>
      <c r="EF59" s="452"/>
      <c r="EG59" s="451">
        <v>0</v>
      </c>
      <c r="EH59" s="455"/>
      <c r="EI59" s="451"/>
      <c r="EJ59" s="452"/>
      <c r="EK59" s="452"/>
      <c r="EL59" s="451">
        <f>SUM(CD59:DW59)</f>
        <v>0</v>
      </c>
      <c r="EM59" s="455"/>
      <c r="EN59" s="451"/>
      <c r="EO59" s="13"/>
    </row>
    <row r="60" spans="4:148" ht="12.75" customHeight="1" x14ac:dyDescent="0.2">
      <c r="D60" s="13" t="s">
        <v>357</v>
      </c>
      <c r="E60" s="198"/>
      <c r="F60" s="465"/>
      <c r="G60" s="463">
        <v>0</v>
      </c>
      <c r="H60" s="464"/>
      <c r="I60" s="451"/>
      <c r="J60" s="452"/>
      <c r="K60" s="465"/>
      <c r="L60" s="463">
        <v>0</v>
      </c>
      <c r="M60" s="464"/>
      <c r="N60" s="451"/>
      <c r="O60" s="452"/>
      <c r="P60" s="465"/>
      <c r="Q60" s="463">
        <v>0</v>
      </c>
      <c r="R60" s="464"/>
      <c r="S60" s="451"/>
      <c r="T60" s="452"/>
      <c r="U60" s="465"/>
      <c r="V60" s="463">
        <v>0</v>
      </c>
      <c r="W60" s="464"/>
      <c r="X60" s="451"/>
      <c r="Y60" s="452"/>
      <c r="Z60" s="465"/>
      <c r="AA60" s="463">
        <v>0</v>
      </c>
      <c r="AB60" s="464"/>
      <c r="AC60" s="451"/>
      <c r="AD60" s="452"/>
      <c r="AE60" s="465"/>
      <c r="AF60" s="463">
        <v>0</v>
      </c>
      <c r="AG60" s="464"/>
      <c r="AH60" s="451"/>
      <c r="AI60" s="452"/>
      <c r="AJ60" s="465"/>
      <c r="AK60" s="463">
        <v>0</v>
      </c>
      <c r="AL60" s="464"/>
      <c r="AM60" s="451"/>
      <c r="AN60" s="452"/>
      <c r="AO60" s="465"/>
      <c r="AP60" s="463">
        <v>0</v>
      </c>
      <c r="AQ60" s="464"/>
      <c r="AR60" s="451"/>
      <c r="AS60" s="452"/>
      <c r="AT60" s="465"/>
      <c r="AU60" s="463">
        <v>0</v>
      </c>
      <c r="AV60" s="464"/>
      <c r="AW60" s="451"/>
      <c r="AX60" s="452"/>
      <c r="AY60" s="465"/>
      <c r="AZ60" s="463">
        <v>0</v>
      </c>
      <c r="BA60" s="464"/>
      <c r="BB60" s="451"/>
      <c r="BC60" s="452"/>
      <c r="BD60" s="465"/>
      <c r="BE60" s="463">
        <v>0</v>
      </c>
      <c r="BF60" s="464"/>
      <c r="BG60" s="451"/>
      <c r="BH60" s="452"/>
      <c r="BI60" s="465"/>
      <c r="BJ60" s="463">
        <v>0</v>
      </c>
      <c r="BK60" s="464"/>
      <c r="BL60" s="451"/>
      <c r="BM60" s="452"/>
      <c r="BN60" s="465"/>
      <c r="BO60" s="463">
        <v>0</v>
      </c>
      <c r="BP60" s="464"/>
      <c r="BQ60" s="451"/>
      <c r="BR60" s="452"/>
      <c r="BS60" s="465"/>
      <c r="BT60" s="463">
        <f>SUM(L60:BO60)</f>
        <v>0</v>
      </c>
      <c r="BU60" s="464"/>
      <c r="BV60" s="451"/>
      <c r="BW60" s="452"/>
      <c r="BX60" s="465"/>
      <c r="BY60" s="463">
        <f>SUM(Q60:BT60)</f>
        <v>0</v>
      </c>
      <c r="BZ60" s="464"/>
      <c r="CA60" s="451"/>
      <c r="CB60" s="452"/>
      <c r="CC60" s="465"/>
      <c r="CD60" s="463">
        <v>0</v>
      </c>
      <c r="CE60" s="464"/>
      <c r="CF60" s="451"/>
      <c r="CG60" s="452"/>
      <c r="CH60" s="465"/>
      <c r="CI60" s="463">
        <v>0</v>
      </c>
      <c r="CJ60" s="464"/>
      <c r="CK60" s="451"/>
      <c r="CL60" s="452"/>
      <c r="CM60" s="465"/>
      <c r="CN60" s="463">
        <v>0</v>
      </c>
      <c r="CO60" s="464"/>
      <c r="CP60" s="451"/>
      <c r="CQ60" s="452"/>
      <c r="CR60" s="465"/>
      <c r="CS60" s="463">
        <v>0</v>
      </c>
      <c r="CT60" s="464"/>
      <c r="CU60" s="451"/>
      <c r="CV60" s="452"/>
      <c r="CW60" s="465"/>
      <c r="CX60" s="463">
        <v>0</v>
      </c>
      <c r="CY60" s="464"/>
      <c r="CZ60" s="451"/>
      <c r="DA60" s="452"/>
      <c r="DB60" s="465"/>
      <c r="DC60" s="463">
        <v>0</v>
      </c>
      <c r="DD60" s="464"/>
      <c r="DE60" s="451"/>
      <c r="DF60" s="452"/>
      <c r="DG60" s="465"/>
      <c r="DH60" s="463">
        <v>0</v>
      </c>
      <c r="DI60" s="464"/>
      <c r="DJ60" s="451"/>
      <c r="DK60" s="452"/>
      <c r="DL60" s="465"/>
      <c r="DM60" s="463">
        <v>0</v>
      </c>
      <c r="DN60" s="464"/>
      <c r="DO60" s="451"/>
      <c r="DP60" s="452"/>
      <c r="DQ60" s="465"/>
      <c r="DR60" s="463">
        <v>0</v>
      </c>
      <c r="DS60" s="464"/>
      <c r="DT60" s="451"/>
      <c r="DU60" s="452"/>
      <c r="DV60" s="465"/>
      <c r="DW60" s="463">
        <v>0</v>
      </c>
      <c r="DX60" s="464"/>
      <c r="DY60" s="451"/>
      <c r="DZ60" s="452"/>
      <c r="EA60" s="465"/>
      <c r="EB60" s="463">
        <v>0</v>
      </c>
      <c r="EC60" s="464"/>
      <c r="ED60" s="451"/>
      <c r="EE60" s="452"/>
      <c r="EF60" s="465"/>
      <c r="EG60" s="463">
        <v>0</v>
      </c>
      <c r="EH60" s="464"/>
      <c r="EI60" s="451"/>
      <c r="EJ60" s="452"/>
      <c r="EK60" s="465"/>
      <c r="EL60" s="463">
        <f>SUM(CD60:DW60)</f>
        <v>0</v>
      </c>
      <c r="EM60" s="464"/>
      <c r="EN60" s="451"/>
      <c r="EO60" s="13"/>
    </row>
    <row r="61" spans="4:148" ht="12.75" customHeight="1" x14ac:dyDescent="0.2">
      <c r="D61" s="13"/>
      <c r="E61" s="198"/>
      <c r="G61" s="451"/>
      <c r="H61" s="451"/>
      <c r="I61" s="451"/>
      <c r="J61" s="452"/>
      <c r="K61" s="451"/>
      <c r="L61" s="451"/>
      <c r="M61" s="451"/>
      <c r="N61" s="451"/>
      <c r="O61" s="452"/>
      <c r="P61" s="451"/>
      <c r="Q61" s="451"/>
      <c r="R61" s="451"/>
      <c r="S61" s="451"/>
      <c r="T61" s="452"/>
      <c r="U61" s="451"/>
      <c r="V61" s="451"/>
      <c r="W61" s="451"/>
      <c r="X61" s="451"/>
      <c r="Y61" s="452"/>
      <c r="Z61" s="451"/>
      <c r="AA61" s="451"/>
      <c r="AB61" s="451"/>
      <c r="AC61" s="451"/>
      <c r="AD61" s="452"/>
      <c r="AE61" s="451"/>
      <c r="AF61" s="451"/>
      <c r="AG61" s="451"/>
      <c r="AH61" s="451"/>
      <c r="AI61" s="452"/>
      <c r="AJ61" s="451"/>
      <c r="AK61" s="451"/>
      <c r="AL61" s="451"/>
      <c r="AM61" s="451"/>
      <c r="AN61" s="452"/>
      <c r="AO61" s="451"/>
      <c r="AP61" s="451"/>
      <c r="AQ61" s="451"/>
      <c r="AR61" s="451"/>
      <c r="AS61" s="452"/>
      <c r="AT61" s="451"/>
      <c r="AU61" s="451"/>
      <c r="AV61" s="451"/>
      <c r="AW61" s="451"/>
      <c r="AX61" s="452"/>
      <c r="AY61" s="451"/>
      <c r="AZ61" s="451"/>
      <c r="BA61" s="451"/>
      <c r="BB61" s="451"/>
      <c r="BC61" s="452"/>
      <c r="BD61" s="451"/>
      <c r="BE61" s="451"/>
      <c r="BF61" s="451"/>
      <c r="BG61" s="451"/>
      <c r="BH61" s="452"/>
      <c r="BI61" s="451"/>
      <c r="BJ61" s="451"/>
      <c r="BK61" s="451"/>
      <c r="BL61" s="451"/>
      <c r="BM61" s="452"/>
      <c r="BN61" s="451"/>
      <c r="BO61" s="451"/>
      <c r="BP61" s="451"/>
      <c r="BQ61" s="451"/>
      <c r="BR61" s="452"/>
      <c r="BS61" s="451"/>
      <c r="BT61" s="451"/>
      <c r="BU61" s="451"/>
      <c r="BV61" s="451"/>
      <c r="BW61" s="452"/>
      <c r="BX61" s="451"/>
      <c r="BY61" s="451"/>
      <c r="BZ61" s="451"/>
      <c r="CA61" s="451"/>
      <c r="CB61" s="452"/>
      <c r="CC61" s="451"/>
      <c r="CD61" s="451"/>
      <c r="CE61" s="451"/>
      <c r="CF61" s="451"/>
      <c r="CG61" s="452"/>
      <c r="CH61" s="451"/>
      <c r="CI61" s="451"/>
      <c r="CJ61" s="451"/>
      <c r="CK61" s="451"/>
      <c r="CL61" s="452"/>
      <c r="CM61" s="451"/>
      <c r="CN61" s="451"/>
      <c r="CO61" s="451"/>
      <c r="CP61" s="451"/>
      <c r="CQ61" s="452"/>
      <c r="CR61" s="451"/>
      <c r="CS61" s="451"/>
      <c r="CT61" s="451"/>
      <c r="CU61" s="451"/>
      <c r="CV61" s="452"/>
      <c r="CW61" s="451"/>
      <c r="CX61" s="451"/>
      <c r="CY61" s="451"/>
      <c r="CZ61" s="451"/>
      <c r="DA61" s="452"/>
      <c r="DB61" s="451"/>
      <c r="DC61" s="451"/>
      <c r="DD61" s="451"/>
      <c r="DE61" s="451"/>
      <c r="DF61" s="452"/>
      <c r="DG61" s="451"/>
      <c r="DH61" s="451"/>
      <c r="DI61" s="451"/>
      <c r="DJ61" s="451"/>
      <c r="DK61" s="452"/>
      <c r="DL61" s="451"/>
      <c r="DM61" s="451"/>
      <c r="DN61" s="451"/>
      <c r="DO61" s="451"/>
      <c r="DP61" s="452"/>
      <c r="DQ61" s="451"/>
      <c r="DR61" s="451"/>
      <c r="DS61" s="451"/>
      <c r="DT61" s="451"/>
      <c r="DU61" s="452"/>
      <c r="DV61" s="451"/>
      <c r="DW61" s="451"/>
      <c r="DX61" s="451"/>
      <c r="DY61" s="451"/>
      <c r="DZ61" s="452"/>
      <c r="EA61" s="451"/>
      <c r="EB61" s="451"/>
      <c r="EC61" s="451"/>
      <c r="ED61" s="451"/>
      <c r="EE61" s="452"/>
      <c r="EF61" s="451"/>
      <c r="EG61" s="451"/>
      <c r="EH61" s="451"/>
      <c r="EI61" s="451"/>
      <c r="EJ61" s="452"/>
      <c r="EK61" s="451"/>
      <c r="EL61" s="451"/>
      <c r="EM61" s="451"/>
      <c r="EN61" s="451"/>
      <c r="EO61" s="13"/>
    </row>
    <row r="62" spans="4:148" s="14" customFormat="1" ht="12.75" hidden="1" customHeight="1" x14ac:dyDescent="0.2">
      <c r="D62" s="93" t="s">
        <v>458</v>
      </c>
      <c r="E62" s="180"/>
      <c r="G62" s="446">
        <f>SUM(G63:G65)</f>
        <v>0</v>
      </c>
      <c r="H62" s="446"/>
      <c r="I62" s="446"/>
      <c r="J62" s="447"/>
      <c r="K62" s="446"/>
      <c r="L62" s="446">
        <f>SUM(L63:L65)</f>
        <v>0</v>
      </c>
      <c r="M62" s="446"/>
      <c r="N62" s="446"/>
      <c r="O62" s="447"/>
      <c r="P62" s="446"/>
      <c r="Q62" s="446">
        <f>SUM(Q63:Q65)</f>
        <v>0</v>
      </c>
      <c r="R62" s="446"/>
      <c r="S62" s="446"/>
      <c r="T62" s="447"/>
      <c r="U62" s="446"/>
      <c r="V62" s="446">
        <f>SUM(V63:V65)</f>
        <v>0</v>
      </c>
      <c r="W62" s="446"/>
      <c r="X62" s="446"/>
      <c r="Y62" s="447"/>
      <c r="Z62" s="446"/>
      <c r="AA62" s="446">
        <f>SUM(AA63:AA65)</f>
        <v>0</v>
      </c>
      <c r="AB62" s="446"/>
      <c r="AC62" s="446"/>
      <c r="AD62" s="447"/>
      <c r="AE62" s="446"/>
      <c r="AF62" s="446">
        <f>SUM(AF63:AF65)</f>
        <v>0</v>
      </c>
      <c r="AG62" s="446"/>
      <c r="AH62" s="446"/>
      <c r="AI62" s="447"/>
      <c r="AJ62" s="446"/>
      <c r="AK62" s="446">
        <f>SUM(AK63:AK65)</f>
        <v>0</v>
      </c>
      <c r="AL62" s="446"/>
      <c r="AM62" s="446"/>
      <c r="AN62" s="447"/>
      <c r="AO62" s="446"/>
      <c r="AP62" s="446">
        <f>SUM(AP63:AP65)</f>
        <v>0</v>
      </c>
      <c r="AQ62" s="446"/>
      <c r="AR62" s="446"/>
      <c r="AS62" s="447"/>
      <c r="AT62" s="446"/>
      <c r="AU62" s="446">
        <f>SUM(AU63:AU65)</f>
        <v>0</v>
      </c>
      <c r="AV62" s="446"/>
      <c r="AW62" s="446"/>
      <c r="AX62" s="447"/>
      <c r="AY62" s="446"/>
      <c r="AZ62" s="446">
        <f>SUM(AZ63:AZ65)</f>
        <v>0</v>
      </c>
      <c r="BA62" s="446"/>
      <c r="BB62" s="446"/>
      <c r="BC62" s="447"/>
      <c r="BD62" s="446"/>
      <c r="BE62" s="446">
        <f>SUM(BE63:BE65)</f>
        <v>0</v>
      </c>
      <c r="BF62" s="446"/>
      <c r="BG62" s="446"/>
      <c r="BH62" s="447"/>
      <c r="BI62" s="446"/>
      <c r="BJ62" s="446">
        <f>SUM(BJ63:BJ65)</f>
        <v>0</v>
      </c>
      <c r="BK62" s="446"/>
      <c r="BL62" s="446"/>
      <c r="BM62" s="447"/>
      <c r="BN62" s="446"/>
      <c r="BO62" s="446">
        <f>SUM(BO63:BO65)</f>
        <v>0</v>
      </c>
      <c r="BP62" s="446"/>
      <c r="BQ62" s="446"/>
      <c r="BR62" s="447"/>
      <c r="BS62" s="446"/>
      <c r="BT62" s="446">
        <f>SUM(BT63:BT65)</f>
        <v>0</v>
      </c>
      <c r="BU62" s="446"/>
      <c r="BV62" s="446"/>
      <c r="BW62" s="447"/>
      <c r="BX62" s="446"/>
      <c r="BY62" s="446">
        <f>SUM(BY63:BY65)</f>
        <v>0</v>
      </c>
      <c r="BZ62" s="446"/>
      <c r="CA62" s="446"/>
      <c r="CB62" s="447"/>
      <c r="CC62" s="446"/>
      <c r="CD62" s="446">
        <f>SUM(CD63:CD65)</f>
        <v>0</v>
      </c>
      <c r="CE62" s="446"/>
      <c r="CF62" s="446"/>
      <c r="CG62" s="447"/>
      <c r="CH62" s="446"/>
      <c r="CI62" s="446">
        <f>SUM(CI63:CI65)</f>
        <v>0</v>
      </c>
      <c r="CJ62" s="446"/>
      <c r="CK62" s="446"/>
      <c r="CL62" s="447"/>
      <c r="CM62" s="446"/>
      <c r="CN62" s="446">
        <f>SUM(CN63:CN65)</f>
        <v>0</v>
      </c>
      <c r="CO62" s="446"/>
      <c r="CP62" s="446"/>
      <c r="CQ62" s="447"/>
      <c r="CR62" s="446"/>
      <c r="CS62" s="446">
        <f>SUM(CS63:CS65)</f>
        <v>0</v>
      </c>
      <c r="CT62" s="446"/>
      <c r="CU62" s="446"/>
      <c r="CV62" s="447"/>
      <c r="CW62" s="446"/>
      <c r="CX62" s="446">
        <f>SUM(CX63:CX65)</f>
        <v>0</v>
      </c>
      <c r="CY62" s="446"/>
      <c r="CZ62" s="446"/>
      <c r="DA62" s="447"/>
      <c r="DB62" s="446"/>
      <c r="DC62" s="446">
        <f>SUM(DC63:DC65)</f>
        <v>0</v>
      </c>
      <c r="DD62" s="446"/>
      <c r="DE62" s="446"/>
      <c r="DF62" s="447"/>
      <c r="DG62" s="446"/>
      <c r="DH62" s="446">
        <f>SUM(DH63:DH65)</f>
        <v>0</v>
      </c>
      <c r="DI62" s="446"/>
      <c r="DJ62" s="446"/>
      <c r="DK62" s="447"/>
      <c r="DL62" s="446"/>
      <c r="DM62" s="446">
        <f>SUM(DM63:DM65)</f>
        <v>0</v>
      </c>
      <c r="DN62" s="446"/>
      <c r="DO62" s="446"/>
      <c r="DP62" s="447"/>
      <c r="DQ62" s="446"/>
      <c r="DR62" s="446">
        <f>SUM(DR63:DR65)</f>
        <v>0</v>
      </c>
      <c r="DS62" s="446"/>
      <c r="DT62" s="446"/>
      <c r="DU62" s="447"/>
      <c r="DV62" s="446"/>
      <c r="DW62" s="446">
        <f>SUM(DW63:DW65)</f>
        <v>0</v>
      </c>
      <c r="DX62" s="446"/>
      <c r="DY62" s="446"/>
      <c r="DZ62" s="447"/>
      <c r="EA62" s="446"/>
      <c r="EB62" s="446">
        <f>SUM(EB63:EB65)</f>
        <v>0</v>
      </c>
      <c r="EC62" s="446"/>
      <c r="ED62" s="446"/>
      <c r="EE62" s="447"/>
      <c r="EF62" s="446"/>
      <c r="EG62" s="446">
        <f>SUM(EG63:EG65)</f>
        <v>0</v>
      </c>
      <c r="EH62" s="446"/>
      <c r="EI62" s="446"/>
      <c r="EJ62" s="447"/>
      <c r="EK62" s="446"/>
      <c r="EL62" s="446">
        <f>SUM(EL63:EL65)</f>
        <v>0</v>
      </c>
      <c r="EM62" s="446"/>
      <c r="EN62" s="446"/>
      <c r="EO62" s="93"/>
      <c r="EQ62" s="1"/>
      <c r="ER62" s="1"/>
    </row>
    <row r="63" spans="4:148" ht="12.75" hidden="1" customHeight="1" x14ac:dyDescent="0.2">
      <c r="D63" s="13" t="s">
        <v>347</v>
      </c>
      <c r="E63" s="198"/>
      <c r="F63" s="374"/>
      <c r="G63" s="449">
        <v>0</v>
      </c>
      <c r="H63" s="450"/>
      <c r="I63" s="451"/>
      <c r="J63" s="452"/>
      <c r="K63" s="453"/>
      <c r="L63" s="449">
        <f>L68</f>
        <v>0</v>
      </c>
      <c r="M63" s="450"/>
      <c r="N63" s="451"/>
      <c r="O63" s="452"/>
      <c r="P63" s="453"/>
      <c r="Q63" s="449">
        <f>Q68</f>
        <v>0</v>
      </c>
      <c r="R63" s="450"/>
      <c r="S63" s="451"/>
      <c r="T63" s="452"/>
      <c r="U63" s="453"/>
      <c r="V63" s="449">
        <f>V68</f>
        <v>0</v>
      </c>
      <c r="W63" s="450"/>
      <c r="X63" s="451"/>
      <c r="Y63" s="452"/>
      <c r="Z63" s="453"/>
      <c r="AA63" s="449">
        <f>AA68</f>
        <v>0</v>
      </c>
      <c r="AB63" s="450"/>
      <c r="AC63" s="451"/>
      <c r="AD63" s="452"/>
      <c r="AE63" s="453"/>
      <c r="AF63" s="449">
        <f>AF68</f>
        <v>0</v>
      </c>
      <c r="AG63" s="450"/>
      <c r="AH63" s="451"/>
      <c r="AI63" s="452"/>
      <c r="AJ63" s="453"/>
      <c r="AK63" s="449">
        <f>AK68</f>
        <v>0</v>
      </c>
      <c r="AL63" s="450"/>
      <c r="AM63" s="451"/>
      <c r="AN63" s="452"/>
      <c r="AO63" s="453"/>
      <c r="AP63" s="449">
        <f>AP68</f>
        <v>0</v>
      </c>
      <c r="AQ63" s="450"/>
      <c r="AR63" s="451"/>
      <c r="AS63" s="452"/>
      <c r="AT63" s="453"/>
      <c r="AU63" s="449">
        <f>AU68</f>
        <v>0</v>
      </c>
      <c r="AV63" s="450"/>
      <c r="AW63" s="451"/>
      <c r="AX63" s="452"/>
      <c r="AY63" s="453"/>
      <c r="AZ63" s="449">
        <f>AZ68</f>
        <v>0</v>
      </c>
      <c r="BA63" s="450"/>
      <c r="BB63" s="451"/>
      <c r="BC63" s="452"/>
      <c r="BD63" s="453"/>
      <c r="BE63" s="449">
        <f>BE68</f>
        <v>0</v>
      </c>
      <c r="BF63" s="450"/>
      <c r="BG63" s="451"/>
      <c r="BH63" s="452"/>
      <c r="BI63" s="453"/>
      <c r="BJ63" s="449">
        <f>BJ68</f>
        <v>0</v>
      </c>
      <c r="BK63" s="450"/>
      <c r="BL63" s="451"/>
      <c r="BM63" s="452"/>
      <c r="BN63" s="453"/>
      <c r="BO63" s="449">
        <f>BO68</f>
        <v>0</v>
      </c>
      <c r="BP63" s="450"/>
      <c r="BQ63" s="451"/>
      <c r="BR63" s="452"/>
      <c r="BS63" s="453"/>
      <c r="BT63" s="449">
        <f>BT68</f>
        <v>0</v>
      </c>
      <c r="BU63" s="450"/>
      <c r="BV63" s="451"/>
      <c r="BW63" s="452"/>
      <c r="BX63" s="453"/>
      <c r="BY63" s="449">
        <f>BY68</f>
        <v>0</v>
      </c>
      <c r="BZ63" s="450"/>
      <c r="CA63" s="451"/>
      <c r="CB63" s="452"/>
      <c r="CC63" s="453"/>
      <c r="CD63" s="449">
        <f>CD68</f>
        <v>0</v>
      </c>
      <c r="CE63" s="450"/>
      <c r="CF63" s="451"/>
      <c r="CG63" s="452"/>
      <c r="CH63" s="453"/>
      <c r="CI63" s="449">
        <f>CI68</f>
        <v>0</v>
      </c>
      <c r="CJ63" s="450"/>
      <c r="CK63" s="451"/>
      <c r="CL63" s="452"/>
      <c r="CM63" s="453"/>
      <c r="CN63" s="449">
        <f>CN68</f>
        <v>0</v>
      </c>
      <c r="CO63" s="450"/>
      <c r="CP63" s="451"/>
      <c r="CQ63" s="452"/>
      <c r="CR63" s="453"/>
      <c r="CS63" s="449">
        <f>CS68</f>
        <v>0</v>
      </c>
      <c r="CT63" s="450"/>
      <c r="CU63" s="451"/>
      <c r="CV63" s="452"/>
      <c r="CW63" s="453"/>
      <c r="CX63" s="449">
        <f>CX68</f>
        <v>0</v>
      </c>
      <c r="CY63" s="450"/>
      <c r="CZ63" s="451"/>
      <c r="DA63" s="452"/>
      <c r="DB63" s="453"/>
      <c r="DC63" s="449">
        <f>DC68</f>
        <v>0</v>
      </c>
      <c r="DD63" s="450"/>
      <c r="DE63" s="451"/>
      <c r="DF63" s="452"/>
      <c r="DG63" s="453"/>
      <c r="DH63" s="449">
        <f>DH68</f>
        <v>0</v>
      </c>
      <c r="DI63" s="450"/>
      <c r="DJ63" s="451"/>
      <c r="DK63" s="452"/>
      <c r="DL63" s="453"/>
      <c r="DM63" s="449">
        <f>DM68</f>
        <v>0</v>
      </c>
      <c r="DN63" s="450"/>
      <c r="DO63" s="451"/>
      <c r="DP63" s="452"/>
      <c r="DQ63" s="453"/>
      <c r="DR63" s="449">
        <f>DR68</f>
        <v>0</v>
      </c>
      <c r="DS63" s="450"/>
      <c r="DT63" s="451"/>
      <c r="DU63" s="452"/>
      <c r="DV63" s="453"/>
      <c r="DW63" s="449">
        <f>DW68</f>
        <v>0</v>
      </c>
      <c r="DX63" s="450"/>
      <c r="DY63" s="451"/>
      <c r="DZ63" s="452"/>
      <c r="EA63" s="453"/>
      <c r="EB63" s="449">
        <f>EB68</f>
        <v>0</v>
      </c>
      <c r="EC63" s="450"/>
      <c r="ED63" s="451"/>
      <c r="EE63" s="452"/>
      <c r="EF63" s="453"/>
      <c r="EG63" s="449">
        <f>EG68</f>
        <v>0</v>
      </c>
      <c r="EH63" s="450"/>
      <c r="EI63" s="451"/>
      <c r="EJ63" s="452"/>
      <c r="EK63" s="453"/>
      <c r="EL63" s="449">
        <f>EL68</f>
        <v>0</v>
      </c>
      <c r="EM63" s="450"/>
      <c r="EN63" s="451"/>
      <c r="EO63" s="13"/>
    </row>
    <row r="64" spans="4:148" ht="12.75" hidden="1" customHeight="1" x14ac:dyDescent="0.2">
      <c r="D64" s="13" t="s">
        <v>349</v>
      </c>
      <c r="E64" s="198"/>
      <c r="F64" s="198"/>
      <c r="G64" s="451">
        <v>0</v>
      </c>
      <c r="H64" s="455"/>
      <c r="I64" s="451"/>
      <c r="J64" s="452"/>
      <c r="K64" s="452"/>
      <c r="L64" s="451">
        <f>L69</f>
        <v>0</v>
      </c>
      <c r="M64" s="455"/>
      <c r="N64" s="451"/>
      <c r="O64" s="452"/>
      <c r="P64" s="452"/>
      <c r="Q64" s="451">
        <f>Q69</f>
        <v>0</v>
      </c>
      <c r="R64" s="455"/>
      <c r="S64" s="451"/>
      <c r="T64" s="452"/>
      <c r="U64" s="452"/>
      <c r="V64" s="451">
        <f>V69</f>
        <v>0</v>
      </c>
      <c r="W64" s="455"/>
      <c r="X64" s="451"/>
      <c r="Y64" s="452"/>
      <c r="Z64" s="452"/>
      <c r="AA64" s="451">
        <f>AA69</f>
        <v>0</v>
      </c>
      <c r="AB64" s="455"/>
      <c r="AC64" s="451"/>
      <c r="AD64" s="452"/>
      <c r="AE64" s="452"/>
      <c r="AF64" s="451">
        <f>AF69</f>
        <v>0</v>
      </c>
      <c r="AG64" s="455"/>
      <c r="AH64" s="451"/>
      <c r="AI64" s="452"/>
      <c r="AJ64" s="452"/>
      <c r="AK64" s="451">
        <f>AK69</f>
        <v>0</v>
      </c>
      <c r="AL64" s="455"/>
      <c r="AM64" s="451"/>
      <c r="AN64" s="452"/>
      <c r="AO64" s="452"/>
      <c r="AP64" s="451">
        <f>AP69</f>
        <v>0</v>
      </c>
      <c r="AQ64" s="455"/>
      <c r="AR64" s="451"/>
      <c r="AS64" s="452"/>
      <c r="AT64" s="452"/>
      <c r="AU64" s="451">
        <f>AU69</f>
        <v>0</v>
      </c>
      <c r="AV64" s="455"/>
      <c r="AW64" s="451"/>
      <c r="AX64" s="452"/>
      <c r="AY64" s="452"/>
      <c r="AZ64" s="451">
        <f>AZ69</f>
        <v>0</v>
      </c>
      <c r="BA64" s="455"/>
      <c r="BB64" s="451"/>
      <c r="BC64" s="452"/>
      <c r="BD64" s="452"/>
      <c r="BE64" s="451">
        <f>BE69</f>
        <v>0</v>
      </c>
      <c r="BF64" s="455"/>
      <c r="BG64" s="451"/>
      <c r="BH64" s="452"/>
      <c r="BI64" s="452"/>
      <c r="BJ64" s="451">
        <f>BJ69</f>
        <v>0</v>
      </c>
      <c r="BK64" s="455"/>
      <c r="BL64" s="451"/>
      <c r="BM64" s="452"/>
      <c r="BN64" s="452"/>
      <c r="BO64" s="451">
        <f>BO69</f>
        <v>0</v>
      </c>
      <c r="BP64" s="455"/>
      <c r="BQ64" s="451"/>
      <c r="BR64" s="452"/>
      <c r="BS64" s="452"/>
      <c r="BT64" s="451">
        <f>BT69</f>
        <v>0</v>
      </c>
      <c r="BU64" s="455"/>
      <c r="BV64" s="451"/>
      <c r="BW64" s="452"/>
      <c r="BX64" s="452"/>
      <c r="BY64" s="451">
        <f>BY69</f>
        <v>0</v>
      </c>
      <c r="BZ64" s="455"/>
      <c r="CA64" s="451"/>
      <c r="CB64" s="452"/>
      <c r="CC64" s="452"/>
      <c r="CD64" s="451">
        <f>CD69</f>
        <v>0</v>
      </c>
      <c r="CE64" s="455"/>
      <c r="CF64" s="451"/>
      <c r="CG64" s="452"/>
      <c r="CH64" s="452"/>
      <c r="CI64" s="451">
        <f>CI69</f>
        <v>0</v>
      </c>
      <c r="CJ64" s="455"/>
      <c r="CK64" s="451"/>
      <c r="CL64" s="452"/>
      <c r="CM64" s="452"/>
      <c r="CN64" s="451">
        <f>CN69</f>
        <v>0</v>
      </c>
      <c r="CO64" s="455"/>
      <c r="CP64" s="451"/>
      <c r="CQ64" s="452"/>
      <c r="CR64" s="452"/>
      <c r="CS64" s="451">
        <f>CS69</f>
        <v>0</v>
      </c>
      <c r="CT64" s="455"/>
      <c r="CU64" s="451"/>
      <c r="CV64" s="452"/>
      <c r="CW64" s="452"/>
      <c r="CX64" s="451">
        <f>CX69</f>
        <v>0</v>
      </c>
      <c r="CY64" s="455"/>
      <c r="CZ64" s="451"/>
      <c r="DA64" s="452"/>
      <c r="DB64" s="452"/>
      <c r="DC64" s="451">
        <f>DC69</f>
        <v>0</v>
      </c>
      <c r="DD64" s="455"/>
      <c r="DE64" s="451"/>
      <c r="DF64" s="452"/>
      <c r="DG64" s="452"/>
      <c r="DH64" s="451">
        <f>DH69</f>
        <v>0</v>
      </c>
      <c r="DI64" s="455"/>
      <c r="DJ64" s="451"/>
      <c r="DK64" s="452"/>
      <c r="DL64" s="452"/>
      <c r="DM64" s="451">
        <f>DM69</f>
        <v>0</v>
      </c>
      <c r="DN64" s="455"/>
      <c r="DO64" s="451"/>
      <c r="DP64" s="452"/>
      <c r="DQ64" s="452"/>
      <c r="DR64" s="451">
        <f>DR69</f>
        <v>0</v>
      </c>
      <c r="DS64" s="455"/>
      <c r="DT64" s="451"/>
      <c r="DU64" s="452"/>
      <c r="DV64" s="452"/>
      <c r="DW64" s="451">
        <f>DW69</f>
        <v>0</v>
      </c>
      <c r="DX64" s="455"/>
      <c r="DY64" s="451"/>
      <c r="DZ64" s="452"/>
      <c r="EA64" s="452"/>
      <c r="EB64" s="451">
        <f>EB69</f>
        <v>0</v>
      </c>
      <c r="EC64" s="455"/>
      <c r="ED64" s="451"/>
      <c r="EE64" s="452"/>
      <c r="EF64" s="452"/>
      <c r="EG64" s="451">
        <f>EG69</f>
        <v>0</v>
      </c>
      <c r="EH64" s="455"/>
      <c r="EI64" s="451"/>
      <c r="EJ64" s="452"/>
      <c r="EK64" s="452"/>
      <c r="EL64" s="451">
        <f>EL69</f>
        <v>0</v>
      </c>
      <c r="EM64" s="455"/>
      <c r="EN64" s="451"/>
      <c r="EO64" s="13"/>
    </row>
    <row r="65" spans="4:148" ht="12.75" hidden="1" customHeight="1" x14ac:dyDescent="0.2">
      <c r="D65" s="13" t="s">
        <v>357</v>
      </c>
      <c r="E65" s="198"/>
      <c r="F65" s="385"/>
      <c r="G65" s="463">
        <v>0</v>
      </c>
      <c r="H65" s="464"/>
      <c r="I65" s="451"/>
      <c r="J65" s="452"/>
      <c r="K65" s="465"/>
      <c r="L65" s="463">
        <f>L70</f>
        <v>0</v>
      </c>
      <c r="M65" s="464"/>
      <c r="N65" s="451"/>
      <c r="O65" s="452"/>
      <c r="P65" s="465"/>
      <c r="Q65" s="463">
        <f>Q70</f>
        <v>0</v>
      </c>
      <c r="R65" s="464"/>
      <c r="S65" s="451"/>
      <c r="T65" s="452"/>
      <c r="U65" s="465"/>
      <c r="V65" s="463">
        <f>V70</f>
        <v>0</v>
      </c>
      <c r="W65" s="464"/>
      <c r="X65" s="451"/>
      <c r="Y65" s="452"/>
      <c r="Z65" s="465"/>
      <c r="AA65" s="463">
        <f>AA70</f>
        <v>0</v>
      </c>
      <c r="AB65" s="464"/>
      <c r="AC65" s="451"/>
      <c r="AD65" s="452"/>
      <c r="AE65" s="465"/>
      <c r="AF65" s="463">
        <f>AF70</f>
        <v>0</v>
      </c>
      <c r="AG65" s="464"/>
      <c r="AH65" s="451"/>
      <c r="AI65" s="452"/>
      <c r="AJ65" s="465"/>
      <c r="AK65" s="463">
        <f>AK70</f>
        <v>0</v>
      </c>
      <c r="AL65" s="464"/>
      <c r="AM65" s="451"/>
      <c r="AN65" s="452"/>
      <c r="AO65" s="465"/>
      <c r="AP65" s="463">
        <f>AP70</f>
        <v>0</v>
      </c>
      <c r="AQ65" s="464"/>
      <c r="AR65" s="451"/>
      <c r="AS65" s="452"/>
      <c r="AT65" s="465"/>
      <c r="AU65" s="463">
        <f>AU70</f>
        <v>0</v>
      </c>
      <c r="AV65" s="464"/>
      <c r="AW65" s="451"/>
      <c r="AX65" s="452"/>
      <c r="AY65" s="465"/>
      <c r="AZ65" s="463">
        <f>AZ70</f>
        <v>0</v>
      </c>
      <c r="BA65" s="464"/>
      <c r="BB65" s="451"/>
      <c r="BC65" s="452"/>
      <c r="BD65" s="465"/>
      <c r="BE65" s="463">
        <f>BE70</f>
        <v>0</v>
      </c>
      <c r="BF65" s="464"/>
      <c r="BG65" s="451"/>
      <c r="BH65" s="452"/>
      <c r="BI65" s="465"/>
      <c r="BJ65" s="463">
        <f>BJ70</f>
        <v>0</v>
      </c>
      <c r="BK65" s="464"/>
      <c r="BL65" s="451"/>
      <c r="BM65" s="452"/>
      <c r="BN65" s="465"/>
      <c r="BO65" s="463">
        <f>BO70</f>
        <v>0</v>
      </c>
      <c r="BP65" s="464"/>
      <c r="BQ65" s="451"/>
      <c r="BR65" s="452"/>
      <c r="BS65" s="465"/>
      <c r="BT65" s="463">
        <f>BT70</f>
        <v>0</v>
      </c>
      <c r="BU65" s="464"/>
      <c r="BV65" s="451"/>
      <c r="BW65" s="452"/>
      <c r="BX65" s="465"/>
      <c r="BY65" s="463">
        <f>BY70</f>
        <v>0</v>
      </c>
      <c r="BZ65" s="464"/>
      <c r="CA65" s="451"/>
      <c r="CB65" s="452"/>
      <c r="CC65" s="465"/>
      <c r="CD65" s="463">
        <f>CD70</f>
        <v>0</v>
      </c>
      <c r="CE65" s="464"/>
      <c r="CF65" s="451"/>
      <c r="CG65" s="452"/>
      <c r="CH65" s="465"/>
      <c r="CI65" s="463">
        <f>CI70</f>
        <v>0</v>
      </c>
      <c r="CJ65" s="464"/>
      <c r="CK65" s="451"/>
      <c r="CL65" s="452"/>
      <c r="CM65" s="465"/>
      <c r="CN65" s="463">
        <f>CN70</f>
        <v>0</v>
      </c>
      <c r="CO65" s="464"/>
      <c r="CP65" s="451"/>
      <c r="CQ65" s="452"/>
      <c r="CR65" s="465"/>
      <c r="CS65" s="463">
        <f>CS70</f>
        <v>0</v>
      </c>
      <c r="CT65" s="464"/>
      <c r="CU65" s="451"/>
      <c r="CV65" s="452"/>
      <c r="CW65" s="465"/>
      <c r="CX65" s="463">
        <f>CX70</f>
        <v>0</v>
      </c>
      <c r="CY65" s="464"/>
      <c r="CZ65" s="451"/>
      <c r="DA65" s="452"/>
      <c r="DB65" s="465"/>
      <c r="DC65" s="463">
        <f>DC70</f>
        <v>0</v>
      </c>
      <c r="DD65" s="464"/>
      <c r="DE65" s="451"/>
      <c r="DF65" s="452"/>
      <c r="DG65" s="465"/>
      <c r="DH65" s="463">
        <f>DH70</f>
        <v>0</v>
      </c>
      <c r="DI65" s="464"/>
      <c r="DJ65" s="451"/>
      <c r="DK65" s="452"/>
      <c r="DL65" s="465"/>
      <c r="DM65" s="463">
        <f>DM70</f>
        <v>0</v>
      </c>
      <c r="DN65" s="464"/>
      <c r="DO65" s="451"/>
      <c r="DP65" s="452"/>
      <c r="DQ65" s="465"/>
      <c r="DR65" s="463">
        <f>DR70</f>
        <v>0</v>
      </c>
      <c r="DS65" s="464"/>
      <c r="DT65" s="451"/>
      <c r="DU65" s="452"/>
      <c r="DV65" s="465"/>
      <c r="DW65" s="463">
        <f>DW70</f>
        <v>0</v>
      </c>
      <c r="DX65" s="464"/>
      <c r="DY65" s="451"/>
      <c r="DZ65" s="452"/>
      <c r="EA65" s="465"/>
      <c r="EB65" s="463">
        <f>EB70</f>
        <v>0</v>
      </c>
      <c r="EC65" s="464"/>
      <c r="ED65" s="451"/>
      <c r="EE65" s="452"/>
      <c r="EF65" s="465"/>
      <c r="EG65" s="463">
        <f>EG70</f>
        <v>0</v>
      </c>
      <c r="EH65" s="464"/>
      <c r="EI65" s="451"/>
      <c r="EJ65" s="452"/>
      <c r="EK65" s="465"/>
      <c r="EL65" s="463">
        <f>EL70</f>
        <v>0</v>
      </c>
      <c r="EM65" s="464"/>
      <c r="EN65" s="451"/>
      <c r="EO65" s="13"/>
    </row>
    <row r="66" spans="4:148" ht="12.75" hidden="1" customHeight="1" x14ac:dyDescent="0.2">
      <c r="D66" s="13"/>
      <c r="E66" s="198"/>
      <c r="G66" s="451"/>
      <c r="H66" s="451"/>
      <c r="I66" s="451"/>
      <c r="J66" s="452"/>
      <c r="K66" s="451"/>
      <c r="L66" s="451"/>
      <c r="M66" s="451"/>
      <c r="N66" s="451"/>
      <c r="O66" s="452"/>
      <c r="P66" s="451"/>
      <c r="Q66" s="451"/>
      <c r="R66" s="451"/>
      <c r="S66" s="451"/>
      <c r="T66" s="452"/>
      <c r="U66" s="451"/>
      <c r="V66" s="451"/>
      <c r="W66" s="451"/>
      <c r="X66" s="451"/>
      <c r="Y66" s="452"/>
      <c r="Z66" s="451"/>
      <c r="AA66" s="451"/>
      <c r="AB66" s="451"/>
      <c r="AC66" s="451"/>
      <c r="AD66" s="452"/>
      <c r="AE66" s="451"/>
      <c r="AF66" s="451"/>
      <c r="AG66" s="451"/>
      <c r="AH66" s="451"/>
      <c r="AI66" s="452"/>
      <c r="AJ66" s="451"/>
      <c r="AK66" s="451"/>
      <c r="AL66" s="451"/>
      <c r="AM66" s="451"/>
      <c r="AN66" s="452"/>
      <c r="AO66" s="451"/>
      <c r="AP66" s="451"/>
      <c r="AQ66" s="451"/>
      <c r="AR66" s="451"/>
      <c r="AS66" s="452"/>
      <c r="AT66" s="451"/>
      <c r="AU66" s="451"/>
      <c r="AV66" s="451"/>
      <c r="AW66" s="451"/>
      <c r="AX66" s="452"/>
      <c r="AY66" s="451"/>
      <c r="AZ66" s="451"/>
      <c r="BA66" s="451"/>
      <c r="BB66" s="451"/>
      <c r="BC66" s="452"/>
      <c r="BD66" s="451"/>
      <c r="BE66" s="451"/>
      <c r="BF66" s="451"/>
      <c r="BG66" s="451"/>
      <c r="BH66" s="452"/>
      <c r="BI66" s="451"/>
      <c r="BJ66" s="451"/>
      <c r="BK66" s="451"/>
      <c r="BL66" s="451"/>
      <c r="BM66" s="452"/>
      <c r="BN66" s="451"/>
      <c r="BO66" s="451"/>
      <c r="BP66" s="451"/>
      <c r="BQ66" s="451"/>
      <c r="BR66" s="452"/>
      <c r="BS66" s="451"/>
      <c r="BT66" s="451"/>
      <c r="BU66" s="451"/>
      <c r="BV66" s="451"/>
      <c r="BW66" s="452"/>
      <c r="BX66" s="451"/>
      <c r="BY66" s="451"/>
      <c r="BZ66" s="451"/>
      <c r="CA66" s="451"/>
      <c r="CB66" s="452"/>
      <c r="CC66" s="451"/>
      <c r="CD66" s="451"/>
      <c r="CE66" s="451"/>
      <c r="CF66" s="451"/>
      <c r="CG66" s="452"/>
      <c r="CH66" s="451"/>
      <c r="CI66" s="451"/>
      <c r="CJ66" s="451"/>
      <c r="CK66" s="451"/>
      <c r="CL66" s="452"/>
      <c r="CM66" s="451"/>
      <c r="CN66" s="451"/>
      <c r="CO66" s="451"/>
      <c r="CP66" s="451"/>
      <c r="CQ66" s="452"/>
      <c r="CR66" s="451"/>
      <c r="CS66" s="451"/>
      <c r="CT66" s="451"/>
      <c r="CU66" s="451"/>
      <c r="CV66" s="452"/>
      <c r="CW66" s="451"/>
      <c r="CX66" s="451"/>
      <c r="CY66" s="451"/>
      <c r="CZ66" s="451"/>
      <c r="DA66" s="452"/>
      <c r="DB66" s="451"/>
      <c r="DC66" s="451"/>
      <c r="DD66" s="451"/>
      <c r="DE66" s="451"/>
      <c r="DF66" s="452"/>
      <c r="DG66" s="451"/>
      <c r="DH66" s="451"/>
      <c r="DI66" s="451"/>
      <c r="DJ66" s="451"/>
      <c r="DK66" s="452"/>
      <c r="DL66" s="451"/>
      <c r="DM66" s="451"/>
      <c r="DN66" s="451"/>
      <c r="DO66" s="451"/>
      <c r="DP66" s="452"/>
      <c r="DQ66" s="451"/>
      <c r="DR66" s="451"/>
      <c r="DS66" s="451"/>
      <c r="DT66" s="451"/>
      <c r="DU66" s="452"/>
      <c r="DV66" s="451"/>
      <c r="DW66" s="451"/>
      <c r="DX66" s="451"/>
      <c r="DY66" s="451"/>
      <c r="DZ66" s="452"/>
      <c r="EA66" s="451"/>
      <c r="EB66" s="451"/>
      <c r="EC66" s="451"/>
      <c r="ED66" s="451"/>
      <c r="EE66" s="452"/>
      <c r="EF66" s="451"/>
      <c r="EG66" s="451"/>
      <c r="EH66" s="451"/>
      <c r="EI66" s="451"/>
      <c r="EJ66" s="452"/>
      <c r="EK66" s="451"/>
      <c r="EL66" s="451"/>
      <c r="EM66" s="451"/>
      <c r="EN66" s="451"/>
      <c r="EO66" s="13"/>
    </row>
    <row r="67" spans="4:148" ht="12.75" hidden="1" customHeight="1" x14ac:dyDescent="0.2">
      <c r="D67" s="13" t="s">
        <v>459</v>
      </c>
      <c r="E67" s="198"/>
      <c r="G67" s="451">
        <v>0</v>
      </c>
      <c r="H67" s="451"/>
      <c r="I67" s="451"/>
      <c r="J67" s="452"/>
      <c r="K67" s="451"/>
      <c r="L67" s="451">
        <f>SUM(L68:L70)</f>
        <v>0</v>
      </c>
      <c r="M67" s="451"/>
      <c r="N67" s="451"/>
      <c r="O67" s="452"/>
      <c r="P67" s="451"/>
      <c r="Q67" s="451">
        <f>SUM(Q68:Q70)</f>
        <v>0</v>
      </c>
      <c r="R67" s="451"/>
      <c r="S67" s="451"/>
      <c r="T67" s="452"/>
      <c r="U67" s="451"/>
      <c r="V67" s="451">
        <f>SUM(V68:V70)</f>
        <v>0</v>
      </c>
      <c r="W67" s="451"/>
      <c r="X67" s="451"/>
      <c r="Y67" s="452"/>
      <c r="Z67" s="451"/>
      <c r="AA67" s="451">
        <f>SUM(AA68:AA70)</f>
        <v>0</v>
      </c>
      <c r="AB67" s="451"/>
      <c r="AC67" s="451"/>
      <c r="AD67" s="452"/>
      <c r="AE67" s="451"/>
      <c r="AF67" s="451">
        <f>SUM(AF68:AF70)</f>
        <v>0</v>
      </c>
      <c r="AG67" s="451"/>
      <c r="AH67" s="451"/>
      <c r="AI67" s="452"/>
      <c r="AJ67" s="451"/>
      <c r="AK67" s="451">
        <f>SUM(AK68:AK70)</f>
        <v>0</v>
      </c>
      <c r="AL67" s="451"/>
      <c r="AM67" s="451"/>
      <c r="AN67" s="452"/>
      <c r="AO67" s="451"/>
      <c r="AP67" s="451">
        <f>SUM(AP68:AP70)</f>
        <v>0</v>
      </c>
      <c r="AQ67" s="451"/>
      <c r="AR67" s="451"/>
      <c r="AS67" s="452"/>
      <c r="AT67" s="451"/>
      <c r="AU67" s="451">
        <f>SUM(AU68:AU70)</f>
        <v>0</v>
      </c>
      <c r="AV67" s="451"/>
      <c r="AW67" s="451"/>
      <c r="AX67" s="452"/>
      <c r="AY67" s="451"/>
      <c r="AZ67" s="451">
        <f>SUM(AZ68:AZ70)</f>
        <v>0</v>
      </c>
      <c r="BA67" s="451"/>
      <c r="BB67" s="451"/>
      <c r="BC67" s="452"/>
      <c r="BD67" s="451"/>
      <c r="BE67" s="451">
        <f>SUM(BE68:BE70)</f>
        <v>0</v>
      </c>
      <c r="BF67" s="451"/>
      <c r="BG67" s="451"/>
      <c r="BH67" s="452"/>
      <c r="BI67" s="451"/>
      <c r="BJ67" s="451">
        <f>SUM(BJ68:BJ70)</f>
        <v>0</v>
      </c>
      <c r="BK67" s="451"/>
      <c r="BL67" s="451"/>
      <c r="BM67" s="452"/>
      <c r="BN67" s="451"/>
      <c r="BO67" s="451">
        <f>SUM(BO68:BO70)</f>
        <v>0</v>
      </c>
      <c r="BP67" s="451"/>
      <c r="BQ67" s="451"/>
      <c r="BR67" s="452"/>
      <c r="BS67" s="451"/>
      <c r="BT67" s="451">
        <f>SUM(BT68:BT70)</f>
        <v>0</v>
      </c>
      <c r="BU67" s="451"/>
      <c r="BV67" s="451"/>
      <c r="BW67" s="452"/>
      <c r="BX67" s="451"/>
      <c r="BY67" s="451">
        <f>SUM(BY68:BY70)</f>
        <v>0</v>
      </c>
      <c r="BZ67" s="451"/>
      <c r="CA67" s="451"/>
      <c r="CB67" s="452"/>
      <c r="CC67" s="451"/>
      <c r="CD67" s="451">
        <f>SUM(CD68:CD70)</f>
        <v>0</v>
      </c>
      <c r="CE67" s="451"/>
      <c r="CF67" s="451"/>
      <c r="CG67" s="452"/>
      <c r="CH67" s="451"/>
      <c r="CI67" s="451">
        <f>SUM(CI68:CI70)</f>
        <v>0</v>
      </c>
      <c r="CJ67" s="451"/>
      <c r="CK67" s="451"/>
      <c r="CL67" s="452"/>
      <c r="CM67" s="451"/>
      <c r="CN67" s="451">
        <f>SUM(CN68:CN70)</f>
        <v>0</v>
      </c>
      <c r="CO67" s="451"/>
      <c r="CP67" s="451"/>
      <c r="CQ67" s="452"/>
      <c r="CR67" s="451"/>
      <c r="CS67" s="451">
        <f>SUM(CS68:CS70)</f>
        <v>0</v>
      </c>
      <c r="CT67" s="451"/>
      <c r="CU67" s="451"/>
      <c r="CV67" s="452"/>
      <c r="CW67" s="451"/>
      <c r="CX67" s="451">
        <f>SUM(CX68:CX70)</f>
        <v>0</v>
      </c>
      <c r="CY67" s="451"/>
      <c r="CZ67" s="451"/>
      <c r="DA67" s="452"/>
      <c r="DB67" s="451"/>
      <c r="DC67" s="451">
        <f>SUM(DC68:DC70)</f>
        <v>0</v>
      </c>
      <c r="DD67" s="451"/>
      <c r="DE67" s="451"/>
      <c r="DF67" s="452"/>
      <c r="DG67" s="451"/>
      <c r="DH67" s="451">
        <f>SUM(DH68:DH70)</f>
        <v>0</v>
      </c>
      <c r="DI67" s="451"/>
      <c r="DJ67" s="451"/>
      <c r="DK67" s="452"/>
      <c r="DL67" s="451"/>
      <c r="DM67" s="451">
        <f>SUM(DM68:DM70)</f>
        <v>0</v>
      </c>
      <c r="DN67" s="451"/>
      <c r="DO67" s="451"/>
      <c r="DP67" s="452"/>
      <c r="DQ67" s="451"/>
      <c r="DR67" s="451">
        <f>SUM(DR68:DR70)</f>
        <v>0</v>
      </c>
      <c r="DS67" s="451"/>
      <c r="DT67" s="451"/>
      <c r="DU67" s="452"/>
      <c r="DV67" s="451"/>
      <c r="DW67" s="451">
        <f>SUM(DW68:DW70)</f>
        <v>0</v>
      </c>
      <c r="DX67" s="451"/>
      <c r="DY67" s="451"/>
      <c r="DZ67" s="452"/>
      <c r="EA67" s="451"/>
      <c r="EB67" s="451">
        <f>SUM(EB68:EB70)</f>
        <v>0</v>
      </c>
      <c r="EC67" s="451"/>
      <c r="ED67" s="451"/>
      <c r="EE67" s="452"/>
      <c r="EF67" s="451"/>
      <c r="EG67" s="451">
        <f>SUM(EG68:EG70)</f>
        <v>0</v>
      </c>
      <c r="EH67" s="451"/>
      <c r="EI67" s="451"/>
      <c r="EJ67" s="452"/>
      <c r="EK67" s="451"/>
      <c r="EL67" s="451">
        <f>SUM(EL68:EL70)</f>
        <v>0</v>
      </c>
      <c r="EM67" s="451"/>
      <c r="EN67" s="451"/>
      <c r="EO67" s="13"/>
    </row>
    <row r="68" spans="4:148" ht="12.75" hidden="1" customHeight="1" x14ac:dyDescent="0.2">
      <c r="D68" s="13" t="s">
        <v>347</v>
      </c>
      <c r="E68" s="198"/>
      <c r="F68" s="374"/>
      <c r="G68" s="449">
        <v>0</v>
      </c>
      <c r="H68" s="450"/>
      <c r="I68" s="451"/>
      <c r="J68" s="452"/>
      <c r="K68" s="453"/>
      <c r="L68" s="449">
        <v>0</v>
      </c>
      <c r="M68" s="450"/>
      <c r="N68" s="451"/>
      <c r="O68" s="452"/>
      <c r="P68" s="453"/>
      <c r="Q68" s="449">
        <v>0</v>
      </c>
      <c r="R68" s="450"/>
      <c r="S68" s="451"/>
      <c r="T68" s="452"/>
      <c r="U68" s="453"/>
      <c r="V68" s="449">
        <v>0</v>
      </c>
      <c r="W68" s="450"/>
      <c r="X68" s="451"/>
      <c r="Y68" s="452"/>
      <c r="Z68" s="453"/>
      <c r="AA68" s="449">
        <v>0</v>
      </c>
      <c r="AB68" s="450"/>
      <c r="AC68" s="451"/>
      <c r="AD68" s="452"/>
      <c r="AE68" s="453"/>
      <c r="AF68" s="449">
        <v>0</v>
      </c>
      <c r="AG68" s="450"/>
      <c r="AH68" s="451"/>
      <c r="AI68" s="452"/>
      <c r="AJ68" s="453"/>
      <c r="AK68" s="449">
        <v>0</v>
      </c>
      <c r="AL68" s="450"/>
      <c r="AM68" s="451"/>
      <c r="AN68" s="452"/>
      <c r="AO68" s="453"/>
      <c r="AP68" s="449">
        <v>0</v>
      </c>
      <c r="AQ68" s="450"/>
      <c r="AR68" s="451"/>
      <c r="AS68" s="452"/>
      <c r="AT68" s="453"/>
      <c r="AU68" s="449">
        <v>0</v>
      </c>
      <c r="AV68" s="450"/>
      <c r="AW68" s="451"/>
      <c r="AX68" s="452"/>
      <c r="AY68" s="453"/>
      <c r="AZ68" s="449">
        <v>0</v>
      </c>
      <c r="BA68" s="450"/>
      <c r="BB68" s="451"/>
      <c r="BC68" s="452"/>
      <c r="BD68" s="453"/>
      <c r="BE68" s="449">
        <v>0</v>
      </c>
      <c r="BF68" s="450"/>
      <c r="BG68" s="451"/>
      <c r="BH68" s="452"/>
      <c r="BI68" s="453"/>
      <c r="BJ68" s="449">
        <v>0</v>
      </c>
      <c r="BK68" s="450"/>
      <c r="BL68" s="451"/>
      <c r="BM68" s="452"/>
      <c r="BN68" s="453"/>
      <c r="BO68" s="449">
        <v>0</v>
      </c>
      <c r="BP68" s="450"/>
      <c r="BQ68" s="451"/>
      <c r="BR68" s="452"/>
      <c r="BS68" s="453"/>
      <c r="BT68" s="449">
        <f>SUM(L68:BO68)</f>
        <v>0</v>
      </c>
      <c r="BU68" s="450"/>
      <c r="BV68" s="451"/>
      <c r="BW68" s="452"/>
      <c r="BX68" s="453"/>
      <c r="BY68" s="449">
        <f>SUM(Q68:BT68)</f>
        <v>0</v>
      </c>
      <c r="BZ68" s="450"/>
      <c r="CA68" s="451"/>
      <c r="CB68" s="452"/>
      <c r="CC68" s="453"/>
      <c r="CD68" s="449">
        <v>0</v>
      </c>
      <c r="CE68" s="450"/>
      <c r="CF68" s="451"/>
      <c r="CG68" s="452"/>
      <c r="CH68" s="453"/>
      <c r="CI68" s="449">
        <v>0</v>
      </c>
      <c r="CJ68" s="450"/>
      <c r="CK68" s="451"/>
      <c r="CL68" s="452"/>
      <c r="CM68" s="453"/>
      <c r="CN68" s="449">
        <v>0</v>
      </c>
      <c r="CO68" s="450"/>
      <c r="CP68" s="451"/>
      <c r="CQ68" s="452"/>
      <c r="CR68" s="453"/>
      <c r="CS68" s="449">
        <v>0</v>
      </c>
      <c r="CT68" s="450"/>
      <c r="CU68" s="451"/>
      <c r="CV68" s="452"/>
      <c r="CW68" s="453"/>
      <c r="CX68" s="449">
        <v>0</v>
      </c>
      <c r="CY68" s="450"/>
      <c r="CZ68" s="451"/>
      <c r="DA68" s="452"/>
      <c r="DB68" s="453"/>
      <c r="DC68" s="449">
        <v>0</v>
      </c>
      <c r="DD68" s="450"/>
      <c r="DE68" s="451"/>
      <c r="DF68" s="452"/>
      <c r="DG68" s="453"/>
      <c r="DH68" s="449">
        <v>0</v>
      </c>
      <c r="DI68" s="450"/>
      <c r="DJ68" s="451"/>
      <c r="DK68" s="452"/>
      <c r="DL68" s="453"/>
      <c r="DM68" s="449">
        <v>0</v>
      </c>
      <c r="DN68" s="450"/>
      <c r="DO68" s="451"/>
      <c r="DP68" s="452"/>
      <c r="DQ68" s="453"/>
      <c r="DR68" s="449">
        <v>0</v>
      </c>
      <c r="DS68" s="450"/>
      <c r="DT68" s="451"/>
      <c r="DU68" s="452"/>
      <c r="DV68" s="453"/>
      <c r="DW68" s="449">
        <v>0</v>
      </c>
      <c r="DX68" s="450"/>
      <c r="DY68" s="451"/>
      <c r="DZ68" s="452"/>
      <c r="EA68" s="453"/>
      <c r="EB68" s="449">
        <v>0</v>
      </c>
      <c r="EC68" s="450"/>
      <c r="ED68" s="451"/>
      <c r="EE68" s="452"/>
      <c r="EF68" s="453"/>
      <c r="EG68" s="449">
        <v>0</v>
      </c>
      <c r="EH68" s="450"/>
      <c r="EI68" s="451"/>
      <c r="EJ68" s="452"/>
      <c r="EK68" s="453"/>
      <c r="EL68" s="449">
        <f>SUM(CD68:EG68)</f>
        <v>0</v>
      </c>
      <c r="EM68" s="450"/>
      <c r="EN68" s="451"/>
      <c r="EO68" s="13"/>
    </row>
    <row r="69" spans="4:148" ht="12.75" hidden="1" customHeight="1" x14ac:dyDescent="0.2">
      <c r="D69" s="13" t="s">
        <v>349</v>
      </c>
      <c r="E69" s="198"/>
      <c r="F69" s="198"/>
      <c r="G69" s="451">
        <v>0</v>
      </c>
      <c r="H69" s="455"/>
      <c r="I69" s="451"/>
      <c r="J69" s="452"/>
      <c r="K69" s="452"/>
      <c r="L69" s="451">
        <v>0</v>
      </c>
      <c r="M69" s="455"/>
      <c r="N69" s="451"/>
      <c r="O69" s="452"/>
      <c r="P69" s="452"/>
      <c r="Q69" s="451">
        <v>0</v>
      </c>
      <c r="R69" s="455"/>
      <c r="S69" s="451"/>
      <c r="T69" s="452"/>
      <c r="U69" s="452"/>
      <c r="V69" s="451">
        <v>0</v>
      </c>
      <c r="W69" s="455"/>
      <c r="X69" s="451"/>
      <c r="Y69" s="452"/>
      <c r="Z69" s="452"/>
      <c r="AA69" s="451">
        <v>0</v>
      </c>
      <c r="AB69" s="455"/>
      <c r="AC69" s="451"/>
      <c r="AD69" s="452"/>
      <c r="AE69" s="452"/>
      <c r="AF69" s="451">
        <v>0</v>
      </c>
      <c r="AG69" s="455"/>
      <c r="AH69" s="451"/>
      <c r="AI69" s="452"/>
      <c r="AJ69" s="452"/>
      <c r="AK69" s="451">
        <v>0</v>
      </c>
      <c r="AL69" s="455"/>
      <c r="AM69" s="451"/>
      <c r="AN69" s="452"/>
      <c r="AO69" s="452"/>
      <c r="AP69" s="451">
        <v>0</v>
      </c>
      <c r="AQ69" s="455"/>
      <c r="AR69" s="451"/>
      <c r="AS69" s="452"/>
      <c r="AT69" s="452"/>
      <c r="AU69" s="451">
        <v>0</v>
      </c>
      <c r="AV69" s="455"/>
      <c r="AW69" s="451"/>
      <c r="AX69" s="452"/>
      <c r="AY69" s="452"/>
      <c r="AZ69" s="451">
        <v>0</v>
      </c>
      <c r="BA69" s="455"/>
      <c r="BB69" s="451"/>
      <c r="BC69" s="452"/>
      <c r="BD69" s="452"/>
      <c r="BE69" s="451">
        <v>0</v>
      </c>
      <c r="BF69" s="455"/>
      <c r="BG69" s="451"/>
      <c r="BH69" s="452"/>
      <c r="BI69" s="452"/>
      <c r="BJ69" s="451">
        <v>0</v>
      </c>
      <c r="BK69" s="455"/>
      <c r="BL69" s="451"/>
      <c r="BM69" s="452"/>
      <c r="BN69" s="452"/>
      <c r="BO69" s="451">
        <v>0</v>
      </c>
      <c r="BP69" s="455"/>
      <c r="BQ69" s="451"/>
      <c r="BR69" s="452"/>
      <c r="BS69" s="452"/>
      <c r="BT69" s="451">
        <f>SUM(L69:BO69)</f>
        <v>0</v>
      </c>
      <c r="BU69" s="455"/>
      <c r="BV69" s="451"/>
      <c r="BW69" s="452"/>
      <c r="BX69" s="452"/>
      <c r="BY69" s="451">
        <f>SUM(Q69:BT69)</f>
        <v>0</v>
      </c>
      <c r="BZ69" s="455"/>
      <c r="CA69" s="451"/>
      <c r="CB69" s="452"/>
      <c r="CC69" s="452"/>
      <c r="CD69" s="451">
        <v>0</v>
      </c>
      <c r="CE69" s="455"/>
      <c r="CF69" s="451"/>
      <c r="CG69" s="452"/>
      <c r="CH69" s="452"/>
      <c r="CI69" s="451">
        <v>0</v>
      </c>
      <c r="CJ69" s="455"/>
      <c r="CK69" s="451"/>
      <c r="CL69" s="452"/>
      <c r="CM69" s="452"/>
      <c r="CN69" s="451">
        <v>0</v>
      </c>
      <c r="CO69" s="455"/>
      <c r="CP69" s="451"/>
      <c r="CQ69" s="452"/>
      <c r="CR69" s="452"/>
      <c r="CS69" s="451">
        <v>0</v>
      </c>
      <c r="CT69" s="455"/>
      <c r="CU69" s="451"/>
      <c r="CV69" s="452"/>
      <c r="CW69" s="452"/>
      <c r="CX69" s="451">
        <v>0</v>
      </c>
      <c r="CY69" s="455"/>
      <c r="CZ69" s="451"/>
      <c r="DA69" s="452"/>
      <c r="DB69" s="452"/>
      <c r="DC69" s="451">
        <v>0</v>
      </c>
      <c r="DD69" s="455"/>
      <c r="DE69" s="451"/>
      <c r="DF69" s="452"/>
      <c r="DG69" s="452"/>
      <c r="DH69" s="451">
        <v>0</v>
      </c>
      <c r="DI69" s="455"/>
      <c r="DJ69" s="451"/>
      <c r="DK69" s="452"/>
      <c r="DL69" s="452"/>
      <c r="DM69" s="451">
        <v>0</v>
      </c>
      <c r="DN69" s="455"/>
      <c r="DO69" s="451"/>
      <c r="DP69" s="452"/>
      <c r="DQ69" s="452"/>
      <c r="DR69" s="451">
        <v>0</v>
      </c>
      <c r="DS69" s="455"/>
      <c r="DT69" s="451"/>
      <c r="DU69" s="452"/>
      <c r="DV69" s="452"/>
      <c r="DW69" s="451">
        <v>0</v>
      </c>
      <c r="DX69" s="455"/>
      <c r="DY69" s="451"/>
      <c r="DZ69" s="452"/>
      <c r="EA69" s="452"/>
      <c r="EB69" s="451">
        <v>0</v>
      </c>
      <c r="EC69" s="455"/>
      <c r="ED69" s="451"/>
      <c r="EE69" s="452"/>
      <c r="EF69" s="452"/>
      <c r="EG69" s="451">
        <v>0</v>
      </c>
      <c r="EH69" s="455"/>
      <c r="EI69" s="451"/>
      <c r="EJ69" s="452"/>
      <c r="EK69" s="452"/>
      <c r="EL69" s="451">
        <f>SUM(CD69:EG69)</f>
        <v>0</v>
      </c>
      <c r="EM69" s="455"/>
      <c r="EN69" s="451"/>
      <c r="EO69" s="13"/>
    </row>
    <row r="70" spans="4:148" ht="12.75" hidden="1" customHeight="1" x14ac:dyDescent="0.2">
      <c r="D70" s="13" t="s">
        <v>357</v>
      </c>
      <c r="E70" s="198"/>
      <c r="F70" s="385"/>
      <c r="G70" s="463">
        <v>0</v>
      </c>
      <c r="H70" s="464"/>
      <c r="I70" s="451"/>
      <c r="J70" s="452"/>
      <c r="K70" s="465"/>
      <c r="L70" s="463">
        <v>0</v>
      </c>
      <c r="M70" s="464"/>
      <c r="N70" s="451"/>
      <c r="O70" s="452"/>
      <c r="P70" s="465"/>
      <c r="Q70" s="463">
        <v>0</v>
      </c>
      <c r="R70" s="464"/>
      <c r="S70" s="451"/>
      <c r="T70" s="452"/>
      <c r="U70" s="465"/>
      <c r="V70" s="463">
        <v>0</v>
      </c>
      <c r="W70" s="464"/>
      <c r="X70" s="451"/>
      <c r="Y70" s="452"/>
      <c r="Z70" s="465"/>
      <c r="AA70" s="463">
        <v>0</v>
      </c>
      <c r="AB70" s="464"/>
      <c r="AC70" s="451"/>
      <c r="AD70" s="452"/>
      <c r="AE70" s="465"/>
      <c r="AF70" s="463">
        <v>0</v>
      </c>
      <c r="AG70" s="464"/>
      <c r="AH70" s="451"/>
      <c r="AI70" s="452"/>
      <c r="AJ70" s="465"/>
      <c r="AK70" s="463">
        <v>0</v>
      </c>
      <c r="AL70" s="464"/>
      <c r="AM70" s="451"/>
      <c r="AN70" s="452"/>
      <c r="AO70" s="465"/>
      <c r="AP70" s="463">
        <v>0</v>
      </c>
      <c r="AQ70" s="464"/>
      <c r="AR70" s="451"/>
      <c r="AS70" s="452"/>
      <c r="AT70" s="465"/>
      <c r="AU70" s="463">
        <v>0</v>
      </c>
      <c r="AV70" s="464"/>
      <c r="AW70" s="451"/>
      <c r="AX70" s="452"/>
      <c r="AY70" s="465"/>
      <c r="AZ70" s="463">
        <v>0</v>
      </c>
      <c r="BA70" s="464"/>
      <c r="BB70" s="451"/>
      <c r="BC70" s="452"/>
      <c r="BD70" s="465"/>
      <c r="BE70" s="463">
        <v>0</v>
      </c>
      <c r="BF70" s="464"/>
      <c r="BG70" s="451"/>
      <c r="BH70" s="452"/>
      <c r="BI70" s="465"/>
      <c r="BJ70" s="463">
        <v>0</v>
      </c>
      <c r="BK70" s="464"/>
      <c r="BL70" s="451"/>
      <c r="BM70" s="452"/>
      <c r="BN70" s="465"/>
      <c r="BO70" s="463">
        <v>0</v>
      </c>
      <c r="BP70" s="464"/>
      <c r="BQ70" s="451"/>
      <c r="BR70" s="452"/>
      <c r="BS70" s="465"/>
      <c r="BT70" s="463">
        <f>SUM(L70:BO70)</f>
        <v>0</v>
      </c>
      <c r="BU70" s="464"/>
      <c r="BV70" s="451"/>
      <c r="BW70" s="452"/>
      <c r="BX70" s="465"/>
      <c r="BY70" s="463">
        <f>SUM(Q70:BT70)</f>
        <v>0</v>
      </c>
      <c r="BZ70" s="464"/>
      <c r="CA70" s="451"/>
      <c r="CB70" s="452"/>
      <c r="CC70" s="465"/>
      <c r="CD70" s="463">
        <v>0</v>
      </c>
      <c r="CE70" s="464"/>
      <c r="CF70" s="451"/>
      <c r="CG70" s="452"/>
      <c r="CH70" s="465"/>
      <c r="CI70" s="463">
        <v>0</v>
      </c>
      <c r="CJ70" s="464"/>
      <c r="CK70" s="451"/>
      <c r="CL70" s="452"/>
      <c r="CM70" s="465"/>
      <c r="CN70" s="463">
        <v>0</v>
      </c>
      <c r="CO70" s="464"/>
      <c r="CP70" s="451"/>
      <c r="CQ70" s="452"/>
      <c r="CR70" s="465"/>
      <c r="CS70" s="463">
        <v>0</v>
      </c>
      <c r="CT70" s="464"/>
      <c r="CU70" s="451"/>
      <c r="CV70" s="452"/>
      <c r="CW70" s="465"/>
      <c r="CX70" s="463">
        <v>0</v>
      </c>
      <c r="CY70" s="464"/>
      <c r="CZ70" s="451"/>
      <c r="DA70" s="452"/>
      <c r="DB70" s="465"/>
      <c r="DC70" s="463">
        <v>0</v>
      </c>
      <c r="DD70" s="464"/>
      <c r="DE70" s="451"/>
      <c r="DF70" s="452"/>
      <c r="DG70" s="465"/>
      <c r="DH70" s="463">
        <v>0</v>
      </c>
      <c r="DI70" s="464"/>
      <c r="DJ70" s="451"/>
      <c r="DK70" s="452"/>
      <c r="DL70" s="465"/>
      <c r="DM70" s="463">
        <v>0</v>
      </c>
      <c r="DN70" s="464"/>
      <c r="DO70" s="451"/>
      <c r="DP70" s="452"/>
      <c r="DQ70" s="465"/>
      <c r="DR70" s="463">
        <v>0</v>
      </c>
      <c r="DS70" s="464"/>
      <c r="DT70" s="451"/>
      <c r="DU70" s="452"/>
      <c r="DV70" s="465"/>
      <c r="DW70" s="463">
        <v>0</v>
      </c>
      <c r="DX70" s="464"/>
      <c r="DY70" s="451"/>
      <c r="DZ70" s="452"/>
      <c r="EA70" s="465"/>
      <c r="EB70" s="463">
        <v>0</v>
      </c>
      <c r="EC70" s="464"/>
      <c r="ED70" s="451"/>
      <c r="EE70" s="452"/>
      <c r="EF70" s="465"/>
      <c r="EG70" s="463">
        <v>0</v>
      </c>
      <c r="EH70" s="464"/>
      <c r="EI70" s="451"/>
      <c r="EJ70" s="452"/>
      <c r="EK70" s="465"/>
      <c r="EL70" s="463">
        <f>SUM(CD70:EG70)</f>
        <v>0</v>
      </c>
      <c r="EM70" s="464"/>
      <c r="EN70" s="451"/>
      <c r="EO70" s="13"/>
    </row>
    <row r="71" spans="4:148" ht="12.75" hidden="1" customHeight="1" x14ac:dyDescent="0.2">
      <c r="D71" s="13"/>
      <c r="E71" s="198"/>
      <c r="G71" s="451"/>
      <c r="H71" s="451"/>
      <c r="I71" s="451"/>
      <c r="J71" s="452"/>
      <c r="K71" s="451"/>
      <c r="L71" s="451"/>
      <c r="M71" s="451"/>
      <c r="N71" s="451"/>
      <c r="O71" s="452"/>
      <c r="P71" s="451"/>
      <c r="Q71" s="451"/>
      <c r="R71" s="451"/>
      <c r="S71" s="451"/>
      <c r="T71" s="452"/>
      <c r="U71" s="451"/>
      <c r="V71" s="451"/>
      <c r="W71" s="451"/>
      <c r="X71" s="451"/>
      <c r="Y71" s="452"/>
      <c r="Z71" s="451"/>
      <c r="AA71" s="451"/>
      <c r="AB71" s="451"/>
      <c r="AC71" s="451"/>
      <c r="AD71" s="452"/>
      <c r="AE71" s="451"/>
      <c r="AF71" s="451"/>
      <c r="AG71" s="451"/>
      <c r="AH71" s="451"/>
      <c r="AI71" s="452"/>
      <c r="AJ71" s="451"/>
      <c r="AK71" s="451"/>
      <c r="AL71" s="451"/>
      <c r="AM71" s="451"/>
      <c r="AN71" s="452"/>
      <c r="AO71" s="451"/>
      <c r="AP71" s="451"/>
      <c r="AQ71" s="451"/>
      <c r="AR71" s="451"/>
      <c r="AS71" s="452"/>
      <c r="AT71" s="451"/>
      <c r="AU71" s="451"/>
      <c r="AV71" s="451"/>
      <c r="AW71" s="451"/>
      <c r="AX71" s="452"/>
      <c r="AY71" s="451"/>
      <c r="AZ71" s="451"/>
      <c r="BA71" s="451"/>
      <c r="BB71" s="451"/>
      <c r="BC71" s="452"/>
      <c r="BD71" s="451"/>
      <c r="BE71" s="451"/>
      <c r="BF71" s="451"/>
      <c r="BG71" s="451"/>
      <c r="BH71" s="452"/>
      <c r="BI71" s="451"/>
      <c r="BJ71" s="451"/>
      <c r="BK71" s="451"/>
      <c r="BL71" s="451"/>
      <c r="BM71" s="452"/>
      <c r="BN71" s="451"/>
      <c r="BO71" s="451"/>
      <c r="BP71" s="451"/>
      <c r="BQ71" s="451"/>
      <c r="BR71" s="452"/>
      <c r="BS71" s="451"/>
      <c r="BT71" s="451"/>
      <c r="BU71" s="451"/>
      <c r="BV71" s="451"/>
      <c r="BW71" s="452"/>
      <c r="BX71" s="451"/>
      <c r="BY71" s="451"/>
      <c r="BZ71" s="451"/>
      <c r="CA71" s="451"/>
      <c r="CB71" s="452"/>
      <c r="CC71" s="451"/>
      <c r="CD71" s="451"/>
      <c r="CE71" s="451"/>
      <c r="CF71" s="451"/>
      <c r="CG71" s="452"/>
      <c r="CH71" s="451"/>
      <c r="CI71" s="451"/>
      <c r="CJ71" s="451"/>
      <c r="CK71" s="451"/>
      <c r="CL71" s="452"/>
      <c r="CM71" s="451"/>
      <c r="CN71" s="451"/>
      <c r="CO71" s="451"/>
      <c r="CP71" s="451"/>
      <c r="CQ71" s="452"/>
      <c r="CR71" s="451"/>
      <c r="CS71" s="451"/>
      <c r="CT71" s="451"/>
      <c r="CU71" s="451"/>
      <c r="CV71" s="452"/>
      <c r="CW71" s="451"/>
      <c r="CX71" s="451"/>
      <c r="CY71" s="451"/>
      <c r="CZ71" s="451"/>
      <c r="DA71" s="452"/>
      <c r="DB71" s="451"/>
      <c r="DC71" s="451"/>
      <c r="DD71" s="451"/>
      <c r="DE71" s="451"/>
      <c r="DF71" s="452"/>
      <c r="DG71" s="451"/>
      <c r="DH71" s="451"/>
      <c r="DI71" s="451"/>
      <c r="DJ71" s="451"/>
      <c r="DK71" s="452"/>
      <c r="DL71" s="451"/>
      <c r="DM71" s="451"/>
      <c r="DN71" s="451"/>
      <c r="DO71" s="451"/>
      <c r="DP71" s="452"/>
      <c r="DQ71" s="451"/>
      <c r="DR71" s="451"/>
      <c r="DS71" s="451"/>
      <c r="DT71" s="451"/>
      <c r="DU71" s="452"/>
      <c r="DV71" s="451"/>
      <c r="DW71" s="451"/>
      <c r="DX71" s="451"/>
      <c r="DY71" s="451"/>
      <c r="DZ71" s="452"/>
      <c r="EA71" s="451"/>
      <c r="EB71" s="451"/>
      <c r="EC71" s="451"/>
      <c r="ED71" s="451"/>
      <c r="EE71" s="452"/>
      <c r="EF71" s="451"/>
      <c r="EG71" s="451"/>
      <c r="EH71" s="451"/>
      <c r="EI71" s="451"/>
      <c r="EJ71" s="452"/>
      <c r="EK71" s="451"/>
      <c r="EL71" s="451"/>
      <c r="EM71" s="451"/>
      <c r="EN71" s="451"/>
      <c r="EO71" s="13"/>
    </row>
    <row r="72" spans="4:148" s="14" customFormat="1" ht="12.75" hidden="1" customHeight="1" x14ac:dyDescent="0.2">
      <c r="D72" s="93" t="s">
        <v>460</v>
      </c>
      <c r="E72" s="180"/>
      <c r="G72" s="446">
        <v>0</v>
      </c>
      <c r="H72" s="446"/>
      <c r="I72" s="446"/>
      <c r="J72" s="447"/>
      <c r="K72" s="446"/>
      <c r="L72" s="446">
        <f>SUM(L73:L75)</f>
        <v>0</v>
      </c>
      <c r="M72" s="446"/>
      <c r="N72" s="446"/>
      <c r="O72" s="447"/>
      <c r="P72" s="446"/>
      <c r="Q72" s="446">
        <f>SUM(Q73:Q75)</f>
        <v>0</v>
      </c>
      <c r="R72" s="446"/>
      <c r="S72" s="446"/>
      <c r="T72" s="447"/>
      <c r="U72" s="446"/>
      <c r="V72" s="446">
        <f>SUM(V73:V75)</f>
        <v>0</v>
      </c>
      <c r="W72" s="446"/>
      <c r="X72" s="446"/>
      <c r="Y72" s="447"/>
      <c r="Z72" s="446"/>
      <c r="AA72" s="446">
        <f>SUM(AA73:AA75)</f>
        <v>0</v>
      </c>
      <c r="AB72" s="446"/>
      <c r="AC72" s="446"/>
      <c r="AD72" s="447"/>
      <c r="AE72" s="446"/>
      <c r="AF72" s="446">
        <f>SUM(AF73:AF75)</f>
        <v>0</v>
      </c>
      <c r="AG72" s="446"/>
      <c r="AH72" s="446"/>
      <c r="AI72" s="447"/>
      <c r="AJ72" s="446"/>
      <c r="AK72" s="446">
        <f>SUM(AK73:AK75)</f>
        <v>0</v>
      </c>
      <c r="AL72" s="446"/>
      <c r="AM72" s="446"/>
      <c r="AN72" s="447"/>
      <c r="AO72" s="446"/>
      <c r="AP72" s="446">
        <f>SUM(AP73:AP75)</f>
        <v>0</v>
      </c>
      <c r="AQ72" s="446"/>
      <c r="AR72" s="446"/>
      <c r="AS72" s="447"/>
      <c r="AT72" s="446"/>
      <c r="AU72" s="446">
        <f>SUM(AU73:AU75)</f>
        <v>0</v>
      </c>
      <c r="AV72" s="446"/>
      <c r="AW72" s="446"/>
      <c r="AX72" s="447"/>
      <c r="AY72" s="446"/>
      <c r="AZ72" s="446">
        <f>SUM(AZ73:AZ75)</f>
        <v>0</v>
      </c>
      <c r="BA72" s="446"/>
      <c r="BB72" s="446"/>
      <c r="BC72" s="447"/>
      <c r="BD72" s="446"/>
      <c r="BE72" s="446">
        <f>SUM(BE73:BE75)</f>
        <v>0</v>
      </c>
      <c r="BF72" s="446"/>
      <c r="BG72" s="446"/>
      <c r="BH72" s="447"/>
      <c r="BI72" s="446"/>
      <c r="BJ72" s="446">
        <f>SUM(BJ73:BJ75)</f>
        <v>0</v>
      </c>
      <c r="BK72" s="446"/>
      <c r="BL72" s="446"/>
      <c r="BM72" s="447"/>
      <c r="BN72" s="446"/>
      <c r="BO72" s="446">
        <f>SUM(BO73:BO75)</f>
        <v>0</v>
      </c>
      <c r="BP72" s="446"/>
      <c r="BQ72" s="446"/>
      <c r="BR72" s="447"/>
      <c r="BS72" s="446"/>
      <c r="BT72" s="446">
        <f>SUM(BT73:BT75)</f>
        <v>0</v>
      </c>
      <c r="BU72" s="446"/>
      <c r="BV72" s="446"/>
      <c r="BW72" s="447"/>
      <c r="BX72" s="446"/>
      <c r="BY72" s="446">
        <f>SUM(BY73:BY75)</f>
        <v>0</v>
      </c>
      <c r="BZ72" s="446"/>
      <c r="CA72" s="446"/>
      <c r="CB72" s="447"/>
      <c r="CC72" s="446"/>
      <c r="CD72" s="446">
        <f>SUM(CD73:CD75)</f>
        <v>0</v>
      </c>
      <c r="CE72" s="446"/>
      <c r="CF72" s="446"/>
      <c r="CG72" s="447"/>
      <c r="CH72" s="446"/>
      <c r="CI72" s="446">
        <f>SUM(CI73:CI75)</f>
        <v>0</v>
      </c>
      <c r="CJ72" s="446"/>
      <c r="CK72" s="446"/>
      <c r="CL72" s="447"/>
      <c r="CM72" s="446"/>
      <c r="CN72" s="446">
        <f>SUM(CN73:CN75)</f>
        <v>0</v>
      </c>
      <c r="CO72" s="446"/>
      <c r="CP72" s="446"/>
      <c r="CQ72" s="447"/>
      <c r="CR72" s="446"/>
      <c r="CS72" s="446">
        <f>SUM(CS73:CS75)</f>
        <v>0</v>
      </c>
      <c r="CT72" s="446"/>
      <c r="CU72" s="446"/>
      <c r="CV72" s="447"/>
      <c r="CW72" s="446"/>
      <c r="CX72" s="446">
        <f>SUM(CX73:CX75)</f>
        <v>0</v>
      </c>
      <c r="CY72" s="446"/>
      <c r="CZ72" s="446"/>
      <c r="DA72" s="447"/>
      <c r="DB72" s="446"/>
      <c r="DC72" s="446">
        <f>SUM(DC73:DC75)</f>
        <v>0</v>
      </c>
      <c r="DD72" s="446"/>
      <c r="DE72" s="446"/>
      <c r="DF72" s="447"/>
      <c r="DG72" s="446"/>
      <c r="DH72" s="446">
        <f>SUM(DH73:DH75)</f>
        <v>0</v>
      </c>
      <c r="DI72" s="446"/>
      <c r="DJ72" s="446"/>
      <c r="DK72" s="447"/>
      <c r="DL72" s="446"/>
      <c r="DM72" s="446">
        <f>SUM(DM73:DM75)</f>
        <v>0</v>
      </c>
      <c r="DN72" s="446"/>
      <c r="DO72" s="446"/>
      <c r="DP72" s="447"/>
      <c r="DQ72" s="446"/>
      <c r="DR72" s="446">
        <f>SUM(DR73:DR75)</f>
        <v>0</v>
      </c>
      <c r="DS72" s="446"/>
      <c r="DT72" s="446"/>
      <c r="DU72" s="447"/>
      <c r="DV72" s="446"/>
      <c r="DW72" s="446">
        <f>SUM(DW73:DW75)</f>
        <v>0</v>
      </c>
      <c r="DX72" s="446"/>
      <c r="DY72" s="446"/>
      <c r="DZ72" s="447"/>
      <c r="EA72" s="446"/>
      <c r="EB72" s="446">
        <f>SUM(EB73:EB75)</f>
        <v>0</v>
      </c>
      <c r="EC72" s="446"/>
      <c r="ED72" s="446"/>
      <c r="EE72" s="447"/>
      <c r="EF72" s="446"/>
      <c r="EG72" s="446">
        <f>SUM(EG73:EG75)</f>
        <v>0</v>
      </c>
      <c r="EH72" s="446"/>
      <c r="EI72" s="446"/>
      <c r="EJ72" s="447"/>
      <c r="EK72" s="446"/>
      <c r="EL72" s="446">
        <f>SUM(EL73:EL75)</f>
        <v>0</v>
      </c>
      <c r="EM72" s="446"/>
      <c r="EN72" s="446"/>
      <c r="EO72" s="93"/>
      <c r="EQ72" s="1"/>
      <c r="ER72" s="1"/>
    </row>
    <row r="73" spans="4:148" ht="12.75" hidden="1" customHeight="1" x14ac:dyDescent="0.2">
      <c r="D73" s="13" t="s">
        <v>347</v>
      </c>
      <c r="E73" s="198"/>
      <c r="F73" s="374"/>
      <c r="G73" s="449">
        <v>0</v>
      </c>
      <c r="H73" s="450"/>
      <c r="I73" s="451"/>
      <c r="J73" s="452"/>
      <c r="K73" s="453"/>
      <c r="L73" s="449">
        <f>L78</f>
        <v>0</v>
      </c>
      <c r="M73" s="450"/>
      <c r="N73" s="451"/>
      <c r="O73" s="452"/>
      <c r="P73" s="453"/>
      <c r="Q73" s="449">
        <f>Q78</f>
        <v>0</v>
      </c>
      <c r="R73" s="450"/>
      <c r="S73" s="451"/>
      <c r="T73" s="452"/>
      <c r="U73" s="453"/>
      <c r="V73" s="449">
        <f>V78</f>
        <v>0</v>
      </c>
      <c r="W73" s="450"/>
      <c r="X73" s="451"/>
      <c r="Y73" s="452"/>
      <c r="Z73" s="453"/>
      <c r="AA73" s="449">
        <f>AA78</f>
        <v>0</v>
      </c>
      <c r="AB73" s="450"/>
      <c r="AC73" s="451"/>
      <c r="AD73" s="452"/>
      <c r="AE73" s="453"/>
      <c r="AF73" s="449">
        <f>AF78</f>
        <v>0</v>
      </c>
      <c r="AG73" s="450"/>
      <c r="AH73" s="451"/>
      <c r="AI73" s="452"/>
      <c r="AJ73" s="453"/>
      <c r="AK73" s="449">
        <f>AK78</f>
        <v>0</v>
      </c>
      <c r="AL73" s="450"/>
      <c r="AM73" s="451"/>
      <c r="AN73" s="452"/>
      <c r="AO73" s="453"/>
      <c r="AP73" s="449">
        <f>AP78</f>
        <v>0</v>
      </c>
      <c r="AQ73" s="450"/>
      <c r="AR73" s="451"/>
      <c r="AS73" s="452"/>
      <c r="AT73" s="453"/>
      <c r="AU73" s="449">
        <f>AU78</f>
        <v>0</v>
      </c>
      <c r="AV73" s="450"/>
      <c r="AW73" s="451"/>
      <c r="AX73" s="452"/>
      <c r="AY73" s="453"/>
      <c r="AZ73" s="449">
        <f>AZ78</f>
        <v>0</v>
      </c>
      <c r="BA73" s="450"/>
      <c r="BB73" s="451"/>
      <c r="BC73" s="452"/>
      <c r="BD73" s="453"/>
      <c r="BE73" s="449">
        <f>BE78</f>
        <v>0</v>
      </c>
      <c r="BF73" s="450"/>
      <c r="BG73" s="451"/>
      <c r="BH73" s="452"/>
      <c r="BI73" s="453"/>
      <c r="BJ73" s="449">
        <f>BJ78</f>
        <v>0</v>
      </c>
      <c r="BK73" s="450"/>
      <c r="BL73" s="451"/>
      <c r="BM73" s="452"/>
      <c r="BN73" s="453"/>
      <c r="BO73" s="449">
        <f>BO78</f>
        <v>0</v>
      </c>
      <c r="BP73" s="450"/>
      <c r="BQ73" s="451"/>
      <c r="BR73" s="452"/>
      <c r="BS73" s="453"/>
      <c r="BT73" s="449">
        <f>BT78</f>
        <v>0</v>
      </c>
      <c r="BU73" s="450"/>
      <c r="BV73" s="451"/>
      <c r="BW73" s="452"/>
      <c r="BX73" s="453"/>
      <c r="BY73" s="449">
        <f>BY78</f>
        <v>0</v>
      </c>
      <c r="BZ73" s="450"/>
      <c r="CA73" s="451"/>
      <c r="CB73" s="452"/>
      <c r="CC73" s="453"/>
      <c r="CD73" s="449">
        <f>CD78</f>
        <v>0</v>
      </c>
      <c r="CE73" s="450"/>
      <c r="CF73" s="451"/>
      <c r="CG73" s="452"/>
      <c r="CH73" s="453"/>
      <c r="CI73" s="449">
        <f>CI78</f>
        <v>0</v>
      </c>
      <c r="CJ73" s="450"/>
      <c r="CK73" s="451"/>
      <c r="CL73" s="452"/>
      <c r="CM73" s="453"/>
      <c r="CN73" s="449">
        <f>CN78</f>
        <v>0</v>
      </c>
      <c r="CO73" s="450"/>
      <c r="CP73" s="451"/>
      <c r="CQ73" s="452"/>
      <c r="CR73" s="453"/>
      <c r="CS73" s="449">
        <f>CS78</f>
        <v>0</v>
      </c>
      <c r="CT73" s="450"/>
      <c r="CU73" s="451"/>
      <c r="CV73" s="452"/>
      <c r="CW73" s="453"/>
      <c r="CX73" s="449">
        <f>CX78</f>
        <v>0</v>
      </c>
      <c r="CY73" s="450"/>
      <c r="CZ73" s="451"/>
      <c r="DA73" s="452"/>
      <c r="DB73" s="453"/>
      <c r="DC73" s="449">
        <f>DC78</f>
        <v>0</v>
      </c>
      <c r="DD73" s="450"/>
      <c r="DE73" s="451"/>
      <c r="DF73" s="452"/>
      <c r="DG73" s="453"/>
      <c r="DH73" s="449">
        <f>DH78</f>
        <v>0</v>
      </c>
      <c r="DI73" s="450"/>
      <c r="DJ73" s="451"/>
      <c r="DK73" s="452"/>
      <c r="DL73" s="453"/>
      <c r="DM73" s="449">
        <f>DM78</f>
        <v>0</v>
      </c>
      <c r="DN73" s="450"/>
      <c r="DO73" s="451"/>
      <c r="DP73" s="452"/>
      <c r="DQ73" s="453"/>
      <c r="DR73" s="449">
        <f>DR78</f>
        <v>0</v>
      </c>
      <c r="DS73" s="450"/>
      <c r="DT73" s="451"/>
      <c r="DU73" s="452"/>
      <c r="DV73" s="453"/>
      <c r="DW73" s="449">
        <f>DW78</f>
        <v>0</v>
      </c>
      <c r="DX73" s="450"/>
      <c r="DY73" s="451"/>
      <c r="DZ73" s="452"/>
      <c r="EA73" s="453"/>
      <c r="EB73" s="449">
        <f>EB78</f>
        <v>0</v>
      </c>
      <c r="EC73" s="450"/>
      <c r="ED73" s="451"/>
      <c r="EE73" s="452"/>
      <c r="EF73" s="453"/>
      <c r="EG73" s="449">
        <f>EG78</f>
        <v>0</v>
      </c>
      <c r="EH73" s="450"/>
      <c r="EI73" s="451"/>
      <c r="EJ73" s="452"/>
      <c r="EK73" s="453"/>
      <c r="EL73" s="449">
        <f>EL78</f>
        <v>0</v>
      </c>
      <c r="EM73" s="450"/>
      <c r="EN73" s="451"/>
      <c r="EO73" s="13"/>
    </row>
    <row r="74" spans="4:148" ht="12.75" hidden="1" customHeight="1" x14ac:dyDescent="0.2">
      <c r="D74" s="13" t="s">
        <v>349</v>
      </c>
      <c r="E74" s="198"/>
      <c r="F74" s="198"/>
      <c r="G74" s="451">
        <v>0</v>
      </c>
      <c r="H74" s="455"/>
      <c r="I74" s="451"/>
      <c r="J74" s="452"/>
      <c r="K74" s="452"/>
      <c r="L74" s="451">
        <f>L79</f>
        <v>0</v>
      </c>
      <c r="M74" s="455"/>
      <c r="N74" s="451"/>
      <c r="O74" s="452"/>
      <c r="P74" s="452"/>
      <c r="Q74" s="451">
        <f>Q79</f>
        <v>0</v>
      </c>
      <c r="R74" s="455"/>
      <c r="S74" s="451"/>
      <c r="T74" s="452"/>
      <c r="U74" s="452"/>
      <c r="V74" s="451">
        <f>V79</f>
        <v>0</v>
      </c>
      <c r="W74" s="455"/>
      <c r="X74" s="451"/>
      <c r="Y74" s="452"/>
      <c r="Z74" s="452"/>
      <c r="AA74" s="451">
        <f>AA79</f>
        <v>0</v>
      </c>
      <c r="AB74" s="455"/>
      <c r="AC74" s="451"/>
      <c r="AD74" s="452"/>
      <c r="AE74" s="452"/>
      <c r="AF74" s="451">
        <f>AF79</f>
        <v>0</v>
      </c>
      <c r="AG74" s="455"/>
      <c r="AH74" s="451"/>
      <c r="AI74" s="452"/>
      <c r="AJ74" s="452"/>
      <c r="AK74" s="451">
        <f>AK79</f>
        <v>0</v>
      </c>
      <c r="AL74" s="455"/>
      <c r="AM74" s="451"/>
      <c r="AN74" s="452"/>
      <c r="AO74" s="452"/>
      <c r="AP74" s="451">
        <f>AP79</f>
        <v>0</v>
      </c>
      <c r="AQ74" s="455"/>
      <c r="AR74" s="451"/>
      <c r="AS74" s="452"/>
      <c r="AT74" s="452"/>
      <c r="AU74" s="451">
        <f>AU79</f>
        <v>0</v>
      </c>
      <c r="AV74" s="455"/>
      <c r="AW74" s="451"/>
      <c r="AX74" s="452"/>
      <c r="AY74" s="452"/>
      <c r="AZ74" s="451">
        <f>AZ79</f>
        <v>0</v>
      </c>
      <c r="BA74" s="455"/>
      <c r="BB74" s="451"/>
      <c r="BC74" s="452"/>
      <c r="BD74" s="452"/>
      <c r="BE74" s="451">
        <f>BE79</f>
        <v>0</v>
      </c>
      <c r="BF74" s="455"/>
      <c r="BG74" s="451"/>
      <c r="BH74" s="452"/>
      <c r="BI74" s="452"/>
      <c r="BJ74" s="451">
        <f>BJ79</f>
        <v>0</v>
      </c>
      <c r="BK74" s="455"/>
      <c r="BL74" s="451"/>
      <c r="BM74" s="452"/>
      <c r="BN74" s="452"/>
      <c r="BO74" s="451">
        <f>BO79</f>
        <v>0</v>
      </c>
      <c r="BP74" s="455"/>
      <c r="BQ74" s="451"/>
      <c r="BR74" s="452"/>
      <c r="BS74" s="452"/>
      <c r="BT74" s="451">
        <f>BT79</f>
        <v>0</v>
      </c>
      <c r="BU74" s="455"/>
      <c r="BV74" s="451"/>
      <c r="BW74" s="452"/>
      <c r="BX74" s="452"/>
      <c r="BY74" s="451">
        <f>BY79</f>
        <v>0</v>
      </c>
      <c r="BZ74" s="455"/>
      <c r="CA74" s="451"/>
      <c r="CB74" s="452"/>
      <c r="CC74" s="452"/>
      <c r="CD74" s="451">
        <f>CD79</f>
        <v>0</v>
      </c>
      <c r="CE74" s="455"/>
      <c r="CF74" s="451"/>
      <c r="CG74" s="452"/>
      <c r="CH74" s="452"/>
      <c r="CI74" s="451">
        <f>CI79</f>
        <v>0</v>
      </c>
      <c r="CJ74" s="455"/>
      <c r="CK74" s="451"/>
      <c r="CL74" s="452"/>
      <c r="CM74" s="452"/>
      <c r="CN74" s="451">
        <f>CN79</f>
        <v>0</v>
      </c>
      <c r="CO74" s="455"/>
      <c r="CP74" s="451"/>
      <c r="CQ74" s="452"/>
      <c r="CR74" s="452"/>
      <c r="CS74" s="451">
        <f>CS79</f>
        <v>0</v>
      </c>
      <c r="CT74" s="455"/>
      <c r="CU74" s="451"/>
      <c r="CV74" s="452"/>
      <c r="CW74" s="452"/>
      <c r="CX74" s="451">
        <f>CX79</f>
        <v>0</v>
      </c>
      <c r="CY74" s="455"/>
      <c r="CZ74" s="451"/>
      <c r="DA74" s="452"/>
      <c r="DB74" s="452"/>
      <c r="DC74" s="451">
        <f>DC79</f>
        <v>0</v>
      </c>
      <c r="DD74" s="455"/>
      <c r="DE74" s="451"/>
      <c r="DF74" s="452"/>
      <c r="DG74" s="452"/>
      <c r="DH74" s="451">
        <f>DH79</f>
        <v>0</v>
      </c>
      <c r="DI74" s="455"/>
      <c r="DJ74" s="451"/>
      <c r="DK74" s="452"/>
      <c r="DL74" s="452"/>
      <c r="DM74" s="451">
        <f>DM79</f>
        <v>0</v>
      </c>
      <c r="DN74" s="455"/>
      <c r="DO74" s="451"/>
      <c r="DP74" s="452"/>
      <c r="DQ74" s="452"/>
      <c r="DR74" s="451">
        <f>DR79</f>
        <v>0</v>
      </c>
      <c r="DS74" s="455"/>
      <c r="DT74" s="451"/>
      <c r="DU74" s="452"/>
      <c r="DV74" s="452"/>
      <c r="DW74" s="451">
        <f>DW79</f>
        <v>0</v>
      </c>
      <c r="DX74" s="455"/>
      <c r="DY74" s="451"/>
      <c r="DZ74" s="452"/>
      <c r="EA74" s="452"/>
      <c r="EB74" s="451">
        <f>EB79</f>
        <v>0</v>
      </c>
      <c r="EC74" s="455"/>
      <c r="ED74" s="451"/>
      <c r="EE74" s="452"/>
      <c r="EF74" s="452"/>
      <c r="EG74" s="451">
        <f>EG79</f>
        <v>0</v>
      </c>
      <c r="EH74" s="455"/>
      <c r="EI74" s="451"/>
      <c r="EJ74" s="452"/>
      <c r="EK74" s="452"/>
      <c r="EL74" s="451">
        <f>EL79</f>
        <v>0</v>
      </c>
      <c r="EM74" s="455"/>
      <c r="EN74" s="451"/>
      <c r="EO74" s="13"/>
    </row>
    <row r="75" spans="4:148" ht="12.75" hidden="1" customHeight="1" x14ac:dyDescent="0.2">
      <c r="D75" s="13" t="s">
        <v>357</v>
      </c>
      <c r="E75" s="198"/>
      <c r="F75" s="385"/>
      <c r="G75" s="463">
        <v>0</v>
      </c>
      <c r="H75" s="464"/>
      <c r="I75" s="451"/>
      <c r="J75" s="452"/>
      <c r="K75" s="465"/>
      <c r="L75" s="463">
        <f>L80</f>
        <v>0</v>
      </c>
      <c r="M75" s="464"/>
      <c r="N75" s="451"/>
      <c r="O75" s="452"/>
      <c r="P75" s="465"/>
      <c r="Q75" s="463">
        <f>Q80</f>
        <v>0</v>
      </c>
      <c r="R75" s="464"/>
      <c r="S75" s="451"/>
      <c r="T75" s="452"/>
      <c r="U75" s="465"/>
      <c r="V75" s="463">
        <f>V80</f>
        <v>0</v>
      </c>
      <c r="W75" s="464"/>
      <c r="X75" s="451"/>
      <c r="Y75" s="452"/>
      <c r="Z75" s="465"/>
      <c r="AA75" s="463">
        <f>AA80</f>
        <v>0</v>
      </c>
      <c r="AB75" s="464"/>
      <c r="AC75" s="451"/>
      <c r="AD75" s="452"/>
      <c r="AE75" s="465"/>
      <c r="AF75" s="463">
        <f>AF80</f>
        <v>0</v>
      </c>
      <c r="AG75" s="464"/>
      <c r="AH75" s="451"/>
      <c r="AI75" s="452"/>
      <c r="AJ75" s="465"/>
      <c r="AK75" s="463">
        <f>AK80</f>
        <v>0</v>
      </c>
      <c r="AL75" s="464"/>
      <c r="AM75" s="451"/>
      <c r="AN75" s="452"/>
      <c r="AO75" s="465"/>
      <c r="AP75" s="463">
        <f>AP80</f>
        <v>0</v>
      </c>
      <c r="AQ75" s="464"/>
      <c r="AR75" s="451"/>
      <c r="AS75" s="452"/>
      <c r="AT75" s="465"/>
      <c r="AU75" s="463">
        <f>AU80</f>
        <v>0</v>
      </c>
      <c r="AV75" s="464"/>
      <c r="AW75" s="451"/>
      <c r="AX75" s="452"/>
      <c r="AY75" s="465"/>
      <c r="AZ75" s="463">
        <f>AZ80</f>
        <v>0</v>
      </c>
      <c r="BA75" s="464"/>
      <c r="BB75" s="451"/>
      <c r="BC75" s="452"/>
      <c r="BD75" s="465"/>
      <c r="BE75" s="463">
        <f>BE80</f>
        <v>0</v>
      </c>
      <c r="BF75" s="464"/>
      <c r="BG75" s="451"/>
      <c r="BH75" s="452"/>
      <c r="BI75" s="465"/>
      <c r="BJ75" s="463">
        <f>BJ80</f>
        <v>0</v>
      </c>
      <c r="BK75" s="464"/>
      <c r="BL75" s="451"/>
      <c r="BM75" s="452"/>
      <c r="BN75" s="465"/>
      <c r="BO75" s="463">
        <f>BO80</f>
        <v>0</v>
      </c>
      <c r="BP75" s="464"/>
      <c r="BQ75" s="451"/>
      <c r="BR75" s="452"/>
      <c r="BS75" s="465"/>
      <c r="BT75" s="463">
        <f>BT80</f>
        <v>0</v>
      </c>
      <c r="BU75" s="464"/>
      <c r="BV75" s="451"/>
      <c r="BW75" s="452"/>
      <c r="BX75" s="465"/>
      <c r="BY75" s="463">
        <f>BY80</f>
        <v>0</v>
      </c>
      <c r="BZ75" s="464"/>
      <c r="CA75" s="451"/>
      <c r="CB75" s="452"/>
      <c r="CC75" s="465"/>
      <c r="CD75" s="463">
        <f>CD80</f>
        <v>0</v>
      </c>
      <c r="CE75" s="464"/>
      <c r="CF75" s="451"/>
      <c r="CG75" s="452"/>
      <c r="CH75" s="465"/>
      <c r="CI75" s="463">
        <f>CI80</f>
        <v>0</v>
      </c>
      <c r="CJ75" s="464"/>
      <c r="CK75" s="451"/>
      <c r="CL75" s="452"/>
      <c r="CM75" s="465"/>
      <c r="CN75" s="463">
        <f>CN80</f>
        <v>0</v>
      </c>
      <c r="CO75" s="464"/>
      <c r="CP75" s="451"/>
      <c r="CQ75" s="452"/>
      <c r="CR75" s="465"/>
      <c r="CS75" s="463">
        <f>CS80</f>
        <v>0</v>
      </c>
      <c r="CT75" s="464"/>
      <c r="CU75" s="451"/>
      <c r="CV75" s="452"/>
      <c r="CW75" s="465"/>
      <c r="CX75" s="463">
        <f>CX80</f>
        <v>0</v>
      </c>
      <c r="CY75" s="464"/>
      <c r="CZ75" s="451"/>
      <c r="DA75" s="452"/>
      <c r="DB75" s="465"/>
      <c r="DC75" s="463">
        <f>DC80</f>
        <v>0</v>
      </c>
      <c r="DD75" s="464"/>
      <c r="DE75" s="451"/>
      <c r="DF75" s="452"/>
      <c r="DG75" s="465"/>
      <c r="DH75" s="463">
        <f>DH80</f>
        <v>0</v>
      </c>
      <c r="DI75" s="464"/>
      <c r="DJ75" s="451"/>
      <c r="DK75" s="452"/>
      <c r="DL75" s="465"/>
      <c r="DM75" s="463">
        <f>DM80</f>
        <v>0</v>
      </c>
      <c r="DN75" s="464"/>
      <c r="DO75" s="451"/>
      <c r="DP75" s="452"/>
      <c r="DQ75" s="465"/>
      <c r="DR75" s="463">
        <f>DR80</f>
        <v>0</v>
      </c>
      <c r="DS75" s="464"/>
      <c r="DT75" s="451"/>
      <c r="DU75" s="452"/>
      <c r="DV75" s="465"/>
      <c r="DW75" s="463">
        <f>DW80</f>
        <v>0</v>
      </c>
      <c r="DX75" s="464"/>
      <c r="DY75" s="451"/>
      <c r="DZ75" s="452"/>
      <c r="EA75" s="465"/>
      <c r="EB75" s="463">
        <f>EB80</f>
        <v>0</v>
      </c>
      <c r="EC75" s="464"/>
      <c r="ED75" s="451"/>
      <c r="EE75" s="452"/>
      <c r="EF75" s="465"/>
      <c r="EG75" s="463">
        <f>EG80</f>
        <v>0</v>
      </c>
      <c r="EH75" s="464"/>
      <c r="EI75" s="451"/>
      <c r="EJ75" s="452"/>
      <c r="EK75" s="465"/>
      <c r="EL75" s="463">
        <f>EL80</f>
        <v>0</v>
      </c>
      <c r="EM75" s="464"/>
      <c r="EN75" s="451"/>
      <c r="EO75" s="13"/>
    </row>
    <row r="76" spans="4:148" ht="12.75" hidden="1" customHeight="1" x14ac:dyDescent="0.2">
      <c r="D76" s="13"/>
      <c r="E76" s="198"/>
      <c r="G76" s="451"/>
      <c r="H76" s="451"/>
      <c r="I76" s="451"/>
      <c r="J76" s="452"/>
      <c r="K76" s="451"/>
      <c r="L76" s="451"/>
      <c r="M76" s="451"/>
      <c r="N76" s="451"/>
      <c r="O76" s="452"/>
      <c r="P76" s="451"/>
      <c r="Q76" s="451"/>
      <c r="R76" s="451"/>
      <c r="S76" s="451"/>
      <c r="T76" s="452"/>
      <c r="U76" s="451"/>
      <c r="V76" s="451"/>
      <c r="W76" s="451"/>
      <c r="X76" s="451"/>
      <c r="Y76" s="452"/>
      <c r="Z76" s="451"/>
      <c r="AA76" s="451"/>
      <c r="AB76" s="451"/>
      <c r="AC76" s="451"/>
      <c r="AD76" s="452"/>
      <c r="AE76" s="451"/>
      <c r="AF76" s="451"/>
      <c r="AG76" s="451"/>
      <c r="AH76" s="451"/>
      <c r="AI76" s="452"/>
      <c r="AJ76" s="451"/>
      <c r="AK76" s="451"/>
      <c r="AL76" s="451"/>
      <c r="AM76" s="451"/>
      <c r="AN76" s="452"/>
      <c r="AO76" s="451"/>
      <c r="AP76" s="451"/>
      <c r="AQ76" s="451"/>
      <c r="AR76" s="451"/>
      <c r="AS76" s="452"/>
      <c r="AT76" s="451"/>
      <c r="AU76" s="451"/>
      <c r="AV76" s="451"/>
      <c r="AW76" s="451"/>
      <c r="AX76" s="452"/>
      <c r="AY76" s="451"/>
      <c r="AZ76" s="451"/>
      <c r="BA76" s="451"/>
      <c r="BB76" s="451"/>
      <c r="BC76" s="452"/>
      <c r="BD76" s="451"/>
      <c r="BE76" s="451"/>
      <c r="BF76" s="451"/>
      <c r="BG76" s="451"/>
      <c r="BH76" s="452"/>
      <c r="BI76" s="451"/>
      <c r="BJ76" s="451"/>
      <c r="BK76" s="451"/>
      <c r="BL76" s="451"/>
      <c r="BM76" s="452"/>
      <c r="BN76" s="451"/>
      <c r="BO76" s="451"/>
      <c r="BP76" s="451"/>
      <c r="BQ76" s="451"/>
      <c r="BR76" s="452"/>
      <c r="BS76" s="451"/>
      <c r="BT76" s="451"/>
      <c r="BU76" s="451"/>
      <c r="BV76" s="451"/>
      <c r="BW76" s="452"/>
      <c r="BX76" s="451"/>
      <c r="BY76" s="451"/>
      <c r="BZ76" s="451"/>
      <c r="CA76" s="451"/>
      <c r="CB76" s="452"/>
      <c r="CC76" s="451"/>
      <c r="CD76" s="451"/>
      <c r="CE76" s="451"/>
      <c r="CF76" s="451"/>
      <c r="CG76" s="452"/>
      <c r="CH76" s="451"/>
      <c r="CI76" s="451"/>
      <c r="CJ76" s="451"/>
      <c r="CK76" s="451"/>
      <c r="CL76" s="452"/>
      <c r="CM76" s="451"/>
      <c r="CN76" s="451"/>
      <c r="CO76" s="451"/>
      <c r="CP76" s="451"/>
      <c r="CQ76" s="452"/>
      <c r="CR76" s="451"/>
      <c r="CS76" s="451"/>
      <c r="CT76" s="451"/>
      <c r="CU76" s="451"/>
      <c r="CV76" s="452"/>
      <c r="CW76" s="451"/>
      <c r="CX76" s="451"/>
      <c r="CY76" s="451"/>
      <c r="CZ76" s="451"/>
      <c r="DA76" s="452"/>
      <c r="DB76" s="451"/>
      <c r="DC76" s="451"/>
      <c r="DD76" s="451"/>
      <c r="DE76" s="451"/>
      <c r="DF76" s="452"/>
      <c r="DG76" s="451"/>
      <c r="DH76" s="451"/>
      <c r="DI76" s="451"/>
      <c r="DJ76" s="451"/>
      <c r="DK76" s="452"/>
      <c r="DL76" s="451"/>
      <c r="DM76" s="451"/>
      <c r="DN76" s="451"/>
      <c r="DO76" s="451"/>
      <c r="DP76" s="452"/>
      <c r="DQ76" s="451"/>
      <c r="DR76" s="451"/>
      <c r="DS76" s="451"/>
      <c r="DT76" s="451"/>
      <c r="DU76" s="452"/>
      <c r="DV76" s="451"/>
      <c r="DW76" s="451"/>
      <c r="DX76" s="451"/>
      <c r="DY76" s="451"/>
      <c r="DZ76" s="452"/>
      <c r="EA76" s="451"/>
      <c r="EB76" s="451"/>
      <c r="EC76" s="451"/>
      <c r="ED76" s="451"/>
      <c r="EE76" s="452"/>
      <c r="EF76" s="451"/>
      <c r="EG76" s="451"/>
      <c r="EH76" s="451"/>
      <c r="EI76" s="451"/>
      <c r="EJ76" s="452"/>
      <c r="EK76" s="451"/>
      <c r="EL76" s="451"/>
      <c r="EM76" s="451"/>
      <c r="EN76" s="451"/>
      <c r="EO76" s="13"/>
    </row>
    <row r="77" spans="4:148" ht="12.75" hidden="1" customHeight="1" x14ac:dyDescent="0.2">
      <c r="D77" s="13" t="s">
        <v>461</v>
      </c>
      <c r="E77" s="198"/>
      <c r="G77" s="451">
        <v>0</v>
      </c>
      <c r="H77" s="451"/>
      <c r="I77" s="451"/>
      <c r="J77" s="452"/>
      <c r="K77" s="451"/>
      <c r="L77" s="451">
        <f>SUM(L78:L80)</f>
        <v>0</v>
      </c>
      <c r="M77" s="451"/>
      <c r="N77" s="451"/>
      <c r="O77" s="452"/>
      <c r="P77" s="451"/>
      <c r="Q77" s="451">
        <f>SUM(Q78:Q80)</f>
        <v>0</v>
      </c>
      <c r="R77" s="451"/>
      <c r="S77" s="451"/>
      <c r="T77" s="452"/>
      <c r="U77" s="451"/>
      <c r="V77" s="451">
        <f>SUM(V78:V80)</f>
        <v>0</v>
      </c>
      <c r="W77" s="451"/>
      <c r="X77" s="451"/>
      <c r="Y77" s="452"/>
      <c r="Z77" s="451"/>
      <c r="AA77" s="451">
        <f>SUM(AA78:AA80)</f>
        <v>0</v>
      </c>
      <c r="AB77" s="451"/>
      <c r="AC77" s="451"/>
      <c r="AD77" s="452"/>
      <c r="AE77" s="451"/>
      <c r="AF77" s="451">
        <f>SUM(AF78:AF80)</f>
        <v>0</v>
      </c>
      <c r="AG77" s="451"/>
      <c r="AH77" s="451"/>
      <c r="AI77" s="452"/>
      <c r="AJ77" s="451"/>
      <c r="AK77" s="451">
        <f>SUM(AK78:AK80)</f>
        <v>0</v>
      </c>
      <c r="AL77" s="451"/>
      <c r="AM77" s="451"/>
      <c r="AN77" s="452"/>
      <c r="AO77" s="451"/>
      <c r="AP77" s="451">
        <f>SUM(AP78:AP80)</f>
        <v>0</v>
      </c>
      <c r="AQ77" s="451"/>
      <c r="AR77" s="451"/>
      <c r="AS77" s="452"/>
      <c r="AT77" s="451"/>
      <c r="AU77" s="451">
        <f>SUM(AU78:AU80)</f>
        <v>0</v>
      </c>
      <c r="AV77" s="451"/>
      <c r="AW77" s="451"/>
      <c r="AX77" s="452"/>
      <c r="AY77" s="451"/>
      <c r="AZ77" s="451">
        <f>SUM(AZ78:AZ80)</f>
        <v>0</v>
      </c>
      <c r="BA77" s="451"/>
      <c r="BB77" s="451"/>
      <c r="BC77" s="452"/>
      <c r="BD77" s="451"/>
      <c r="BE77" s="451">
        <f>SUM(BE78:BE80)</f>
        <v>0</v>
      </c>
      <c r="BF77" s="451"/>
      <c r="BG77" s="451"/>
      <c r="BH77" s="452"/>
      <c r="BI77" s="451"/>
      <c r="BJ77" s="451">
        <f>SUM(BJ78:BJ80)</f>
        <v>0</v>
      </c>
      <c r="BK77" s="451"/>
      <c r="BL77" s="451"/>
      <c r="BM77" s="452"/>
      <c r="BN77" s="451"/>
      <c r="BO77" s="451">
        <f>SUM(BO78:BO80)</f>
        <v>0</v>
      </c>
      <c r="BP77" s="451"/>
      <c r="BQ77" s="451"/>
      <c r="BR77" s="452"/>
      <c r="BS77" s="451"/>
      <c r="BT77" s="451">
        <f>SUM(BT78:BT80)</f>
        <v>0</v>
      </c>
      <c r="BU77" s="451"/>
      <c r="BV77" s="451"/>
      <c r="BW77" s="452"/>
      <c r="BX77" s="451"/>
      <c r="BY77" s="451">
        <f>SUM(BY78:BY80)</f>
        <v>0</v>
      </c>
      <c r="BZ77" s="451"/>
      <c r="CA77" s="451"/>
      <c r="CB77" s="452"/>
      <c r="CC77" s="451"/>
      <c r="CD77" s="451">
        <f>SUM(CD78:CD80)</f>
        <v>0</v>
      </c>
      <c r="CE77" s="451"/>
      <c r="CF77" s="451"/>
      <c r="CG77" s="452"/>
      <c r="CH77" s="451"/>
      <c r="CI77" s="451">
        <f>SUM(CI78:CI80)</f>
        <v>0</v>
      </c>
      <c r="CJ77" s="451"/>
      <c r="CK77" s="451"/>
      <c r="CL77" s="452"/>
      <c r="CM77" s="451"/>
      <c r="CN77" s="451">
        <f>SUM(CN78:CN80)</f>
        <v>0</v>
      </c>
      <c r="CO77" s="451"/>
      <c r="CP77" s="451"/>
      <c r="CQ77" s="452"/>
      <c r="CR77" s="451"/>
      <c r="CS77" s="451">
        <f>SUM(CS78:CS80)</f>
        <v>0</v>
      </c>
      <c r="CT77" s="451"/>
      <c r="CU77" s="451"/>
      <c r="CV77" s="452"/>
      <c r="CW77" s="451"/>
      <c r="CX77" s="451">
        <f>SUM(CX78:CX80)</f>
        <v>0</v>
      </c>
      <c r="CY77" s="451"/>
      <c r="CZ77" s="451"/>
      <c r="DA77" s="452"/>
      <c r="DB77" s="451"/>
      <c r="DC77" s="451">
        <f>SUM(DC78:DC80)</f>
        <v>0</v>
      </c>
      <c r="DD77" s="451"/>
      <c r="DE77" s="451"/>
      <c r="DF77" s="452"/>
      <c r="DG77" s="451"/>
      <c r="DH77" s="451">
        <f>SUM(DH78:DH80)</f>
        <v>0</v>
      </c>
      <c r="DI77" s="451"/>
      <c r="DJ77" s="451"/>
      <c r="DK77" s="452"/>
      <c r="DL77" s="451"/>
      <c r="DM77" s="451">
        <f>SUM(DM78:DM80)</f>
        <v>0</v>
      </c>
      <c r="DN77" s="451"/>
      <c r="DO77" s="451"/>
      <c r="DP77" s="452"/>
      <c r="DQ77" s="451"/>
      <c r="DR77" s="451">
        <f>SUM(DR78:DR80)</f>
        <v>0</v>
      </c>
      <c r="DS77" s="451"/>
      <c r="DT77" s="451"/>
      <c r="DU77" s="452"/>
      <c r="DV77" s="451"/>
      <c r="DW77" s="451">
        <f>SUM(DW78:DW80)</f>
        <v>0</v>
      </c>
      <c r="DX77" s="451"/>
      <c r="DY77" s="451"/>
      <c r="DZ77" s="452"/>
      <c r="EA77" s="451"/>
      <c r="EB77" s="451">
        <f>SUM(EB78:EB80)</f>
        <v>0</v>
      </c>
      <c r="EC77" s="451"/>
      <c r="ED77" s="451"/>
      <c r="EE77" s="452"/>
      <c r="EF77" s="451"/>
      <c r="EG77" s="451">
        <f>SUM(EG78:EG80)</f>
        <v>0</v>
      </c>
      <c r="EH77" s="451"/>
      <c r="EI77" s="451"/>
      <c r="EJ77" s="452"/>
      <c r="EK77" s="451"/>
      <c r="EL77" s="451">
        <f>SUM(EL78:EL80)</f>
        <v>0</v>
      </c>
      <c r="EM77" s="451"/>
      <c r="EN77" s="451"/>
      <c r="EO77" s="13"/>
    </row>
    <row r="78" spans="4:148" ht="12.75" hidden="1" customHeight="1" x14ac:dyDescent="0.2">
      <c r="D78" s="13" t="s">
        <v>347</v>
      </c>
      <c r="E78" s="198"/>
      <c r="F78" s="374"/>
      <c r="G78" s="449">
        <v>0</v>
      </c>
      <c r="H78" s="450"/>
      <c r="I78" s="451"/>
      <c r="J78" s="452"/>
      <c r="K78" s="453"/>
      <c r="L78" s="449">
        <v>0</v>
      </c>
      <c r="M78" s="450"/>
      <c r="N78" s="451"/>
      <c r="O78" s="452"/>
      <c r="P78" s="453"/>
      <c r="Q78" s="449">
        <v>0</v>
      </c>
      <c r="R78" s="450"/>
      <c r="S78" s="451"/>
      <c r="T78" s="452"/>
      <c r="U78" s="453"/>
      <c r="V78" s="449">
        <v>0</v>
      </c>
      <c r="W78" s="450"/>
      <c r="X78" s="451"/>
      <c r="Y78" s="452"/>
      <c r="Z78" s="453"/>
      <c r="AA78" s="449">
        <v>0</v>
      </c>
      <c r="AB78" s="450"/>
      <c r="AC78" s="451"/>
      <c r="AD78" s="452"/>
      <c r="AE78" s="453"/>
      <c r="AF78" s="449">
        <v>0</v>
      </c>
      <c r="AG78" s="450"/>
      <c r="AH78" s="451"/>
      <c r="AI78" s="452"/>
      <c r="AJ78" s="453"/>
      <c r="AK78" s="449">
        <v>0</v>
      </c>
      <c r="AL78" s="450"/>
      <c r="AM78" s="451"/>
      <c r="AN78" s="452"/>
      <c r="AO78" s="453"/>
      <c r="AP78" s="449">
        <v>0</v>
      </c>
      <c r="AQ78" s="450"/>
      <c r="AR78" s="451"/>
      <c r="AS78" s="452"/>
      <c r="AT78" s="453"/>
      <c r="AU78" s="449">
        <v>0</v>
      </c>
      <c r="AV78" s="450"/>
      <c r="AW78" s="451"/>
      <c r="AX78" s="452"/>
      <c r="AY78" s="453"/>
      <c r="AZ78" s="449">
        <v>0</v>
      </c>
      <c r="BA78" s="450"/>
      <c r="BB78" s="451"/>
      <c r="BC78" s="452"/>
      <c r="BD78" s="453"/>
      <c r="BE78" s="449">
        <v>0</v>
      </c>
      <c r="BF78" s="450"/>
      <c r="BG78" s="451"/>
      <c r="BH78" s="452"/>
      <c r="BI78" s="453"/>
      <c r="BJ78" s="449">
        <v>0</v>
      </c>
      <c r="BK78" s="450"/>
      <c r="BL78" s="451"/>
      <c r="BM78" s="452"/>
      <c r="BN78" s="453"/>
      <c r="BO78" s="449">
        <v>0</v>
      </c>
      <c r="BP78" s="450"/>
      <c r="BQ78" s="451"/>
      <c r="BR78" s="452"/>
      <c r="BS78" s="453"/>
      <c r="BT78" s="449">
        <f>SUM(L78:BO78)</f>
        <v>0</v>
      </c>
      <c r="BU78" s="450"/>
      <c r="BV78" s="451"/>
      <c r="BW78" s="452"/>
      <c r="BX78" s="453"/>
      <c r="BY78" s="449">
        <f>SUM(Q78:BT78)</f>
        <v>0</v>
      </c>
      <c r="BZ78" s="450"/>
      <c r="CA78" s="451"/>
      <c r="CB78" s="452"/>
      <c r="CC78" s="453"/>
      <c r="CD78" s="449">
        <v>0</v>
      </c>
      <c r="CE78" s="450"/>
      <c r="CF78" s="451"/>
      <c r="CG78" s="452"/>
      <c r="CH78" s="453"/>
      <c r="CI78" s="449">
        <v>0</v>
      </c>
      <c r="CJ78" s="450"/>
      <c r="CK78" s="451"/>
      <c r="CL78" s="452"/>
      <c r="CM78" s="453"/>
      <c r="CN78" s="449">
        <v>0</v>
      </c>
      <c r="CO78" s="450"/>
      <c r="CP78" s="451"/>
      <c r="CQ78" s="452"/>
      <c r="CR78" s="453"/>
      <c r="CS78" s="449">
        <v>0</v>
      </c>
      <c r="CT78" s="450"/>
      <c r="CU78" s="451"/>
      <c r="CV78" s="452"/>
      <c r="CW78" s="453"/>
      <c r="CX78" s="449">
        <v>0</v>
      </c>
      <c r="CY78" s="450"/>
      <c r="CZ78" s="451"/>
      <c r="DA78" s="452"/>
      <c r="DB78" s="453"/>
      <c r="DC78" s="449">
        <v>0</v>
      </c>
      <c r="DD78" s="450"/>
      <c r="DE78" s="451"/>
      <c r="DF78" s="452"/>
      <c r="DG78" s="453"/>
      <c r="DH78" s="449">
        <v>0</v>
      </c>
      <c r="DI78" s="450"/>
      <c r="DJ78" s="451"/>
      <c r="DK78" s="452"/>
      <c r="DL78" s="453"/>
      <c r="DM78" s="449">
        <v>0</v>
      </c>
      <c r="DN78" s="450"/>
      <c r="DO78" s="451"/>
      <c r="DP78" s="452"/>
      <c r="DQ78" s="453"/>
      <c r="DR78" s="449">
        <v>0</v>
      </c>
      <c r="DS78" s="450"/>
      <c r="DT78" s="451"/>
      <c r="DU78" s="452"/>
      <c r="DV78" s="453"/>
      <c r="DW78" s="449">
        <v>0</v>
      </c>
      <c r="DX78" s="450"/>
      <c r="DY78" s="451"/>
      <c r="DZ78" s="452"/>
      <c r="EA78" s="453"/>
      <c r="EB78" s="449">
        <v>0</v>
      </c>
      <c r="EC78" s="450"/>
      <c r="ED78" s="451"/>
      <c r="EE78" s="452"/>
      <c r="EF78" s="453"/>
      <c r="EG78" s="449">
        <v>0</v>
      </c>
      <c r="EH78" s="450"/>
      <c r="EI78" s="451"/>
      <c r="EJ78" s="452"/>
      <c r="EK78" s="453"/>
      <c r="EL78" s="449">
        <f>SUM(CD78:EG78)</f>
        <v>0</v>
      </c>
      <c r="EM78" s="450"/>
      <c r="EN78" s="451"/>
      <c r="EO78" s="13"/>
    </row>
    <row r="79" spans="4:148" ht="12.75" hidden="1" customHeight="1" x14ac:dyDescent="0.2">
      <c r="D79" s="13" t="s">
        <v>349</v>
      </c>
      <c r="E79" s="198"/>
      <c r="F79" s="198"/>
      <c r="G79" s="451">
        <v>0</v>
      </c>
      <c r="H79" s="455"/>
      <c r="I79" s="451"/>
      <c r="J79" s="452"/>
      <c r="K79" s="452"/>
      <c r="L79" s="451">
        <v>0</v>
      </c>
      <c r="M79" s="455"/>
      <c r="N79" s="451"/>
      <c r="O79" s="452"/>
      <c r="P79" s="452"/>
      <c r="Q79" s="451">
        <v>0</v>
      </c>
      <c r="R79" s="455"/>
      <c r="S79" s="451"/>
      <c r="T79" s="452"/>
      <c r="U79" s="452"/>
      <c r="V79" s="451">
        <v>0</v>
      </c>
      <c r="W79" s="455"/>
      <c r="X79" s="451"/>
      <c r="Y79" s="452"/>
      <c r="Z79" s="452"/>
      <c r="AA79" s="451">
        <v>0</v>
      </c>
      <c r="AB79" s="455"/>
      <c r="AC79" s="451"/>
      <c r="AD79" s="452"/>
      <c r="AE79" s="452"/>
      <c r="AF79" s="451">
        <v>0</v>
      </c>
      <c r="AG79" s="455"/>
      <c r="AH79" s="451"/>
      <c r="AI79" s="452"/>
      <c r="AJ79" s="452"/>
      <c r="AK79" s="451">
        <v>0</v>
      </c>
      <c r="AL79" s="455"/>
      <c r="AM79" s="451"/>
      <c r="AN79" s="452"/>
      <c r="AO79" s="452"/>
      <c r="AP79" s="451">
        <v>0</v>
      </c>
      <c r="AQ79" s="455"/>
      <c r="AR79" s="451"/>
      <c r="AS79" s="452"/>
      <c r="AT79" s="452"/>
      <c r="AU79" s="451">
        <v>0</v>
      </c>
      <c r="AV79" s="455"/>
      <c r="AW79" s="451"/>
      <c r="AX79" s="452"/>
      <c r="AY79" s="452"/>
      <c r="AZ79" s="451">
        <v>0</v>
      </c>
      <c r="BA79" s="455"/>
      <c r="BB79" s="451"/>
      <c r="BC79" s="452"/>
      <c r="BD79" s="452"/>
      <c r="BE79" s="451">
        <v>0</v>
      </c>
      <c r="BF79" s="455"/>
      <c r="BG79" s="451"/>
      <c r="BH79" s="452"/>
      <c r="BI79" s="452"/>
      <c r="BJ79" s="451">
        <v>0</v>
      </c>
      <c r="BK79" s="455"/>
      <c r="BL79" s="451"/>
      <c r="BM79" s="452"/>
      <c r="BN79" s="452"/>
      <c r="BO79" s="451">
        <v>0</v>
      </c>
      <c r="BP79" s="455"/>
      <c r="BQ79" s="451"/>
      <c r="BR79" s="452"/>
      <c r="BS79" s="452"/>
      <c r="BT79" s="451">
        <f>SUM(L79:BO79)</f>
        <v>0</v>
      </c>
      <c r="BU79" s="455"/>
      <c r="BV79" s="451"/>
      <c r="BW79" s="452"/>
      <c r="BX79" s="452"/>
      <c r="BY79" s="451">
        <f>SUM(Q79:BT79)</f>
        <v>0</v>
      </c>
      <c r="BZ79" s="455"/>
      <c r="CA79" s="451"/>
      <c r="CB79" s="452"/>
      <c r="CC79" s="452"/>
      <c r="CD79" s="451">
        <v>0</v>
      </c>
      <c r="CE79" s="455"/>
      <c r="CF79" s="451"/>
      <c r="CG79" s="452"/>
      <c r="CH79" s="452"/>
      <c r="CI79" s="451">
        <v>0</v>
      </c>
      <c r="CJ79" s="455"/>
      <c r="CK79" s="451"/>
      <c r="CL79" s="452"/>
      <c r="CM79" s="452"/>
      <c r="CN79" s="451">
        <v>0</v>
      </c>
      <c r="CO79" s="455"/>
      <c r="CP79" s="451"/>
      <c r="CQ79" s="452"/>
      <c r="CR79" s="452"/>
      <c r="CS79" s="451">
        <v>0</v>
      </c>
      <c r="CT79" s="455"/>
      <c r="CU79" s="451"/>
      <c r="CV79" s="452"/>
      <c r="CW79" s="452"/>
      <c r="CX79" s="451">
        <v>0</v>
      </c>
      <c r="CY79" s="455"/>
      <c r="CZ79" s="451"/>
      <c r="DA79" s="452"/>
      <c r="DB79" s="452"/>
      <c r="DC79" s="451">
        <v>0</v>
      </c>
      <c r="DD79" s="455"/>
      <c r="DE79" s="451"/>
      <c r="DF79" s="452"/>
      <c r="DG79" s="452"/>
      <c r="DH79" s="451">
        <v>0</v>
      </c>
      <c r="DI79" s="455"/>
      <c r="DJ79" s="451"/>
      <c r="DK79" s="452"/>
      <c r="DL79" s="452"/>
      <c r="DM79" s="451">
        <v>0</v>
      </c>
      <c r="DN79" s="455"/>
      <c r="DO79" s="451"/>
      <c r="DP79" s="452"/>
      <c r="DQ79" s="452"/>
      <c r="DR79" s="451">
        <v>0</v>
      </c>
      <c r="DS79" s="455"/>
      <c r="DT79" s="451"/>
      <c r="DU79" s="452"/>
      <c r="DV79" s="452"/>
      <c r="DW79" s="451">
        <v>0</v>
      </c>
      <c r="DX79" s="455"/>
      <c r="DY79" s="451"/>
      <c r="DZ79" s="452"/>
      <c r="EA79" s="452"/>
      <c r="EB79" s="451">
        <v>0</v>
      </c>
      <c r="EC79" s="455"/>
      <c r="ED79" s="451"/>
      <c r="EE79" s="452"/>
      <c r="EF79" s="452"/>
      <c r="EG79" s="451">
        <v>0</v>
      </c>
      <c r="EH79" s="455"/>
      <c r="EI79" s="451"/>
      <c r="EJ79" s="452"/>
      <c r="EK79" s="452"/>
      <c r="EL79" s="451">
        <f>SUM(CD79:EG79)</f>
        <v>0</v>
      </c>
      <c r="EM79" s="455"/>
      <c r="EN79" s="451"/>
      <c r="EO79" s="13"/>
    </row>
    <row r="80" spans="4:148" ht="12.75" hidden="1" customHeight="1" x14ac:dyDescent="0.2">
      <c r="D80" s="13" t="s">
        <v>357</v>
      </c>
      <c r="E80" s="198"/>
      <c r="F80" s="385"/>
      <c r="G80" s="463">
        <v>0</v>
      </c>
      <c r="H80" s="464"/>
      <c r="I80" s="451"/>
      <c r="J80" s="452"/>
      <c r="K80" s="465"/>
      <c r="L80" s="463">
        <v>0</v>
      </c>
      <c r="M80" s="464"/>
      <c r="N80" s="451"/>
      <c r="O80" s="452"/>
      <c r="P80" s="465"/>
      <c r="Q80" s="463">
        <v>0</v>
      </c>
      <c r="R80" s="464"/>
      <c r="S80" s="451"/>
      <c r="T80" s="452"/>
      <c r="U80" s="465"/>
      <c r="V80" s="463">
        <v>0</v>
      </c>
      <c r="W80" s="464"/>
      <c r="X80" s="451"/>
      <c r="Y80" s="452"/>
      <c r="Z80" s="465"/>
      <c r="AA80" s="463">
        <v>0</v>
      </c>
      <c r="AB80" s="464"/>
      <c r="AC80" s="451"/>
      <c r="AD80" s="452"/>
      <c r="AE80" s="465"/>
      <c r="AF80" s="463">
        <v>0</v>
      </c>
      <c r="AG80" s="464"/>
      <c r="AH80" s="451"/>
      <c r="AI80" s="452"/>
      <c r="AJ80" s="465"/>
      <c r="AK80" s="463">
        <v>0</v>
      </c>
      <c r="AL80" s="464"/>
      <c r="AM80" s="451"/>
      <c r="AN80" s="452"/>
      <c r="AO80" s="465"/>
      <c r="AP80" s="463">
        <v>0</v>
      </c>
      <c r="AQ80" s="464"/>
      <c r="AR80" s="451"/>
      <c r="AS80" s="452"/>
      <c r="AT80" s="465"/>
      <c r="AU80" s="463">
        <v>0</v>
      </c>
      <c r="AV80" s="464"/>
      <c r="AW80" s="451"/>
      <c r="AX80" s="452"/>
      <c r="AY80" s="465"/>
      <c r="AZ80" s="463">
        <v>0</v>
      </c>
      <c r="BA80" s="464"/>
      <c r="BB80" s="451"/>
      <c r="BC80" s="452"/>
      <c r="BD80" s="465"/>
      <c r="BE80" s="463">
        <v>0</v>
      </c>
      <c r="BF80" s="464"/>
      <c r="BG80" s="451"/>
      <c r="BH80" s="452"/>
      <c r="BI80" s="465"/>
      <c r="BJ80" s="463">
        <v>0</v>
      </c>
      <c r="BK80" s="464"/>
      <c r="BL80" s="451"/>
      <c r="BM80" s="452"/>
      <c r="BN80" s="465"/>
      <c r="BO80" s="463">
        <v>0</v>
      </c>
      <c r="BP80" s="464"/>
      <c r="BQ80" s="451"/>
      <c r="BR80" s="452"/>
      <c r="BS80" s="465"/>
      <c r="BT80" s="463">
        <f>SUM(L80:BO80)</f>
        <v>0</v>
      </c>
      <c r="BU80" s="464"/>
      <c r="BV80" s="451"/>
      <c r="BW80" s="452"/>
      <c r="BX80" s="465"/>
      <c r="BY80" s="463">
        <f>SUM(Q80:BT80)</f>
        <v>0</v>
      </c>
      <c r="BZ80" s="464"/>
      <c r="CA80" s="451"/>
      <c r="CB80" s="452"/>
      <c r="CC80" s="465"/>
      <c r="CD80" s="463">
        <v>0</v>
      </c>
      <c r="CE80" s="464"/>
      <c r="CF80" s="451"/>
      <c r="CG80" s="452"/>
      <c r="CH80" s="465"/>
      <c r="CI80" s="463">
        <v>0</v>
      </c>
      <c r="CJ80" s="464"/>
      <c r="CK80" s="451"/>
      <c r="CL80" s="452"/>
      <c r="CM80" s="465"/>
      <c r="CN80" s="463">
        <v>0</v>
      </c>
      <c r="CO80" s="464"/>
      <c r="CP80" s="451"/>
      <c r="CQ80" s="452"/>
      <c r="CR80" s="465"/>
      <c r="CS80" s="463">
        <v>0</v>
      </c>
      <c r="CT80" s="464"/>
      <c r="CU80" s="451"/>
      <c r="CV80" s="452"/>
      <c r="CW80" s="465"/>
      <c r="CX80" s="463">
        <v>0</v>
      </c>
      <c r="CY80" s="464"/>
      <c r="CZ80" s="451"/>
      <c r="DA80" s="452"/>
      <c r="DB80" s="465"/>
      <c r="DC80" s="463">
        <v>0</v>
      </c>
      <c r="DD80" s="464"/>
      <c r="DE80" s="451"/>
      <c r="DF80" s="452"/>
      <c r="DG80" s="465"/>
      <c r="DH80" s="463">
        <v>0</v>
      </c>
      <c r="DI80" s="464"/>
      <c r="DJ80" s="451"/>
      <c r="DK80" s="452"/>
      <c r="DL80" s="465"/>
      <c r="DM80" s="463">
        <v>0</v>
      </c>
      <c r="DN80" s="464"/>
      <c r="DO80" s="451"/>
      <c r="DP80" s="452"/>
      <c r="DQ80" s="465"/>
      <c r="DR80" s="463">
        <v>0</v>
      </c>
      <c r="DS80" s="464"/>
      <c r="DT80" s="451"/>
      <c r="DU80" s="452"/>
      <c r="DV80" s="465"/>
      <c r="DW80" s="463">
        <v>0</v>
      </c>
      <c r="DX80" s="464"/>
      <c r="DY80" s="451"/>
      <c r="DZ80" s="452"/>
      <c r="EA80" s="465"/>
      <c r="EB80" s="463">
        <v>0</v>
      </c>
      <c r="EC80" s="464"/>
      <c r="ED80" s="451"/>
      <c r="EE80" s="452"/>
      <c r="EF80" s="465"/>
      <c r="EG80" s="463">
        <v>0</v>
      </c>
      <c r="EH80" s="464"/>
      <c r="EI80" s="451"/>
      <c r="EJ80" s="452"/>
      <c r="EK80" s="465"/>
      <c r="EL80" s="463">
        <f>SUM(CD80:EG80)</f>
        <v>0</v>
      </c>
      <c r="EM80" s="464"/>
      <c r="EN80" s="451"/>
      <c r="EO80" s="13"/>
    </row>
    <row r="81" spans="4:145" ht="12.75" hidden="1" customHeight="1" x14ac:dyDescent="0.2">
      <c r="D81" s="13"/>
      <c r="E81" s="198"/>
      <c r="G81" s="451"/>
      <c r="H81" s="451"/>
      <c r="I81" s="451"/>
      <c r="J81" s="452"/>
      <c r="K81" s="451"/>
      <c r="L81" s="451"/>
      <c r="M81" s="451"/>
      <c r="N81" s="451"/>
      <c r="O81" s="452"/>
      <c r="P81" s="451"/>
      <c r="Q81" s="451"/>
      <c r="R81" s="451"/>
      <c r="S81" s="451"/>
      <c r="T81" s="452"/>
      <c r="U81" s="451"/>
      <c r="V81" s="451"/>
      <c r="W81" s="451"/>
      <c r="X81" s="451"/>
      <c r="Y81" s="452"/>
      <c r="Z81" s="451"/>
      <c r="AA81" s="451"/>
      <c r="AB81" s="451"/>
      <c r="AC81" s="451"/>
      <c r="AD81" s="452"/>
      <c r="AE81" s="451"/>
      <c r="AF81" s="451"/>
      <c r="AG81" s="451"/>
      <c r="AH81" s="451"/>
      <c r="AI81" s="452"/>
      <c r="AJ81" s="451"/>
      <c r="AK81" s="451"/>
      <c r="AL81" s="451"/>
      <c r="AM81" s="451"/>
      <c r="AN81" s="452"/>
      <c r="AO81" s="451"/>
      <c r="AP81" s="451"/>
      <c r="AQ81" s="451"/>
      <c r="AR81" s="451"/>
      <c r="AS81" s="452"/>
      <c r="AT81" s="451"/>
      <c r="AU81" s="451"/>
      <c r="AV81" s="451"/>
      <c r="AW81" s="451"/>
      <c r="AX81" s="452"/>
      <c r="AY81" s="451"/>
      <c r="AZ81" s="451"/>
      <c r="BA81" s="451"/>
      <c r="BB81" s="451"/>
      <c r="BC81" s="452"/>
      <c r="BD81" s="451"/>
      <c r="BE81" s="451"/>
      <c r="BF81" s="451"/>
      <c r="BG81" s="451"/>
      <c r="BH81" s="452"/>
      <c r="BI81" s="451"/>
      <c r="BJ81" s="451"/>
      <c r="BK81" s="451"/>
      <c r="BL81" s="451"/>
      <c r="BM81" s="452"/>
      <c r="BN81" s="451"/>
      <c r="BO81" s="451"/>
      <c r="BP81" s="451"/>
      <c r="BQ81" s="451"/>
      <c r="BR81" s="452"/>
      <c r="BS81" s="451"/>
      <c r="BT81" s="451"/>
      <c r="BU81" s="451"/>
      <c r="BV81" s="451"/>
      <c r="BW81" s="452"/>
      <c r="BX81" s="451"/>
      <c r="BY81" s="451"/>
      <c r="BZ81" s="451"/>
      <c r="CA81" s="451"/>
      <c r="CB81" s="452"/>
      <c r="CC81" s="451"/>
      <c r="CD81" s="451"/>
      <c r="CE81" s="451"/>
      <c r="CF81" s="451"/>
      <c r="CG81" s="452"/>
      <c r="CH81" s="451"/>
      <c r="CI81" s="451"/>
      <c r="CJ81" s="451"/>
      <c r="CK81" s="451"/>
      <c r="CL81" s="452"/>
      <c r="CM81" s="451"/>
      <c r="CN81" s="451"/>
      <c r="CO81" s="451"/>
      <c r="CP81" s="451"/>
      <c r="CQ81" s="452"/>
      <c r="CR81" s="451"/>
      <c r="CS81" s="451"/>
      <c r="CT81" s="451"/>
      <c r="CU81" s="451"/>
      <c r="CV81" s="452"/>
      <c r="CW81" s="451"/>
      <c r="CX81" s="451"/>
      <c r="CY81" s="451"/>
      <c r="CZ81" s="451"/>
      <c r="DA81" s="452"/>
      <c r="DB81" s="451"/>
      <c r="DC81" s="451"/>
      <c r="DD81" s="451"/>
      <c r="DE81" s="451"/>
      <c r="DF81" s="452"/>
      <c r="DG81" s="451"/>
      <c r="DH81" s="451"/>
      <c r="DI81" s="451"/>
      <c r="DJ81" s="451"/>
      <c r="DK81" s="452"/>
      <c r="DL81" s="451"/>
      <c r="DM81" s="451"/>
      <c r="DN81" s="451"/>
      <c r="DO81" s="451"/>
      <c r="DP81" s="452"/>
      <c r="DQ81" s="451"/>
      <c r="DR81" s="451"/>
      <c r="DS81" s="451"/>
      <c r="DT81" s="451"/>
      <c r="DU81" s="452"/>
      <c r="DV81" s="451"/>
      <c r="DW81" s="451"/>
      <c r="DX81" s="451"/>
      <c r="DY81" s="451"/>
      <c r="DZ81" s="452"/>
      <c r="EA81" s="451"/>
      <c r="EB81" s="451"/>
      <c r="EC81" s="451"/>
      <c r="ED81" s="451"/>
      <c r="EE81" s="452"/>
      <c r="EF81" s="451"/>
      <c r="EG81" s="451"/>
      <c r="EH81" s="451"/>
      <c r="EI81" s="451"/>
      <c r="EJ81" s="452"/>
      <c r="EK81" s="451"/>
      <c r="EL81" s="451"/>
      <c r="EM81" s="451"/>
      <c r="EN81" s="451"/>
      <c r="EO81" s="13"/>
    </row>
    <row r="82" spans="4:145" ht="12.75" hidden="1" customHeight="1" x14ac:dyDescent="0.2">
      <c r="D82" s="13" t="s">
        <v>452</v>
      </c>
      <c r="E82" s="198"/>
      <c r="G82" s="451">
        <v>0</v>
      </c>
      <c r="H82" s="451"/>
      <c r="I82" s="451"/>
      <c r="J82" s="452"/>
      <c r="K82" s="451"/>
      <c r="L82" s="451">
        <f>SUM(L83:L85)</f>
        <v>0</v>
      </c>
      <c r="M82" s="451"/>
      <c r="N82" s="451"/>
      <c r="O82" s="452"/>
      <c r="P82" s="451"/>
      <c r="Q82" s="451">
        <f>SUM(Q83:Q85)</f>
        <v>0</v>
      </c>
      <c r="R82" s="451"/>
      <c r="S82" s="451"/>
      <c r="T82" s="452"/>
      <c r="U82" s="451"/>
      <c r="V82" s="451">
        <f>SUM(V83:V85)</f>
        <v>0</v>
      </c>
      <c r="W82" s="451"/>
      <c r="X82" s="451"/>
      <c r="Y82" s="452"/>
      <c r="Z82" s="451"/>
      <c r="AA82" s="451">
        <f>SUM(AA83:AA85)</f>
        <v>0</v>
      </c>
      <c r="AB82" s="451"/>
      <c r="AC82" s="451"/>
      <c r="AD82" s="452"/>
      <c r="AE82" s="451"/>
      <c r="AF82" s="451">
        <f>SUM(AF83:AF85)</f>
        <v>0</v>
      </c>
      <c r="AG82" s="451"/>
      <c r="AH82" s="451"/>
      <c r="AI82" s="452"/>
      <c r="AJ82" s="451"/>
      <c r="AK82" s="451">
        <f>SUM(AK83:AK85)</f>
        <v>0</v>
      </c>
      <c r="AL82" s="451"/>
      <c r="AM82" s="451"/>
      <c r="AN82" s="452"/>
      <c r="AO82" s="451"/>
      <c r="AP82" s="451">
        <f>SUM(AP83:AP85)</f>
        <v>0</v>
      </c>
      <c r="AQ82" s="451"/>
      <c r="AR82" s="451"/>
      <c r="AS82" s="452"/>
      <c r="AT82" s="451"/>
      <c r="AU82" s="451">
        <f>SUM(AU83:AU85)</f>
        <v>0</v>
      </c>
      <c r="AV82" s="451"/>
      <c r="AW82" s="451"/>
      <c r="AX82" s="452"/>
      <c r="AY82" s="451"/>
      <c r="AZ82" s="451">
        <f>SUM(AZ83:AZ85)</f>
        <v>0</v>
      </c>
      <c r="BA82" s="451"/>
      <c r="BB82" s="451"/>
      <c r="BC82" s="452"/>
      <c r="BD82" s="451"/>
      <c r="BE82" s="451">
        <f>SUM(BE83:BE85)</f>
        <v>0</v>
      </c>
      <c r="BF82" s="451"/>
      <c r="BG82" s="451"/>
      <c r="BH82" s="452"/>
      <c r="BI82" s="451"/>
      <c r="BJ82" s="451">
        <f>SUM(BJ83:BJ85)</f>
        <v>0</v>
      </c>
      <c r="BK82" s="451"/>
      <c r="BL82" s="451"/>
      <c r="BM82" s="452"/>
      <c r="BN82" s="451"/>
      <c r="BO82" s="451">
        <f>SUM(BO83:BO85)</f>
        <v>0</v>
      </c>
      <c r="BP82" s="451"/>
      <c r="BQ82" s="451"/>
      <c r="BR82" s="452"/>
      <c r="BS82" s="451"/>
      <c r="BT82" s="451">
        <f>SUM(BT83:BT85)</f>
        <v>0</v>
      </c>
      <c r="BU82" s="451"/>
      <c r="BV82" s="451"/>
      <c r="BW82" s="452"/>
      <c r="BX82" s="451"/>
      <c r="BY82" s="451">
        <f>SUM(BY83:BY85)</f>
        <v>0</v>
      </c>
      <c r="BZ82" s="451"/>
      <c r="CA82" s="451"/>
      <c r="CB82" s="452"/>
      <c r="CC82" s="451"/>
      <c r="CD82" s="451">
        <f>SUM(CD83:CD85)</f>
        <v>0</v>
      </c>
      <c r="CE82" s="451"/>
      <c r="CF82" s="451"/>
      <c r="CG82" s="452"/>
      <c r="CH82" s="451"/>
      <c r="CI82" s="451">
        <f>SUM(CI83:CI85)</f>
        <v>0</v>
      </c>
      <c r="CJ82" s="451"/>
      <c r="CK82" s="451"/>
      <c r="CL82" s="452"/>
      <c r="CM82" s="451"/>
      <c r="CN82" s="451">
        <f>SUM(CN83:CN85)</f>
        <v>0</v>
      </c>
      <c r="CO82" s="451"/>
      <c r="CP82" s="451"/>
      <c r="CQ82" s="452"/>
      <c r="CR82" s="451"/>
      <c r="CS82" s="451">
        <f>SUM(CS83:CS85)</f>
        <v>0</v>
      </c>
      <c r="CT82" s="451"/>
      <c r="CU82" s="451"/>
      <c r="CV82" s="452"/>
      <c r="CW82" s="451"/>
      <c r="CX82" s="451">
        <f>SUM(CX83:CX85)</f>
        <v>0</v>
      </c>
      <c r="CY82" s="451"/>
      <c r="CZ82" s="451"/>
      <c r="DA82" s="452"/>
      <c r="DB82" s="451"/>
      <c r="DC82" s="451">
        <f>SUM(DC83:DC85)</f>
        <v>0</v>
      </c>
      <c r="DD82" s="451"/>
      <c r="DE82" s="451"/>
      <c r="DF82" s="452"/>
      <c r="DG82" s="451"/>
      <c r="DH82" s="451">
        <f>SUM(DH83:DH85)</f>
        <v>0</v>
      </c>
      <c r="DI82" s="451"/>
      <c r="DJ82" s="451"/>
      <c r="DK82" s="452"/>
      <c r="DL82" s="451"/>
      <c r="DM82" s="451">
        <f>SUM(DM83:DM85)</f>
        <v>0</v>
      </c>
      <c r="DN82" s="451"/>
      <c r="DO82" s="451"/>
      <c r="DP82" s="452"/>
      <c r="DQ82" s="451"/>
      <c r="DR82" s="451">
        <f>SUM(DR83:DR85)</f>
        <v>0</v>
      </c>
      <c r="DS82" s="451"/>
      <c r="DT82" s="451"/>
      <c r="DU82" s="452"/>
      <c r="DV82" s="451"/>
      <c r="DW82" s="451">
        <f>SUM(DW83:DW85)</f>
        <v>0</v>
      </c>
      <c r="DX82" s="451"/>
      <c r="DY82" s="451"/>
      <c r="DZ82" s="452"/>
      <c r="EA82" s="451"/>
      <c r="EB82" s="451">
        <f>SUM(EB83:EB85)</f>
        <v>0</v>
      </c>
      <c r="EC82" s="451"/>
      <c r="ED82" s="451"/>
      <c r="EE82" s="452"/>
      <c r="EF82" s="451"/>
      <c r="EG82" s="451">
        <f>SUM(EG83:EG85)</f>
        <v>0</v>
      </c>
      <c r="EH82" s="451"/>
      <c r="EI82" s="451"/>
      <c r="EJ82" s="452"/>
      <c r="EK82" s="451"/>
      <c r="EL82" s="451">
        <f>SUM(EL83:EL85)</f>
        <v>0</v>
      </c>
      <c r="EM82" s="451"/>
      <c r="EN82" s="451"/>
      <c r="EO82" s="13"/>
    </row>
    <row r="83" spans="4:145" ht="12.75" hidden="1" customHeight="1" x14ac:dyDescent="0.2">
      <c r="D83" s="13" t="s">
        <v>347</v>
      </c>
      <c r="E83" s="198"/>
      <c r="F83" s="374"/>
      <c r="G83" s="449">
        <v>0</v>
      </c>
      <c r="H83" s="450"/>
      <c r="I83" s="451"/>
      <c r="J83" s="452"/>
      <c r="K83" s="453"/>
      <c r="L83" s="449">
        <v>0</v>
      </c>
      <c r="M83" s="450"/>
      <c r="N83" s="451"/>
      <c r="O83" s="452"/>
      <c r="P83" s="453"/>
      <c r="Q83" s="449">
        <v>0</v>
      </c>
      <c r="R83" s="450"/>
      <c r="S83" s="451"/>
      <c r="T83" s="452"/>
      <c r="U83" s="453"/>
      <c r="V83" s="449">
        <v>0</v>
      </c>
      <c r="W83" s="450"/>
      <c r="X83" s="451"/>
      <c r="Y83" s="452"/>
      <c r="Z83" s="453"/>
      <c r="AA83" s="449">
        <v>0</v>
      </c>
      <c r="AB83" s="450"/>
      <c r="AC83" s="451"/>
      <c r="AD83" s="452"/>
      <c r="AE83" s="453"/>
      <c r="AF83" s="449">
        <v>0</v>
      </c>
      <c r="AG83" s="450"/>
      <c r="AH83" s="451"/>
      <c r="AI83" s="452"/>
      <c r="AJ83" s="453"/>
      <c r="AK83" s="449">
        <v>0</v>
      </c>
      <c r="AL83" s="450"/>
      <c r="AM83" s="451"/>
      <c r="AN83" s="452"/>
      <c r="AO83" s="453"/>
      <c r="AP83" s="449">
        <v>0</v>
      </c>
      <c r="AQ83" s="450"/>
      <c r="AR83" s="451"/>
      <c r="AS83" s="452"/>
      <c r="AT83" s="453"/>
      <c r="AU83" s="449">
        <v>0</v>
      </c>
      <c r="AV83" s="450"/>
      <c r="AW83" s="451"/>
      <c r="AX83" s="452"/>
      <c r="AY83" s="453"/>
      <c r="AZ83" s="449">
        <v>0</v>
      </c>
      <c r="BA83" s="450"/>
      <c r="BB83" s="451"/>
      <c r="BC83" s="452"/>
      <c r="BD83" s="453"/>
      <c r="BE83" s="449">
        <v>0</v>
      </c>
      <c r="BF83" s="450"/>
      <c r="BG83" s="451"/>
      <c r="BH83" s="452"/>
      <c r="BI83" s="453"/>
      <c r="BJ83" s="449">
        <v>0</v>
      </c>
      <c r="BK83" s="450"/>
      <c r="BL83" s="451"/>
      <c r="BM83" s="452"/>
      <c r="BN83" s="453"/>
      <c r="BO83" s="449">
        <v>0</v>
      </c>
      <c r="BP83" s="450"/>
      <c r="BQ83" s="451"/>
      <c r="BR83" s="452"/>
      <c r="BS83" s="453"/>
      <c r="BT83" s="449">
        <f>SUM(L83:BO83)</f>
        <v>0</v>
      </c>
      <c r="BU83" s="450"/>
      <c r="BV83" s="451"/>
      <c r="BW83" s="452"/>
      <c r="BX83" s="453"/>
      <c r="BY83" s="449">
        <f>SUM(Q83:BT83)</f>
        <v>0</v>
      </c>
      <c r="BZ83" s="450"/>
      <c r="CA83" s="451"/>
      <c r="CB83" s="452"/>
      <c r="CC83" s="453"/>
      <c r="CD83" s="449">
        <v>0</v>
      </c>
      <c r="CE83" s="450"/>
      <c r="CF83" s="451"/>
      <c r="CG83" s="452"/>
      <c r="CH83" s="453"/>
      <c r="CI83" s="449">
        <v>0</v>
      </c>
      <c r="CJ83" s="450"/>
      <c r="CK83" s="451"/>
      <c r="CL83" s="452"/>
      <c r="CM83" s="453"/>
      <c r="CN83" s="449">
        <v>0</v>
      </c>
      <c r="CO83" s="450"/>
      <c r="CP83" s="451"/>
      <c r="CQ83" s="452"/>
      <c r="CR83" s="453"/>
      <c r="CS83" s="449">
        <v>0</v>
      </c>
      <c r="CT83" s="450"/>
      <c r="CU83" s="451"/>
      <c r="CV83" s="452"/>
      <c r="CW83" s="453"/>
      <c r="CX83" s="449">
        <v>0</v>
      </c>
      <c r="CY83" s="450"/>
      <c r="CZ83" s="451"/>
      <c r="DA83" s="452"/>
      <c r="DB83" s="453"/>
      <c r="DC83" s="449">
        <v>0</v>
      </c>
      <c r="DD83" s="450"/>
      <c r="DE83" s="451"/>
      <c r="DF83" s="452"/>
      <c r="DG83" s="453"/>
      <c r="DH83" s="449">
        <v>0</v>
      </c>
      <c r="DI83" s="450"/>
      <c r="DJ83" s="451"/>
      <c r="DK83" s="452"/>
      <c r="DL83" s="453"/>
      <c r="DM83" s="449">
        <v>0</v>
      </c>
      <c r="DN83" s="450"/>
      <c r="DO83" s="451"/>
      <c r="DP83" s="452"/>
      <c r="DQ83" s="453"/>
      <c r="DR83" s="449">
        <v>0</v>
      </c>
      <c r="DS83" s="450"/>
      <c r="DT83" s="451"/>
      <c r="DU83" s="452"/>
      <c r="DV83" s="453"/>
      <c r="DW83" s="449">
        <v>0</v>
      </c>
      <c r="DX83" s="450"/>
      <c r="DY83" s="451"/>
      <c r="DZ83" s="452"/>
      <c r="EA83" s="453"/>
      <c r="EB83" s="449">
        <v>0</v>
      </c>
      <c r="EC83" s="450"/>
      <c r="ED83" s="451"/>
      <c r="EE83" s="452"/>
      <c r="EF83" s="453"/>
      <c r="EG83" s="449">
        <v>0</v>
      </c>
      <c r="EH83" s="450"/>
      <c r="EI83" s="451"/>
      <c r="EJ83" s="452"/>
      <c r="EK83" s="453"/>
      <c r="EL83" s="449">
        <f>SUM(CD83:EG83)</f>
        <v>0</v>
      </c>
      <c r="EM83" s="450"/>
      <c r="EN83" s="451"/>
      <c r="EO83" s="13"/>
    </row>
    <row r="84" spans="4:145" ht="12.75" hidden="1" customHeight="1" x14ac:dyDescent="0.2">
      <c r="D84" s="13" t="s">
        <v>349</v>
      </c>
      <c r="E84" s="198"/>
      <c r="F84" s="198"/>
      <c r="G84" s="451">
        <v>0</v>
      </c>
      <c r="H84" s="455"/>
      <c r="I84" s="451"/>
      <c r="J84" s="452"/>
      <c r="K84" s="452"/>
      <c r="L84" s="451">
        <v>0</v>
      </c>
      <c r="M84" s="455"/>
      <c r="N84" s="451"/>
      <c r="O84" s="452"/>
      <c r="P84" s="452"/>
      <c r="Q84" s="451">
        <v>0</v>
      </c>
      <c r="R84" s="455"/>
      <c r="S84" s="451"/>
      <c r="T84" s="452"/>
      <c r="U84" s="452"/>
      <c r="V84" s="451">
        <v>0</v>
      </c>
      <c r="W84" s="455"/>
      <c r="X84" s="451"/>
      <c r="Y84" s="452"/>
      <c r="Z84" s="452"/>
      <c r="AA84" s="451">
        <v>0</v>
      </c>
      <c r="AB84" s="455"/>
      <c r="AC84" s="451"/>
      <c r="AD84" s="452"/>
      <c r="AE84" s="452"/>
      <c r="AF84" s="451">
        <v>0</v>
      </c>
      <c r="AG84" s="455"/>
      <c r="AH84" s="451"/>
      <c r="AI84" s="452"/>
      <c r="AJ84" s="452"/>
      <c r="AK84" s="451">
        <v>0</v>
      </c>
      <c r="AL84" s="455"/>
      <c r="AM84" s="451"/>
      <c r="AN84" s="452"/>
      <c r="AO84" s="452"/>
      <c r="AP84" s="451">
        <v>0</v>
      </c>
      <c r="AQ84" s="455"/>
      <c r="AR84" s="451"/>
      <c r="AS84" s="452"/>
      <c r="AT84" s="452"/>
      <c r="AU84" s="451">
        <v>0</v>
      </c>
      <c r="AV84" s="455"/>
      <c r="AW84" s="451"/>
      <c r="AX84" s="452"/>
      <c r="AY84" s="452"/>
      <c r="AZ84" s="451">
        <v>0</v>
      </c>
      <c r="BA84" s="455"/>
      <c r="BB84" s="451"/>
      <c r="BC84" s="452"/>
      <c r="BD84" s="452"/>
      <c r="BE84" s="451">
        <v>0</v>
      </c>
      <c r="BF84" s="455"/>
      <c r="BG84" s="451"/>
      <c r="BH84" s="452"/>
      <c r="BI84" s="452"/>
      <c r="BJ84" s="451">
        <v>0</v>
      </c>
      <c r="BK84" s="455"/>
      <c r="BL84" s="451"/>
      <c r="BM84" s="452"/>
      <c r="BN84" s="452"/>
      <c r="BO84" s="451">
        <v>0</v>
      </c>
      <c r="BP84" s="455"/>
      <c r="BQ84" s="451"/>
      <c r="BR84" s="452"/>
      <c r="BS84" s="452"/>
      <c r="BT84" s="451">
        <f>SUM(L84:BO84)</f>
        <v>0</v>
      </c>
      <c r="BU84" s="455"/>
      <c r="BV84" s="451"/>
      <c r="BW84" s="452"/>
      <c r="BX84" s="452"/>
      <c r="BY84" s="451">
        <f>SUM(Q84:BT84)</f>
        <v>0</v>
      </c>
      <c r="BZ84" s="455"/>
      <c r="CA84" s="451"/>
      <c r="CB84" s="452"/>
      <c r="CC84" s="452"/>
      <c r="CD84" s="451">
        <v>0</v>
      </c>
      <c r="CE84" s="455"/>
      <c r="CF84" s="451"/>
      <c r="CG84" s="452"/>
      <c r="CH84" s="452"/>
      <c r="CI84" s="451">
        <v>0</v>
      </c>
      <c r="CJ84" s="455"/>
      <c r="CK84" s="451"/>
      <c r="CL84" s="452"/>
      <c r="CM84" s="452"/>
      <c r="CN84" s="451">
        <v>0</v>
      </c>
      <c r="CO84" s="455"/>
      <c r="CP84" s="451"/>
      <c r="CQ84" s="452"/>
      <c r="CR84" s="452"/>
      <c r="CS84" s="451">
        <v>0</v>
      </c>
      <c r="CT84" s="455"/>
      <c r="CU84" s="451"/>
      <c r="CV84" s="452"/>
      <c r="CW84" s="452"/>
      <c r="CX84" s="451">
        <v>0</v>
      </c>
      <c r="CY84" s="455"/>
      <c r="CZ84" s="451"/>
      <c r="DA84" s="452"/>
      <c r="DB84" s="452"/>
      <c r="DC84" s="451">
        <v>0</v>
      </c>
      <c r="DD84" s="455"/>
      <c r="DE84" s="451"/>
      <c r="DF84" s="452"/>
      <c r="DG84" s="452"/>
      <c r="DH84" s="451">
        <v>0</v>
      </c>
      <c r="DI84" s="455"/>
      <c r="DJ84" s="451"/>
      <c r="DK84" s="452"/>
      <c r="DL84" s="452"/>
      <c r="DM84" s="451">
        <v>0</v>
      </c>
      <c r="DN84" s="455"/>
      <c r="DO84" s="451"/>
      <c r="DP84" s="452"/>
      <c r="DQ84" s="452"/>
      <c r="DR84" s="451">
        <v>0</v>
      </c>
      <c r="DS84" s="455"/>
      <c r="DT84" s="451"/>
      <c r="DU84" s="452"/>
      <c r="DV84" s="452"/>
      <c r="DW84" s="451">
        <v>0</v>
      </c>
      <c r="DX84" s="455"/>
      <c r="DY84" s="451"/>
      <c r="DZ84" s="452"/>
      <c r="EA84" s="452"/>
      <c r="EB84" s="451">
        <v>0</v>
      </c>
      <c r="EC84" s="455"/>
      <c r="ED84" s="451"/>
      <c r="EE84" s="452"/>
      <c r="EF84" s="452"/>
      <c r="EG84" s="451">
        <v>0</v>
      </c>
      <c r="EH84" s="455"/>
      <c r="EI84" s="451"/>
      <c r="EJ84" s="452"/>
      <c r="EK84" s="452"/>
      <c r="EL84" s="451">
        <f>SUM(CD84:EG84)</f>
        <v>0</v>
      </c>
      <c r="EM84" s="455"/>
      <c r="EN84" s="451"/>
      <c r="EO84" s="13"/>
    </row>
    <row r="85" spans="4:145" ht="12.75" hidden="1" customHeight="1" x14ac:dyDescent="0.2">
      <c r="D85" s="13" t="s">
        <v>357</v>
      </c>
      <c r="E85" s="198"/>
      <c r="F85" s="385"/>
      <c r="G85" s="463">
        <v>0</v>
      </c>
      <c r="H85" s="464"/>
      <c r="I85" s="451"/>
      <c r="J85" s="452"/>
      <c r="K85" s="465"/>
      <c r="L85" s="463">
        <v>0</v>
      </c>
      <c r="M85" s="464"/>
      <c r="N85" s="451"/>
      <c r="O85" s="452"/>
      <c r="P85" s="465"/>
      <c r="Q85" s="463">
        <v>0</v>
      </c>
      <c r="R85" s="464"/>
      <c r="S85" s="451"/>
      <c r="T85" s="452"/>
      <c r="U85" s="465"/>
      <c r="V85" s="463">
        <v>0</v>
      </c>
      <c r="W85" s="464"/>
      <c r="X85" s="451"/>
      <c r="Y85" s="452"/>
      <c r="Z85" s="465"/>
      <c r="AA85" s="463">
        <v>0</v>
      </c>
      <c r="AB85" s="464"/>
      <c r="AC85" s="451"/>
      <c r="AD85" s="452"/>
      <c r="AE85" s="465"/>
      <c r="AF85" s="463">
        <v>0</v>
      </c>
      <c r="AG85" s="464"/>
      <c r="AH85" s="451"/>
      <c r="AI85" s="452"/>
      <c r="AJ85" s="465"/>
      <c r="AK85" s="463">
        <v>0</v>
      </c>
      <c r="AL85" s="464"/>
      <c r="AM85" s="451"/>
      <c r="AN85" s="452"/>
      <c r="AO85" s="465"/>
      <c r="AP85" s="463">
        <v>0</v>
      </c>
      <c r="AQ85" s="464"/>
      <c r="AR85" s="451"/>
      <c r="AS85" s="452"/>
      <c r="AT85" s="465"/>
      <c r="AU85" s="463">
        <v>0</v>
      </c>
      <c r="AV85" s="464"/>
      <c r="AW85" s="451"/>
      <c r="AX85" s="452"/>
      <c r="AY85" s="465"/>
      <c r="AZ85" s="463">
        <v>0</v>
      </c>
      <c r="BA85" s="464"/>
      <c r="BB85" s="451"/>
      <c r="BC85" s="452"/>
      <c r="BD85" s="465"/>
      <c r="BE85" s="463">
        <v>0</v>
      </c>
      <c r="BF85" s="464"/>
      <c r="BG85" s="451"/>
      <c r="BH85" s="452"/>
      <c r="BI85" s="465"/>
      <c r="BJ85" s="463">
        <v>0</v>
      </c>
      <c r="BK85" s="464"/>
      <c r="BL85" s="451"/>
      <c r="BM85" s="452"/>
      <c r="BN85" s="465"/>
      <c r="BO85" s="463">
        <v>0</v>
      </c>
      <c r="BP85" s="464"/>
      <c r="BQ85" s="451"/>
      <c r="BR85" s="452"/>
      <c r="BS85" s="465"/>
      <c r="BT85" s="463">
        <f>SUM(L85:BO85)</f>
        <v>0</v>
      </c>
      <c r="BU85" s="464"/>
      <c r="BV85" s="451"/>
      <c r="BW85" s="452"/>
      <c r="BX85" s="465"/>
      <c r="BY85" s="463">
        <f>SUM(Q85:BT85)</f>
        <v>0</v>
      </c>
      <c r="BZ85" s="464"/>
      <c r="CA85" s="451"/>
      <c r="CB85" s="452"/>
      <c r="CC85" s="465"/>
      <c r="CD85" s="463">
        <v>0</v>
      </c>
      <c r="CE85" s="464"/>
      <c r="CF85" s="451"/>
      <c r="CG85" s="452"/>
      <c r="CH85" s="465"/>
      <c r="CI85" s="463">
        <v>0</v>
      </c>
      <c r="CJ85" s="464"/>
      <c r="CK85" s="451"/>
      <c r="CL85" s="452"/>
      <c r="CM85" s="465"/>
      <c r="CN85" s="463">
        <v>0</v>
      </c>
      <c r="CO85" s="464"/>
      <c r="CP85" s="451"/>
      <c r="CQ85" s="452"/>
      <c r="CR85" s="465"/>
      <c r="CS85" s="463">
        <v>0</v>
      </c>
      <c r="CT85" s="464"/>
      <c r="CU85" s="451"/>
      <c r="CV85" s="452"/>
      <c r="CW85" s="465"/>
      <c r="CX85" s="463">
        <v>0</v>
      </c>
      <c r="CY85" s="464"/>
      <c r="CZ85" s="451"/>
      <c r="DA85" s="452"/>
      <c r="DB85" s="465"/>
      <c r="DC85" s="463">
        <v>0</v>
      </c>
      <c r="DD85" s="464"/>
      <c r="DE85" s="451"/>
      <c r="DF85" s="452"/>
      <c r="DG85" s="465"/>
      <c r="DH85" s="463">
        <v>0</v>
      </c>
      <c r="DI85" s="464"/>
      <c r="DJ85" s="451"/>
      <c r="DK85" s="452"/>
      <c r="DL85" s="465"/>
      <c r="DM85" s="463">
        <v>0</v>
      </c>
      <c r="DN85" s="464"/>
      <c r="DO85" s="451"/>
      <c r="DP85" s="452"/>
      <c r="DQ85" s="465"/>
      <c r="DR85" s="463">
        <v>0</v>
      </c>
      <c r="DS85" s="464"/>
      <c r="DT85" s="451"/>
      <c r="DU85" s="452"/>
      <c r="DV85" s="465"/>
      <c r="DW85" s="463">
        <v>0</v>
      </c>
      <c r="DX85" s="464"/>
      <c r="DY85" s="451"/>
      <c r="DZ85" s="452"/>
      <c r="EA85" s="465"/>
      <c r="EB85" s="463">
        <v>0</v>
      </c>
      <c r="EC85" s="464"/>
      <c r="ED85" s="451"/>
      <c r="EE85" s="452"/>
      <c r="EF85" s="465"/>
      <c r="EG85" s="463">
        <v>0</v>
      </c>
      <c r="EH85" s="464"/>
      <c r="EI85" s="451"/>
      <c r="EJ85" s="452"/>
      <c r="EK85" s="465"/>
      <c r="EL85" s="463">
        <f>SUM(CD85:EG85)</f>
        <v>0</v>
      </c>
      <c r="EM85" s="464"/>
      <c r="EN85" s="451"/>
      <c r="EO85" s="13"/>
    </row>
    <row r="86" spans="4:145" ht="12.75" hidden="1" customHeight="1" x14ac:dyDescent="0.2">
      <c r="D86" s="13"/>
      <c r="E86" s="198"/>
      <c r="G86" s="451"/>
      <c r="H86" s="451"/>
      <c r="I86" s="451"/>
      <c r="J86" s="452"/>
      <c r="K86" s="451"/>
      <c r="L86" s="451"/>
      <c r="M86" s="451"/>
      <c r="N86" s="451"/>
      <c r="O86" s="452"/>
      <c r="P86" s="451"/>
      <c r="Q86" s="451"/>
      <c r="R86" s="451"/>
      <c r="S86" s="451"/>
      <c r="T86" s="452"/>
      <c r="U86" s="451"/>
      <c r="V86" s="451"/>
      <c r="W86" s="451"/>
      <c r="X86" s="451"/>
      <c r="Y86" s="452"/>
      <c r="Z86" s="451"/>
      <c r="AA86" s="451"/>
      <c r="AB86" s="451"/>
      <c r="AC86" s="451"/>
      <c r="AD86" s="452"/>
      <c r="AE86" s="451"/>
      <c r="AF86" s="451"/>
      <c r="AG86" s="451"/>
      <c r="AH86" s="451"/>
      <c r="AI86" s="452"/>
      <c r="AJ86" s="451"/>
      <c r="AK86" s="451"/>
      <c r="AL86" s="451"/>
      <c r="AM86" s="451"/>
      <c r="AN86" s="452"/>
      <c r="AO86" s="451"/>
      <c r="AP86" s="451"/>
      <c r="AQ86" s="451"/>
      <c r="AR86" s="451"/>
      <c r="AS86" s="452"/>
      <c r="AT86" s="451"/>
      <c r="AU86" s="451"/>
      <c r="AV86" s="451"/>
      <c r="AW86" s="451"/>
      <c r="AX86" s="452"/>
      <c r="AY86" s="451"/>
      <c r="AZ86" s="451"/>
      <c r="BA86" s="451"/>
      <c r="BB86" s="451"/>
      <c r="BC86" s="452"/>
      <c r="BD86" s="451"/>
      <c r="BE86" s="451"/>
      <c r="BF86" s="451"/>
      <c r="BG86" s="451"/>
      <c r="BH86" s="452"/>
      <c r="BI86" s="451"/>
      <c r="BJ86" s="451"/>
      <c r="BK86" s="451"/>
      <c r="BL86" s="451"/>
      <c r="BM86" s="452"/>
      <c r="BN86" s="451"/>
      <c r="BO86" s="451"/>
      <c r="BP86" s="451"/>
      <c r="BQ86" s="451"/>
      <c r="BR86" s="452"/>
      <c r="BS86" s="451"/>
      <c r="BT86" s="451"/>
      <c r="BU86" s="451"/>
      <c r="BV86" s="451"/>
      <c r="BW86" s="452"/>
      <c r="BX86" s="451"/>
      <c r="BY86" s="451"/>
      <c r="BZ86" s="451"/>
      <c r="CA86" s="451"/>
      <c r="CB86" s="452"/>
      <c r="CC86" s="451"/>
      <c r="CD86" s="451"/>
      <c r="CE86" s="451"/>
      <c r="CF86" s="451"/>
      <c r="CG86" s="452"/>
      <c r="CH86" s="451"/>
      <c r="CI86" s="451"/>
      <c r="CJ86" s="451"/>
      <c r="CK86" s="451"/>
      <c r="CL86" s="452"/>
      <c r="CM86" s="451"/>
      <c r="CN86" s="451"/>
      <c r="CO86" s="451"/>
      <c r="CP86" s="451"/>
      <c r="CQ86" s="452"/>
      <c r="CR86" s="451"/>
      <c r="CS86" s="451"/>
      <c r="CT86" s="451"/>
      <c r="CU86" s="451"/>
      <c r="CV86" s="452"/>
      <c r="CW86" s="451"/>
      <c r="CX86" s="451"/>
      <c r="CY86" s="451"/>
      <c r="CZ86" s="451"/>
      <c r="DA86" s="452"/>
      <c r="DB86" s="451"/>
      <c r="DC86" s="451"/>
      <c r="DD86" s="451"/>
      <c r="DE86" s="451"/>
      <c r="DF86" s="452"/>
      <c r="DG86" s="451"/>
      <c r="DH86" s="451"/>
      <c r="DI86" s="451"/>
      <c r="DJ86" s="451"/>
      <c r="DK86" s="452"/>
      <c r="DL86" s="451"/>
      <c r="DM86" s="451"/>
      <c r="DN86" s="451"/>
      <c r="DO86" s="451"/>
      <c r="DP86" s="452"/>
      <c r="DQ86" s="451"/>
      <c r="DR86" s="451"/>
      <c r="DS86" s="451"/>
      <c r="DT86" s="451"/>
      <c r="DU86" s="452"/>
      <c r="DV86" s="451"/>
      <c r="DW86" s="451"/>
      <c r="DX86" s="451"/>
      <c r="DY86" s="451"/>
      <c r="DZ86" s="452"/>
      <c r="EA86" s="451"/>
      <c r="EB86" s="451"/>
      <c r="EC86" s="451"/>
      <c r="ED86" s="451"/>
      <c r="EE86" s="452"/>
      <c r="EF86" s="451"/>
      <c r="EG86" s="451"/>
      <c r="EH86" s="451"/>
      <c r="EI86" s="451"/>
      <c r="EJ86" s="452"/>
      <c r="EK86" s="451"/>
      <c r="EL86" s="451"/>
      <c r="EM86" s="451"/>
      <c r="EN86" s="451"/>
      <c r="EO86" s="13"/>
    </row>
    <row r="87" spans="4:145" ht="12.75" hidden="1" customHeight="1" x14ac:dyDescent="0.2">
      <c r="D87" s="13" t="s">
        <v>462</v>
      </c>
      <c r="E87" s="198"/>
      <c r="G87" s="451">
        <v>0</v>
      </c>
      <c r="H87" s="451"/>
      <c r="I87" s="451"/>
      <c r="J87" s="452"/>
      <c r="K87" s="451"/>
      <c r="L87" s="451">
        <f>SUM(L88:L90)</f>
        <v>0</v>
      </c>
      <c r="M87" s="451"/>
      <c r="N87" s="451"/>
      <c r="O87" s="452"/>
      <c r="P87" s="451"/>
      <c r="Q87" s="451">
        <f>SUM(Q88:Q90)</f>
        <v>0</v>
      </c>
      <c r="R87" s="451"/>
      <c r="S87" s="451"/>
      <c r="T87" s="452"/>
      <c r="U87" s="451"/>
      <c r="V87" s="451">
        <f>SUM(V88:V90)</f>
        <v>0</v>
      </c>
      <c r="W87" s="451"/>
      <c r="X87" s="451"/>
      <c r="Y87" s="452"/>
      <c r="Z87" s="451"/>
      <c r="AA87" s="451">
        <f>SUM(AA88:AA90)</f>
        <v>0</v>
      </c>
      <c r="AB87" s="451"/>
      <c r="AC87" s="451"/>
      <c r="AD87" s="452"/>
      <c r="AE87" s="451"/>
      <c r="AF87" s="451">
        <f>SUM(AF88:AF90)</f>
        <v>0</v>
      </c>
      <c r="AG87" s="451"/>
      <c r="AH87" s="451"/>
      <c r="AI87" s="452"/>
      <c r="AJ87" s="451"/>
      <c r="AK87" s="451">
        <f>SUM(AK88:AK90)</f>
        <v>0</v>
      </c>
      <c r="AL87" s="451"/>
      <c r="AM87" s="451"/>
      <c r="AN87" s="452"/>
      <c r="AO87" s="451"/>
      <c r="AP87" s="451">
        <f>SUM(AP88:AP90)</f>
        <v>0</v>
      </c>
      <c r="AQ87" s="451"/>
      <c r="AR87" s="451"/>
      <c r="AS87" s="452"/>
      <c r="AT87" s="451"/>
      <c r="AU87" s="451">
        <f>SUM(AU88:AU90)</f>
        <v>0</v>
      </c>
      <c r="AV87" s="451"/>
      <c r="AW87" s="451"/>
      <c r="AX87" s="452"/>
      <c r="AY87" s="451"/>
      <c r="AZ87" s="451">
        <f>SUM(AZ88:AZ90)</f>
        <v>0</v>
      </c>
      <c r="BA87" s="451"/>
      <c r="BB87" s="451"/>
      <c r="BC87" s="452"/>
      <c r="BD87" s="451"/>
      <c r="BE87" s="451">
        <f>SUM(BE88:BE90)</f>
        <v>0</v>
      </c>
      <c r="BF87" s="451"/>
      <c r="BG87" s="451"/>
      <c r="BH87" s="452"/>
      <c r="BI87" s="451"/>
      <c r="BJ87" s="451">
        <f>SUM(BJ88:BJ90)</f>
        <v>0</v>
      </c>
      <c r="BK87" s="451"/>
      <c r="BL87" s="451"/>
      <c r="BM87" s="452"/>
      <c r="BN87" s="451"/>
      <c r="BO87" s="451">
        <f>SUM(BO88:BO90)</f>
        <v>0</v>
      </c>
      <c r="BP87" s="451"/>
      <c r="BQ87" s="451"/>
      <c r="BR87" s="452"/>
      <c r="BS87" s="451"/>
      <c r="BT87" s="451">
        <f>SUM(BT88:BT90)</f>
        <v>0</v>
      </c>
      <c r="BU87" s="451"/>
      <c r="BV87" s="451"/>
      <c r="BW87" s="452"/>
      <c r="BX87" s="451"/>
      <c r="BY87" s="451">
        <f>SUM(BY88:BY90)</f>
        <v>0</v>
      </c>
      <c r="BZ87" s="451"/>
      <c r="CA87" s="451"/>
      <c r="CB87" s="452"/>
      <c r="CC87" s="451"/>
      <c r="CD87" s="451">
        <f>SUM(CD88:CD90)</f>
        <v>0</v>
      </c>
      <c r="CE87" s="451"/>
      <c r="CF87" s="451"/>
      <c r="CG87" s="452"/>
      <c r="CH87" s="451"/>
      <c r="CI87" s="451">
        <f>SUM(CI88:CI90)</f>
        <v>0</v>
      </c>
      <c r="CJ87" s="451"/>
      <c r="CK87" s="451"/>
      <c r="CL87" s="452"/>
      <c r="CM87" s="451"/>
      <c r="CN87" s="451">
        <f>SUM(CN88:CN90)</f>
        <v>0</v>
      </c>
      <c r="CO87" s="451"/>
      <c r="CP87" s="451"/>
      <c r="CQ87" s="452"/>
      <c r="CR87" s="451"/>
      <c r="CS87" s="451">
        <f>SUM(CS88:CS90)</f>
        <v>0</v>
      </c>
      <c r="CT87" s="451"/>
      <c r="CU87" s="451"/>
      <c r="CV87" s="452"/>
      <c r="CW87" s="451"/>
      <c r="CX87" s="451">
        <f>SUM(CX88:CX90)</f>
        <v>0</v>
      </c>
      <c r="CY87" s="451"/>
      <c r="CZ87" s="451"/>
      <c r="DA87" s="452"/>
      <c r="DB87" s="451"/>
      <c r="DC87" s="451">
        <f>SUM(DC88:DC90)</f>
        <v>0</v>
      </c>
      <c r="DD87" s="451"/>
      <c r="DE87" s="451"/>
      <c r="DF87" s="452"/>
      <c r="DG87" s="451"/>
      <c r="DH87" s="451">
        <f>SUM(DH88:DH90)</f>
        <v>0</v>
      </c>
      <c r="DI87" s="451"/>
      <c r="DJ87" s="451"/>
      <c r="DK87" s="452"/>
      <c r="DL87" s="451"/>
      <c r="DM87" s="451">
        <f>SUM(DM88:DM90)</f>
        <v>0</v>
      </c>
      <c r="DN87" s="451"/>
      <c r="DO87" s="451"/>
      <c r="DP87" s="452"/>
      <c r="DQ87" s="451"/>
      <c r="DR87" s="451">
        <f>SUM(DR88:DR90)</f>
        <v>0</v>
      </c>
      <c r="DS87" s="451"/>
      <c r="DT87" s="451"/>
      <c r="DU87" s="452"/>
      <c r="DV87" s="451"/>
      <c r="DW87" s="451">
        <f>SUM(DW88:DW90)</f>
        <v>0</v>
      </c>
      <c r="DX87" s="451"/>
      <c r="DY87" s="451"/>
      <c r="DZ87" s="452"/>
      <c r="EA87" s="451"/>
      <c r="EB87" s="451">
        <f>SUM(EB88:EB90)</f>
        <v>0</v>
      </c>
      <c r="EC87" s="451"/>
      <c r="ED87" s="451"/>
      <c r="EE87" s="452"/>
      <c r="EF87" s="451"/>
      <c r="EG87" s="451">
        <f>SUM(EG88:EG90)</f>
        <v>0</v>
      </c>
      <c r="EH87" s="451"/>
      <c r="EI87" s="451"/>
      <c r="EJ87" s="452"/>
      <c r="EK87" s="451"/>
      <c r="EL87" s="451">
        <f>SUM(EL88:EL90)</f>
        <v>0</v>
      </c>
      <c r="EM87" s="451"/>
      <c r="EN87" s="451"/>
      <c r="EO87" s="13"/>
    </row>
    <row r="88" spans="4:145" ht="12.75" hidden="1" customHeight="1" x14ac:dyDescent="0.2">
      <c r="D88" s="13" t="s">
        <v>347</v>
      </c>
      <c r="E88" s="198"/>
      <c r="F88" s="374"/>
      <c r="G88" s="449">
        <v>0</v>
      </c>
      <c r="H88" s="450"/>
      <c r="I88" s="451"/>
      <c r="J88" s="452"/>
      <c r="K88" s="453"/>
      <c r="L88" s="449">
        <v>0</v>
      </c>
      <c r="M88" s="450"/>
      <c r="N88" s="451"/>
      <c r="O88" s="452"/>
      <c r="P88" s="453"/>
      <c r="Q88" s="449">
        <v>0</v>
      </c>
      <c r="R88" s="450"/>
      <c r="S88" s="451"/>
      <c r="T88" s="452"/>
      <c r="U88" s="453"/>
      <c r="V88" s="449">
        <v>0</v>
      </c>
      <c r="W88" s="450"/>
      <c r="X88" s="451"/>
      <c r="Y88" s="452"/>
      <c r="Z88" s="453"/>
      <c r="AA88" s="449">
        <v>0</v>
      </c>
      <c r="AB88" s="450"/>
      <c r="AC88" s="451"/>
      <c r="AD88" s="452"/>
      <c r="AE88" s="453"/>
      <c r="AF88" s="449">
        <v>0</v>
      </c>
      <c r="AG88" s="450"/>
      <c r="AH88" s="451"/>
      <c r="AI88" s="452"/>
      <c r="AJ88" s="453"/>
      <c r="AK88" s="449">
        <v>0</v>
      </c>
      <c r="AL88" s="450"/>
      <c r="AM88" s="451"/>
      <c r="AN88" s="452"/>
      <c r="AO88" s="453"/>
      <c r="AP88" s="449">
        <v>0</v>
      </c>
      <c r="AQ88" s="450"/>
      <c r="AR88" s="451"/>
      <c r="AS88" s="452"/>
      <c r="AT88" s="453"/>
      <c r="AU88" s="449">
        <v>0</v>
      </c>
      <c r="AV88" s="450"/>
      <c r="AW88" s="451"/>
      <c r="AX88" s="452"/>
      <c r="AY88" s="453"/>
      <c r="AZ88" s="449">
        <v>0</v>
      </c>
      <c r="BA88" s="450"/>
      <c r="BB88" s="451"/>
      <c r="BC88" s="452"/>
      <c r="BD88" s="453"/>
      <c r="BE88" s="449">
        <v>0</v>
      </c>
      <c r="BF88" s="450"/>
      <c r="BG88" s="451"/>
      <c r="BH88" s="452"/>
      <c r="BI88" s="453"/>
      <c r="BJ88" s="449">
        <v>0</v>
      </c>
      <c r="BK88" s="450"/>
      <c r="BL88" s="451"/>
      <c r="BM88" s="452"/>
      <c r="BN88" s="453"/>
      <c r="BO88" s="449">
        <v>0</v>
      </c>
      <c r="BP88" s="450"/>
      <c r="BQ88" s="451"/>
      <c r="BR88" s="452"/>
      <c r="BS88" s="453"/>
      <c r="BT88" s="449">
        <f>SUM(L88:BO88)</f>
        <v>0</v>
      </c>
      <c r="BU88" s="450"/>
      <c r="BV88" s="451"/>
      <c r="BW88" s="452"/>
      <c r="BX88" s="453"/>
      <c r="BY88" s="449">
        <f>SUM(Q88:BT88)</f>
        <v>0</v>
      </c>
      <c r="BZ88" s="450"/>
      <c r="CA88" s="451"/>
      <c r="CB88" s="452"/>
      <c r="CC88" s="453"/>
      <c r="CD88" s="449">
        <v>0</v>
      </c>
      <c r="CE88" s="450"/>
      <c r="CF88" s="451"/>
      <c r="CG88" s="452"/>
      <c r="CH88" s="453"/>
      <c r="CI88" s="449">
        <v>0</v>
      </c>
      <c r="CJ88" s="450"/>
      <c r="CK88" s="451"/>
      <c r="CL88" s="452"/>
      <c r="CM88" s="453"/>
      <c r="CN88" s="449">
        <v>0</v>
      </c>
      <c r="CO88" s="450"/>
      <c r="CP88" s="451"/>
      <c r="CQ88" s="452"/>
      <c r="CR88" s="453"/>
      <c r="CS88" s="449">
        <v>0</v>
      </c>
      <c r="CT88" s="450"/>
      <c r="CU88" s="451"/>
      <c r="CV88" s="452"/>
      <c r="CW88" s="453"/>
      <c r="CX88" s="449">
        <v>0</v>
      </c>
      <c r="CY88" s="450"/>
      <c r="CZ88" s="451"/>
      <c r="DA88" s="452"/>
      <c r="DB88" s="453"/>
      <c r="DC88" s="449">
        <v>0</v>
      </c>
      <c r="DD88" s="450"/>
      <c r="DE88" s="451"/>
      <c r="DF88" s="452"/>
      <c r="DG88" s="453"/>
      <c r="DH88" s="449">
        <v>0</v>
      </c>
      <c r="DI88" s="450"/>
      <c r="DJ88" s="451"/>
      <c r="DK88" s="452"/>
      <c r="DL88" s="453"/>
      <c r="DM88" s="449">
        <v>0</v>
      </c>
      <c r="DN88" s="450"/>
      <c r="DO88" s="451"/>
      <c r="DP88" s="452"/>
      <c r="DQ88" s="453"/>
      <c r="DR88" s="449">
        <v>0</v>
      </c>
      <c r="DS88" s="450"/>
      <c r="DT88" s="451"/>
      <c r="DU88" s="452"/>
      <c r="DV88" s="453"/>
      <c r="DW88" s="449">
        <v>0</v>
      </c>
      <c r="DX88" s="450"/>
      <c r="DY88" s="451"/>
      <c r="DZ88" s="452"/>
      <c r="EA88" s="453"/>
      <c r="EB88" s="449">
        <v>0</v>
      </c>
      <c r="EC88" s="450"/>
      <c r="ED88" s="451"/>
      <c r="EE88" s="452"/>
      <c r="EF88" s="453"/>
      <c r="EG88" s="449">
        <v>0</v>
      </c>
      <c r="EH88" s="450"/>
      <c r="EI88" s="451"/>
      <c r="EJ88" s="452"/>
      <c r="EK88" s="453"/>
      <c r="EL88" s="449">
        <f>SUM(CD88:EG88)</f>
        <v>0</v>
      </c>
      <c r="EM88" s="450"/>
      <c r="EN88" s="451"/>
      <c r="EO88" s="13"/>
    </row>
    <row r="89" spans="4:145" ht="12.75" hidden="1" customHeight="1" x14ac:dyDescent="0.2">
      <c r="D89" s="13" t="s">
        <v>349</v>
      </c>
      <c r="E89" s="198"/>
      <c r="F89" s="198"/>
      <c r="G89" s="451">
        <v>0</v>
      </c>
      <c r="H89" s="455"/>
      <c r="I89" s="451"/>
      <c r="J89" s="452"/>
      <c r="K89" s="452"/>
      <c r="L89" s="451">
        <v>0</v>
      </c>
      <c r="M89" s="455"/>
      <c r="N89" s="451"/>
      <c r="O89" s="452"/>
      <c r="P89" s="452"/>
      <c r="Q89" s="451">
        <v>0</v>
      </c>
      <c r="R89" s="455"/>
      <c r="S89" s="451"/>
      <c r="T89" s="452"/>
      <c r="U89" s="452"/>
      <c r="V89" s="451">
        <v>0</v>
      </c>
      <c r="W89" s="455"/>
      <c r="X89" s="451"/>
      <c r="Y89" s="452"/>
      <c r="Z89" s="452"/>
      <c r="AA89" s="451">
        <v>0</v>
      </c>
      <c r="AB89" s="455"/>
      <c r="AC89" s="451"/>
      <c r="AD89" s="452"/>
      <c r="AE89" s="452"/>
      <c r="AF89" s="451">
        <v>0</v>
      </c>
      <c r="AG89" s="455"/>
      <c r="AH89" s="451"/>
      <c r="AI89" s="452"/>
      <c r="AJ89" s="452"/>
      <c r="AK89" s="451">
        <v>0</v>
      </c>
      <c r="AL89" s="455"/>
      <c r="AM89" s="451"/>
      <c r="AN89" s="452"/>
      <c r="AO89" s="452"/>
      <c r="AP89" s="451">
        <v>0</v>
      </c>
      <c r="AQ89" s="455"/>
      <c r="AR89" s="451"/>
      <c r="AS89" s="452"/>
      <c r="AT89" s="452"/>
      <c r="AU89" s="451">
        <v>0</v>
      </c>
      <c r="AV89" s="455"/>
      <c r="AW89" s="451"/>
      <c r="AX89" s="452"/>
      <c r="AY89" s="452"/>
      <c r="AZ89" s="451">
        <v>0</v>
      </c>
      <c r="BA89" s="455"/>
      <c r="BB89" s="451"/>
      <c r="BC89" s="452"/>
      <c r="BD89" s="452"/>
      <c r="BE89" s="451">
        <v>0</v>
      </c>
      <c r="BF89" s="455"/>
      <c r="BG89" s="451"/>
      <c r="BH89" s="452"/>
      <c r="BI89" s="452"/>
      <c r="BJ89" s="451">
        <v>0</v>
      </c>
      <c r="BK89" s="455"/>
      <c r="BL89" s="451"/>
      <c r="BM89" s="452"/>
      <c r="BN89" s="452"/>
      <c r="BO89" s="451">
        <v>0</v>
      </c>
      <c r="BP89" s="455"/>
      <c r="BQ89" s="451"/>
      <c r="BR89" s="452"/>
      <c r="BS89" s="452"/>
      <c r="BT89" s="451">
        <f>SUM(L89:BO89)</f>
        <v>0</v>
      </c>
      <c r="BU89" s="455"/>
      <c r="BV89" s="451"/>
      <c r="BW89" s="452"/>
      <c r="BX89" s="452"/>
      <c r="BY89" s="451">
        <f>SUM(Q89:BT89)</f>
        <v>0</v>
      </c>
      <c r="BZ89" s="455"/>
      <c r="CA89" s="451"/>
      <c r="CB89" s="452"/>
      <c r="CC89" s="452"/>
      <c r="CD89" s="451">
        <v>0</v>
      </c>
      <c r="CE89" s="455"/>
      <c r="CF89" s="451"/>
      <c r="CG89" s="452"/>
      <c r="CH89" s="452"/>
      <c r="CI89" s="451">
        <v>0</v>
      </c>
      <c r="CJ89" s="455"/>
      <c r="CK89" s="451"/>
      <c r="CL89" s="452"/>
      <c r="CM89" s="452"/>
      <c r="CN89" s="451">
        <v>0</v>
      </c>
      <c r="CO89" s="455"/>
      <c r="CP89" s="451"/>
      <c r="CQ89" s="452"/>
      <c r="CR89" s="452"/>
      <c r="CS89" s="451">
        <v>0</v>
      </c>
      <c r="CT89" s="455"/>
      <c r="CU89" s="451"/>
      <c r="CV89" s="452"/>
      <c r="CW89" s="452"/>
      <c r="CX89" s="451">
        <v>0</v>
      </c>
      <c r="CY89" s="455"/>
      <c r="CZ89" s="451"/>
      <c r="DA89" s="452"/>
      <c r="DB89" s="452"/>
      <c r="DC89" s="451">
        <v>0</v>
      </c>
      <c r="DD89" s="455"/>
      <c r="DE89" s="451"/>
      <c r="DF89" s="452"/>
      <c r="DG89" s="452"/>
      <c r="DH89" s="451">
        <v>0</v>
      </c>
      <c r="DI89" s="455"/>
      <c r="DJ89" s="451"/>
      <c r="DK89" s="452"/>
      <c r="DL89" s="452"/>
      <c r="DM89" s="451">
        <v>0</v>
      </c>
      <c r="DN89" s="455"/>
      <c r="DO89" s="451"/>
      <c r="DP89" s="452"/>
      <c r="DQ89" s="452"/>
      <c r="DR89" s="451">
        <v>0</v>
      </c>
      <c r="DS89" s="455"/>
      <c r="DT89" s="451"/>
      <c r="DU89" s="452"/>
      <c r="DV89" s="452"/>
      <c r="DW89" s="451">
        <v>0</v>
      </c>
      <c r="DX89" s="455"/>
      <c r="DY89" s="451"/>
      <c r="DZ89" s="452"/>
      <c r="EA89" s="452"/>
      <c r="EB89" s="451">
        <v>0</v>
      </c>
      <c r="EC89" s="455"/>
      <c r="ED89" s="451"/>
      <c r="EE89" s="452"/>
      <c r="EF89" s="452"/>
      <c r="EG89" s="451">
        <v>0</v>
      </c>
      <c r="EH89" s="455"/>
      <c r="EI89" s="451"/>
      <c r="EJ89" s="452"/>
      <c r="EK89" s="452"/>
      <c r="EL89" s="451">
        <f>SUM(CD89:EG89)</f>
        <v>0</v>
      </c>
      <c r="EM89" s="455"/>
      <c r="EN89" s="451"/>
      <c r="EO89" s="13"/>
    </row>
    <row r="90" spans="4:145" ht="12.75" hidden="1" customHeight="1" x14ac:dyDescent="0.2">
      <c r="D90" s="13" t="s">
        <v>357</v>
      </c>
      <c r="E90" s="198"/>
      <c r="F90" s="385"/>
      <c r="G90" s="463">
        <v>0</v>
      </c>
      <c r="H90" s="464"/>
      <c r="I90" s="451"/>
      <c r="J90" s="452"/>
      <c r="K90" s="465"/>
      <c r="L90" s="463">
        <v>0</v>
      </c>
      <c r="M90" s="464"/>
      <c r="N90" s="451"/>
      <c r="O90" s="452"/>
      <c r="P90" s="465"/>
      <c r="Q90" s="463">
        <v>0</v>
      </c>
      <c r="R90" s="464"/>
      <c r="S90" s="451"/>
      <c r="T90" s="452"/>
      <c r="U90" s="465"/>
      <c r="V90" s="463">
        <v>0</v>
      </c>
      <c r="W90" s="464"/>
      <c r="X90" s="451"/>
      <c r="Y90" s="452"/>
      <c r="Z90" s="465"/>
      <c r="AA90" s="463">
        <v>0</v>
      </c>
      <c r="AB90" s="464"/>
      <c r="AC90" s="451"/>
      <c r="AD90" s="452"/>
      <c r="AE90" s="465"/>
      <c r="AF90" s="463">
        <v>0</v>
      </c>
      <c r="AG90" s="464"/>
      <c r="AH90" s="451"/>
      <c r="AI90" s="452"/>
      <c r="AJ90" s="465"/>
      <c r="AK90" s="463">
        <v>0</v>
      </c>
      <c r="AL90" s="464"/>
      <c r="AM90" s="451"/>
      <c r="AN90" s="452"/>
      <c r="AO90" s="465"/>
      <c r="AP90" s="463">
        <v>0</v>
      </c>
      <c r="AQ90" s="464"/>
      <c r="AR90" s="451"/>
      <c r="AS90" s="452"/>
      <c r="AT90" s="465"/>
      <c r="AU90" s="463">
        <v>0</v>
      </c>
      <c r="AV90" s="464"/>
      <c r="AW90" s="451"/>
      <c r="AX90" s="452"/>
      <c r="AY90" s="465"/>
      <c r="AZ90" s="463">
        <v>0</v>
      </c>
      <c r="BA90" s="464"/>
      <c r="BB90" s="451"/>
      <c r="BC90" s="452"/>
      <c r="BD90" s="465"/>
      <c r="BE90" s="463">
        <v>0</v>
      </c>
      <c r="BF90" s="464"/>
      <c r="BG90" s="451"/>
      <c r="BH90" s="452"/>
      <c r="BI90" s="465"/>
      <c r="BJ90" s="463">
        <v>0</v>
      </c>
      <c r="BK90" s="464"/>
      <c r="BL90" s="451"/>
      <c r="BM90" s="452"/>
      <c r="BN90" s="465"/>
      <c r="BO90" s="463">
        <v>0</v>
      </c>
      <c r="BP90" s="464"/>
      <c r="BQ90" s="451"/>
      <c r="BR90" s="452"/>
      <c r="BS90" s="465"/>
      <c r="BT90" s="463">
        <f>SUM(L90:BO90)</f>
        <v>0</v>
      </c>
      <c r="BU90" s="464"/>
      <c r="BV90" s="451"/>
      <c r="BW90" s="452"/>
      <c r="BX90" s="465"/>
      <c r="BY90" s="463">
        <f>SUM(Q90:BT90)</f>
        <v>0</v>
      </c>
      <c r="BZ90" s="464"/>
      <c r="CA90" s="451"/>
      <c r="CB90" s="452"/>
      <c r="CC90" s="465"/>
      <c r="CD90" s="463">
        <v>0</v>
      </c>
      <c r="CE90" s="464"/>
      <c r="CF90" s="451"/>
      <c r="CG90" s="452"/>
      <c r="CH90" s="465"/>
      <c r="CI90" s="463">
        <v>0</v>
      </c>
      <c r="CJ90" s="464"/>
      <c r="CK90" s="451"/>
      <c r="CL90" s="452"/>
      <c r="CM90" s="465"/>
      <c r="CN90" s="463">
        <v>0</v>
      </c>
      <c r="CO90" s="464"/>
      <c r="CP90" s="451"/>
      <c r="CQ90" s="452"/>
      <c r="CR90" s="465"/>
      <c r="CS90" s="463">
        <v>0</v>
      </c>
      <c r="CT90" s="464"/>
      <c r="CU90" s="451"/>
      <c r="CV90" s="452"/>
      <c r="CW90" s="465"/>
      <c r="CX90" s="463">
        <v>0</v>
      </c>
      <c r="CY90" s="464"/>
      <c r="CZ90" s="451"/>
      <c r="DA90" s="452"/>
      <c r="DB90" s="465"/>
      <c r="DC90" s="463">
        <v>0</v>
      </c>
      <c r="DD90" s="464"/>
      <c r="DE90" s="451"/>
      <c r="DF90" s="452"/>
      <c r="DG90" s="465"/>
      <c r="DH90" s="463">
        <v>0</v>
      </c>
      <c r="DI90" s="464"/>
      <c r="DJ90" s="451"/>
      <c r="DK90" s="452"/>
      <c r="DL90" s="465"/>
      <c r="DM90" s="463">
        <v>0</v>
      </c>
      <c r="DN90" s="464"/>
      <c r="DO90" s="451"/>
      <c r="DP90" s="452"/>
      <c r="DQ90" s="465"/>
      <c r="DR90" s="463">
        <v>0</v>
      </c>
      <c r="DS90" s="464"/>
      <c r="DT90" s="451"/>
      <c r="DU90" s="452"/>
      <c r="DV90" s="465"/>
      <c r="DW90" s="463">
        <v>0</v>
      </c>
      <c r="DX90" s="464"/>
      <c r="DY90" s="451"/>
      <c r="DZ90" s="452"/>
      <c r="EA90" s="465"/>
      <c r="EB90" s="463">
        <v>0</v>
      </c>
      <c r="EC90" s="464"/>
      <c r="ED90" s="451"/>
      <c r="EE90" s="452"/>
      <c r="EF90" s="465"/>
      <c r="EG90" s="463">
        <v>0</v>
      </c>
      <c r="EH90" s="464"/>
      <c r="EI90" s="451"/>
      <c r="EJ90" s="452"/>
      <c r="EK90" s="465"/>
      <c r="EL90" s="463">
        <f>SUM(CD90:EG90)</f>
        <v>0</v>
      </c>
      <c r="EM90" s="464"/>
      <c r="EN90" s="451"/>
      <c r="EO90" s="13"/>
    </row>
    <row r="91" spans="4:145" ht="12.75" hidden="1" customHeight="1" x14ac:dyDescent="0.2">
      <c r="D91" s="13"/>
      <c r="E91" s="198"/>
      <c r="G91" s="451"/>
      <c r="H91" s="451"/>
      <c r="I91" s="451"/>
      <c r="J91" s="452"/>
      <c r="K91" s="451"/>
      <c r="L91" s="451"/>
      <c r="M91" s="451"/>
      <c r="N91" s="451"/>
      <c r="O91" s="452"/>
      <c r="P91" s="451"/>
      <c r="Q91" s="451"/>
      <c r="R91" s="451"/>
      <c r="S91" s="451"/>
      <c r="T91" s="452"/>
      <c r="U91" s="451"/>
      <c r="V91" s="451"/>
      <c r="W91" s="451"/>
      <c r="X91" s="451"/>
      <c r="Y91" s="452"/>
      <c r="Z91" s="451"/>
      <c r="AA91" s="451"/>
      <c r="AB91" s="451"/>
      <c r="AC91" s="451"/>
      <c r="AD91" s="452"/>
      <c r="AE91" s="451"/>
      <c r="AF91" s="451"/>
      <c r="AG91" s="451"/>
      <c r="AH91" s="451"/>
      <c r="AI91" s="452"/>
      <c r="AJ91" s="451"/>
      <c r="AK91" s="451"/>
      <c r="AL91" s="451"/>
      <c r="AM91" s="451"/>
      <c r="AN91" s="452"/>
      <c r="AO91" s="451"/>
      <c r="AP91" s="451"/>
      <c r="AQ91" s="451"/>
      <c r="AR91" s="451"/>
      <c r="AS91" s="452"/>
      <c r="AT91" s="451"/>
      <c r="AU91" s="451"/>
      <c r="AV91" s="451"/>
      <c r="AW91" s="451"/>
      <c r="AX91" s="452"/>
      <c r="AY91" s="451"/>
      <c r="AZ91" s="451"/>
      <c r="BA91" s="451"/>
      <c r="BB91" s="451"/>
      <c r="BC91" s="452"/>
      <c r="BD91" s="451"/>
      <c r="BE91" s="451"/>
      <c r="BF91" s="451"/>
      <c r="BG91" s="451"/>
      <c r="BH91" s="452"/>
      <c r="BI91" s="451"/>
      <c r="BJ91" s="451"/>
      <c r="BK91" s="451"/>
      <c r="BL91" s="451"/>
      <c r="BM91" s="452"/>
      <c r="BN91" s="451"/>
      <c r="BO91" s="451"/>
      <c r="BP91" s="451"/>
      <c r="BQ91" s="451"/>
      <c r="BR91" s="452"/>
      <c r="BS91" s="451"/>
      <c r="BT91" s="451"/>
      <c r="BU91" s="451"/>
      <c r="BV91" s="451"/>
      <c r="BW91" s="452"/>
      <c r="BX91" s="451"/>
      <c r="BY91" s="451"/>
      <c r="BZ91" s="451"/>
      <c r="CA91" s="451"/>
      <c r="CB91" s="452"/>
      <c r="CC91" s="451"/>
      <c r="CD91" s="451"/>
      <c r="CE91" s="451"/>
      <c r="CF91" s="451"/>
      <c r="CG91" s="452"/>
      <c r="CH91" s="451"/>
      <c r="CI91" s="451"/>
      <c r="CJ91" s="451"/>
      <c r="CK91" s="451"/>
      <c r="CL91" s="452"/>
      <c r="CM91" s="451"/>
      <c r="CN91" s="451"/>
      <c r="CO91" s="451"/>
      <c r="CP91" s="451"/>
      <c r="CQ91" s="452"/>
      <c r="CR91" s="451"/>
      <c r="CS91" s="451"/>
      <c r="CT91" s="451"/>
      <c r="CU91" s="451"/>
      <c r="CV91" s="452"/>
      <c r="CW91" s="451"/>
      <c r="CX91" s="451"/>
      <c r="CY91" s="451"/>
      <c r="CZ91" s="451"/>
      <c r="DA91" s="452"/>
      <c r="DB91" s="451"/>
      <c r="DC91" s="451"/>
      <c r="DD91" s="451"/>
      <c r="DE91" s="451"/>
      <c r="DF91" s="452"/>
      <c r="DG91" s="451"/>
      <c r="DH91" s="451"/>
      <c r="DI91" s="451"/>
      <c r="DJ91" s="451"/>
      <c r="DK91" s="452"/>
      <c r="DL91" s="451"/>
      <c r="DM91" s="451"/>
      <c r="DN91" s="451"/>
      <c r="DO91" s="451"/>
      <c r="DP91" s="452"/>
      <c r="DQ91" s="451"/>
      <c r="DR91" s="451"/>
      <c r="DS91" s="451"/>
      <c r="DT91" s="451"/>
      <c r="DU91" s="452"/>
      <c r="DV91" s="451"/>
      <c r="DW91" s="451"/>
      <c r="DX91" s="451"/>
      <c r="DY91" s="451"/>
      <c r="DZ91" s="452"/>
      <c r="EA91" s="451"/>
      <c r="EB91" s="451"/>
      <c r="EC91" s="451"/>
      <c r="ED91" s="451"/>
      <c r="EE91" s="452"/>
      <c r="EF91" s="451"/>
      <c r="EG91" s="451"/>
      <c r="EH91" s="451"/>
      <c r="EI91" s="451"/>
      <c r="EJ91" s="452"/>
      <c r="EK91" s="451"/>
      <c r="EL91" s="451"/>
      <c r="EM91" s="451"/>
      <c r="EN91" s="451"/>
      <c r="EO91" s="13"/>
    </row>
    <row r="92" spans="4:145" ht="12.75" hidden="1" customHeight="1" x14ac:dyDescent="0.2">
      <c r="D92" s="13" t="s">
        <v>463</v>
      </c>
      <c r="E92" s="198"/>
      <c r="G92" s="451">
        <v>0</v>
      </c>
      <c r="H92" s="451"/>
      <c r="I92" s="451"/>
      <c r="J92" s="452"/>
      <c r="K92" s="451"/>
      <c r="L92" s="451">
        <f>SUM(L93:L95)</f>
        <v>0</v>
      </c>
      <c r="M92" s="451"/>
      <c r="N92" s="451"/>
      <c r="O92" s="452"/>
      <c r="P92" s="451"/>
      <c r="Q92" s="451">
        <f>SUM(Q93:Q95)</f>
        <v>0</v>
      </c>
      <c r="R92" s="451"/>
      <c r="S92" s="451"/>
      <c r="T92" s="452"/>
      <c r="U92" s="451"/>
      <c r="V92" s="451">
        <f>SUM(V93:V95)</f>
        <v>0</v>
      </c>
      <c r="W92" s="451"/>
      <c r="X92" s="451"/>
      <c r="Y92" s="452"/>
      <c r="Z92" s="451"/>
      <c r="AA92" s="451">
        <f>SUM(AA93:AA95)</f>
        <v>0</v>
      </c>
      <c r="AB92" s="451"/>
      <c r="AC92" s="451"/>
      <c r="AD92" s="452"/>
      <c r="AE92" s="451"/>
      <c r="AF92" s="451">
        <f>SUM(AF93:AF95)</f>
        <v>0</v>
      </c>
      <c r="AG92" s="451"/>
      <c r="AH92" s="451"/>
      <c r="AI92" s="452"/>
      <c r="AJ92" s="451"/>
      <c r="AK92" s="451">
        <f>SUM(AK93:AK95)</f>
        <v>0</v>
      </c>
      <c r="AL92" s="451"/>
      <c r="AM92" s="451"/>
      <c r="AN92" s="452"/>
      <c r="AO92" s="451"/>
      <c r="AP92" s="451">
        <f>SUM(AP93:AP95)</f>
        <v>0</v>
      </c>
      <c r="AQ92" s="451"/>
      <c r="AR92" s="451"/>
      <c r="AS92" s="452"/>
      <c r="AT92" s="451"/>
      <c r="AU92" s="451">
        <f>SUM(AU93:AU95)</f>
        <v>0</v>
      </c>
      <c r="AV92" s="451"/>
      <c r="AW92" s="451"/>
      <c r="AX92" s="452"/>
      <c r="AY92" s="451"/>
      <c r="AZ92" s="451">
        <f>SUM(AZ93:AZ95)</f>
        <v>0</v>
      </c>
      <c r="BA92" s="451"/>
      <c r="BB92" s="451"/>
      <c r="BC92" s="452"/>
      <c r="BD92" s="451"/>
      <c r="BE92" s="451">
        <f>SUM(BE93:BE95)</f>
        <v>0</v>
      </c>
      <c r="BF92" s="451"/>
      <c r="BG92" s="451"/>
      <c r="BH92" s="452"/>
      <c r="BI92" s="451"/>
      <c r="BJ92" s="451">
        <f>SUM(BJ93:BJ95)</f>
        <v>0</v>
      </c>
      <c r="BK92" s="451"/>
      <c r="BL92" s="451"/>
      <c r="BM92" s="452"/>
      <c r="BN92" s="451"/>
      <c r="BO92" s="451">
        <f>SUM(BO93:BO95)</f>
        <v>0</v>
      </c>
      <c r="BP92" s="451"/>
      <c r="BQ92" s="451"/>
      <c r="BR92" s="452"/>
      <c r="BS92" s="451"/>
      <c r="BT92" s="451">
        <f>SUM(BT93:BT95)</f>
        <v>0</v>
      </c>
      <c r="BU92" s="451"/>
      <c r="BV92" s="451"/>
      <c r="BW92" s="452"/>
      <c r="BX92" s="451"/>
      <c r="BY92" s="451">
        <f>SUM(BY93:BY95)</f>
        <v>0</v>
      </c>
      <c r="BZ92" s="451"/>
      <c r="CA92" s="451"/>
      <c r="CB92" s="452"/>
      <c r="CC92" s="451"/>
      <c r="CD92" s="451">
        <f>SUM(CD93:CD95)</f>
        <v>0</v>
      </c>
      <c r="CE92" s="451"/>
      <c r="CF92" s="451"/>
      <c r="CG92" s="452"/>
      <c r="CH92" s="451"/>
      <c r="CI92" s="451">
        <f>SUM(CI93:CI95)</f>
        <v>0</v>
      </c>
      <c r="CJ92" s="451"/>
      <c r="CK92" s="451"/>
      <c r="CL92" s="452"/>
      <c r="CM92" s="451"/>
      <c r="CN92" s="451">
        <f>SUM(CN93:CN95)</f>
        <v>0</v>
      </c>
      <c r="CO92" s="451"/>
      <c r="CP92" s="451"/>
      <c r="CQ92" s="452"/>
      <c r="CR92" s="451"/>
      <c r="CS92" s="451">
        <f>SUM(CS93:CS95)</f>
        <v>0</v>
      </c>
      <c r="CT92" s="451"/>
      <c r="CU92" s="451"/>
      <c r="CV92" s="452"/>
      <c r="CW92" s="451"/>
      <c r="CX92" s="451">
        <f>SUM(CX93:CX95)</f>
        <v>0</v>
      </c>
      <c r="CY92" s="451"/>
      <c r="CZ92" s="451"/>
      <c r="DA92" s="452"/>
      <c r="DB92" s="451"/>
      <c r="DC92" s="451">
        <f>SUM(DC93:DC95)</f>
        <v>0</v>
      </c>
      <c r="DD92" s="451"/>
      <c r="DE92" s="451"/>
      <c r="DF92" s="452"/>
      <c r="DG92" s="451"/>
      <c r="DH92" s="451">
        <f>SUM(DH93:DH95)</f>
        <v>0</v>
      </c>
      <c r="DI92" s="451"/>
      <c r="DJ92" s="451"/>
      <c r="DK92" s="452"/>
      <c r="DL92" s="451"/>
      <c r="DM92" s="451">
        <f>SUM(DM93:DM95)</f>
        <v>0</v>
      </c>
      <c r="DN92" s="451"/>
      <c r="DO92" s="451"/>
      <c r="DP92" s="452"/>
      <c r="DQ92" s="451"/>
      <c r="DR92" s="451">
        <f>SUM(DR93:DR95)</f>
        <v>0</v>
      </c>
      <c r="DS92" s="451"/>
      <c r="DT92" s="451"/>
      <c r="DU92" s="452"/>
      <c r="DV92" s="451"/>
      <c r="DW92" s="451">
        <f>SUM(DW93:DW95)</f>
        <v>0</v>
      </c>
      <c r="DX92" s="451"/>
      <c r="DY92" s="451"/>
      <c r="DZ92" s="452"/>
      <c r="EA92" s="451"/>
      <c r="EB92" s="451">
        <f>SUM(EB93:EB95)</f>
        <v>0</v>
      </c>
      <c r="EC92" s="451"/>
      <c r="ED92" s="451"/>
      <c r="EE92" s="452"/>
      <c r="EF92" s="451"/>
      <c r="EG92" s="451">
        <f>SUM(EG93:EG95)</f>
        <v>0</v>
      </c>
      <c r="EH92" s="451"/>
      <c r="EI92" s="451"/>
      <c r="EJ92" s="452"/>
      <c r="EK92" s="451"/>
      <c r="EL92" s="451">
        <f>SUM(EL93:EL95)</f>
        <v>0</v>
      </c>
      <c r="EM92" s="451"/>
      <c r="EN92" s="451"/>
      <c r="EO92" s="13"/>
    </row>
    <row r="93" spans="4:145" ht="12.75" hidden="1" customHeight="1" x14ac:dyDescent="0.2">
      <c r="D93" s="13" t="s">
        <v>347</v>
      </c>
      <c r="E93" s="198"/>
      <c r="F93" s="374"/>
      <c r="G93" s="449">
        <v>0</v>
      </c>
      <c r="H93" s="450"/>
      <c r="I93" s="451"/>
      <c r="J93" s="452"/>
      <c r="K93" s="453"/>
      <c r="L93" s="449">
        <v>0</v>
      </c>
      <c r="M93" s="450"/>
      <c r="N93" s="451"/>
      <c r="O93" s="452"/>
      <c r="P93" s="453"/>
      <c r="Q93" s="449">
        <v>0</v>
      </c>
      <c r="R93" s="450"/>
      <c r="S93" s="451"/>
      <c r="T93" s="452"/>
      <c r="U93" s="453"/>
      <c r="V93" s="449">
        <v>0</v>
      </c>
      <c r="W93" s="450"/>
      <c r="X93" s="451"/>
      <c r="Y93" s="452"/>
      <c r="Z93" s="453"/>
      <c r="AA93" s="449">
        <v>0</v>
      </c>
      <c r="AB93" s="450"/>
      <c r="AC93" s="451"/>
      <c r="AD93" s="452"/>
      <c r="AE93" s="453"/>
      <c r="AF93" s="449">
        <v>0</v>
      </c>
      <c r="AG93" s="450"/>
      <c r="AH93" s="451"/>
      <c r="AI93" s="452"/>
      <c r="AJ93" s="453"/>
      <c r="AK93" s="449">
        <v>0</v>
      </c>
      <c r="AL93" s="450"/>
      <c r="AM93" s="451"/>
      <c r="AN93" s="452"/>
      <c r="AO93" s="453"/>
      <c r="AP93" s="449">
        <v>0</v>
      </c>
      <c r="AQ93" s="450"/>
      <c r="AR93" s="451"/>
      <c r="AS93" s="452"/>
      <c r="AT93" s="453"/>
      <c r="AU93" s="449">
        <v>0</v>
      </c>
      <c r="AV93" s="450"/>
      <c r="AW93" s="451"/>
      <c r="AX93" s="452"/>
      <c r="AY93" s="453"/>
      <c r="AZ93" s="449">
        <v>0</v>
      </c>
      <c r="BA93" s="450"/>
      <c r="BB93" s="451"/>
      <c r="BC93" s="452"/>
      <c r="BD93" s="453"/>
      <c r="BE93" s="449">
        <v>0</v>
      </c>
      <c r="BF93" s="450"/>
      <c r="BG93" s="451"/>
      <c r="BH93" s="452"/>
      <c r="BI93" s="453"/>
      <c r="BJ93" s="449">
        <v>0</v>
      </c>
      <c r="BK93" s="450"/>
      <c r="BL93" s="451"/>
      <c r="BM93" s="452"/>
      <c r="BN93" s="453"/>
      <c r="BO93" s="449">
        <v>0</v>
      </c>
      <c r="BP93" s="450"/>
      <c r="BQ93" s="451"/>
      <c r="BR93" s="452"/>
      <c r="BS93" s="453"/>
      <c r="BT93" s="449">
        <f>SUM(L93:BO93)</f>
        <v>0</v>
      </c>
      <c r="BU93" s="450"/>
      <c r="BV93" s="451"/>
      <c r="BW93" s="452"/>
      <c r="BX93" s="453"/>
      <c r="BY93" s="449">
        <f>SUM(Q93:BT93)</f>
        <v>0</v>
      </c>
      <c r="BZ93" s="450"/>
      <c r="CA93" s="451"/>
      <c r="CB93" s="452"/>
      <c r="CC93" s="453"/>
      <c r="CD93" s="449">
        <v>0</v>
      </c>
      <c r="CE93" s="450"/>
      <c r="CF93" s="451"/>
      <c r="CG93" s="452"/>
      <c r="CH93" s="453"/>
      <c r="CI93" s="449">
        <v>0</v>
      </c>
      <c r="CJ93" s="450"/>
      <c r="CK93" s="451"/>
      <c r="CL93" s="452"/>
      <c r="CM93" s="453"/>
      <c r="CN93" s="449">
        <v>0</v>
      </c>
      <c r="CO93" s="450"/>
      <c r="CP93" s="451"/>
      <c r="CQ93" s="452"/>
      <c r="CR93" s="453"/>
      <c r="CS93" s="449">
        <v>0</v>
      </c>
      <c r="CT93" s="450"/>
      <c r="CU93" s="451"/>
      <c r="CV93" s="452"/>
      <c r="CW93" s="453"/>
      <c r="CX93" s="449">
        <v>0</v>
      </c>
      <c r="CY93" s="450"/>
      <c r="CZ93" s="451"/>
      <c r="DA93" s="452"/>
      <c r="DB93" s="453"/>
      <c r="DC93" s="449">
        <v>0</v>
      </c>
      <c r="DD93" s="450"/>
      <c r="DE93" s="451"/>
      <c r="DF93" s="452"/>
      <c r="DG93" s="453"/>
      <c r="DH93" s="449">
        <v>0</v>
      </c>
      <c r="DI93" s="450"/>
      <c r="DJ93" s="451"/>
      <c r="DK93" s="452"/>
      <c r="DL93" s="453"/>
      <c r="DM93" s="449">
        <v>0</v>
      </c>
      <c r="DN93" s="450"/>
      <c r="DO93" s="451"/>
      <c r="DP93" s="452"/>
      <c r="DQ93" s="453"/>
      <c r="DR93" s="449">
        <v>0</v>
      </c>
      <c r="DS93" s="450"/>
      <c r="DT93" s="451"/>
      <c r="DU93" s="452"/>
      <c r="DV93" s="453"/>
      <c r="DW93" s="449">
        <v>0</v>
      </c>
      <c r="DX93" s="450"/>
      <c r="DY93" s="451"/>
      <c r="DZ93" s="452"/>
      <c r="EA93" s="453"/>
      <c r="EB93" s="449">
        <v>0</v>
      </c>
      <c r="EC93" s="450"/>
      <c r="ED93" s="451"/>
      <c r="EE93" s="452"/>
      <c r="EF93" s="453"/>
      <c r="EG93" s="449">
        <v>0</v>
      </c>
      <c r="EH93" s="450"/>
      <c r="EI93" s="451"/>
      <c r="EJ93" s="452"/>
      <c r="EK93" s="453"/>
      <c r="EL93" s="449">
        <f>SUM(CD93:EG93)</f>
        <v>0</v>
      </c>
      <c r="EM93" s="450"/>
      <c r="EN93" s="451"/>
      <c r="EO93" s="13"/>
    </row>
    <row r="94" spans="4:145" ht="12.75" hidden="1" customHeight="1" x14ac:dyDescent="0.2">
      <c r="D94" s="13" t="s">
        <v>349</v>
      </c>
      <c r="E94" s="198"/>
      <c r="F94" s="198"/>
      <c r="G94" s="451">
        <v>0</v>
      </c>
      <c r="H94" s="455"/>
      <c r="I94" s="451"/>
      <c r="J94" s="452"/>
      <c r="K94" s="452"/>
      <c r="L94" s="451">
        <v>0</v>
      </c>
      <c r="M94" s="455"/>
      <c r="N94" s="451"/>
      <c r="O94" s="452"/>
      <c r="P94" s="452"/>
      <c r="Q94" s="451">
        <v>0</v>
      </c>
      <c r="R94" s="455"/>
      <c r="S94" s="451"/>
      <c r="T94" s="452"/>
      <c r="U94" s="452"/>
      <c r="V94" s="451">
        <v>0</v>
      </c>
      <c r="W94" s="455"/>
      <c r="X94" s="451"/>
      <c r="Y94" s="452"/>
      <c r="Z94" s="452"/>
      <c r="AA94" s="451">
        <v>0</v>
      </c>
      <c r="AB94" s="455"/>
      <c r="AC94" s="451"/>
      <c r="AD94" s="452"/>
      <c r="AE94" s="452"/>
      <c r="AF94" s="451">
        <v>0</v>
      </c>
      <c r="AG94" s="455"/>
      <c r="AH94" s="451"/>
      <c r="AI94" s="452"/>
      <c r="AJ94" s="452"/>
      <c r="AK94" s="451">
        <v>0</v>
      </c>
      <c r="AL94" s="455"/>
      <c r="AM94" s="451"/>
      <c r="AN94" s="452"/>
      <c r="AO94" s="452"/>
      <c r="AP94" s="451">
        <v>0</v>
      </c>
      <c r="AQ94" s="455"/>
      <c r="AR94" s="451"/>
      <c r="AS94" s="452"/>
      <c r="AT94" s="452"/>
      <c r="AU94" s="451">
        <v>0</v>
      </c>
      <c r="AV94" s="455"/>
      <c r="AW94" s="451"/>
      <c r="AX94" s="452"/>
      <c r="AY94" s="452"/>
      <c r="AZ94" s="451">
        <v>0</v>
      </c>
      <c r="BA94" s="455"/>
      <c r="BB94" s="451"/>
      <c r="BC94" s="452"/>
      <c r="BD94" s="452"/>
      <c r="BE94" s="451">
        <v>0</v>
      </c>
      <c r="BF94" s="455"/>
      <c r="BG94" s="451"/>
      <c r="BH94" s="452"/>
      <c r="BI94" s="452"/>
      <c r="BJ94" s="451">
        <v>0</v>
      </c>
      <c r="BK94" s="455"/>
      <c r="BL94" s="451"/>
      <c r="BM94" s="452"/>
      <c r="BN94" s="452"/>
      <c r="BO94" s="451">
        <v>0</v>
      </c>
      <c r="BP94" s="455"/>
      <c r="BQ94" s="451"/>
      <c r="BR94" s="452"/>
      <c r="BS94" s="452"/>
      <c r="BT94" s="451">
        <f>SUM(L94:BO94)</f>
        <v>0</v>
      </c>
      <c r="BU94" s="455"/>
      <c r="BV94" s="451"/>
      <c r="BW94" s="452"/>
      <c r="BX94" s="452"/>
      <c r="BY94" s="451">
        <f>SUM(Q94:BT94)</f>
        <v>0</v>
      </c>
      <c r="BZ94" s="455"/>
      <c r="CA94" s="451"/>
      <c r="CB94" s="452"/>
      <c r="CC94" s="452"/>
      <c r="CD94" s="451">
        <v>0</v>
      </c>
      <c r="CE94" s="455"/>
      <c r="CF94" s="451"/>
      <c r="CG94" s="452"/>
      <c r="CH94" s="452"/>
      <c r="CI94" s="451">
        <v>0</v>
      </c>
      <c r="CJ94" s="455"/>
      <c r="CK94" s="451"/>
      <c r="CL94" s="452"/>
      <c r="CM94" s="452"/>
      <c r="CN94" s="451">
        <v>0</v>
      </c>
      <c r="CO94" s="455"/>
      <c r="CP94" s="451"/>
      <c r="CQ94" s="452"/>
      <c r="CR94" s="452"/>
      <c r="CS94" s="451">
        <v>0</v>
      </c>
      <c r="CT94" s="455"/>
      <c r="CU94" s="451"/>
      <c r="CV94" s="452"/>
      <c r="CW94" s="452"/>
      <c r="CX94" s="451">
        <v>0</v>
      </c>
      <c r="CY94" s="455"/>
      <c r="CZ94" s="451"/>
      <c r="DA94" s="452"/>
      <c r="DB94" s="452"/>
      <c r="DC94" s="451">
        <v>0</v>
      </c>
      <c r="DD94" s="455"/>
      <c r="DE94" s="451"/>
      <c r="DF94" s="452"/>
      <c r="DG94" s="452"/>
      <c r="DH94" s="451">
        <v>0</v>
      </c>
      <c r="DI94" s="455"/>
      <c r="DJ94" s="451"/>
      <c r="DK94" s="452"/>
      <c r="DL94" s="452"/>
      <c r="DM94" s="451">
        <v>0</v>
      </c>
      <c r="DN94" s="455"/>
      <c r="DO94" s="451"/>
      <c r="DP94" s="452"/>
      <c r="DQ94" s="452"/>
      <c r="DR94" s="451">
        <v>0</v>
      </c>
      <c r="DS94" s="455"/>
      <c r="DT94" s="451"/>
      <c r="DU94" s="452"/>
      <c r="DV94" s="452"/>
      <c r="DW94" s="451">
        <v>0</v>
      </c>
      <c r="DX94" s="455"/>
      <c r="DY94" s="451"/>
      <c r="DZ94" s="452"/>
      <c r="EA94" s="452"/>
      <c r="EB94" s="451">
        <v>0</v>
      </c>
      <c r="EC94" s="455"/>
      <c r="ED94" s="451"/>
      <c r="EE94" s="452"/>
      <c r="EF94" s="452"/>
      <c r="EG94" s="451">
        <v>0</v>
      </c>
      <c r="EH94" s="455"/>
      <c r="EI94" s="451"/>
      <c r="EJ94" s="452"/>
      <c r="EK94" s="452"/>
      <c r="EL94" s="451">
        <f>SUM(CD94:EG94)</f>
        <v>0</v>
      </c>
      <c r="EM94" s="455"/>
      <c r="EN94" s="451"/>
      <c r="EO94" s="13"/>
    </row>
    <row r="95" spans="4:145" ht="12.75" hidden="1" customHeight="1" x14ac:dyDescent="0.2">
      <c r="D95" s="13" t="s">
        <v>357</v>
      </c>
      <c r="E95" s="198"/>
      <c r="F95" s="385"/>
      <c r="G95" s="463">
        <v>0</v>
      </c>
      <c r="H95" s="464"/>
      <c r="I95" s="451"/>
      <c r="J95" s="452"/>
      <c r="K95" s="465"/>
      <c r="L95" s="463">
        <v>0</v>
      </c>
      <c r="M95" s="464"/>
      <c r="N95" s="451"/>
      <c r="O95" s="452"/>
      <c r="P95" s="465"/>
      <c r="Q95" s="463">
        <v>0</v>
      </c>
      <c r="R95" s="464"/>
      <c r="S95" s="451"/>
      <c r="T95" s="452"/>
      <c r="U95" s="465"/>
      <c r="V95" s="463">
        <v>0</v>
      </c>
      <c r="W95" s="464"/>
      <c r="X95" s="451"/>
      <c r="Y95" s="452"/>
      <c r="Z95" s="465"/>
      <c r="AA95" s="463">
        <v>0</v>
      </c>
      <c r="AB95" s="464"/>
      <c r="AC95" s="451"/>
      <c r="AD95" s="452"/>
      <c r="AE95" s="465"/>
      <c r="AF95" s="463">
        <v>0</v>
      </c>
      <c r="AG95" s="464"/>
      <c r="AH95" s="451"/>
      <c r="AI95" s="452"/>
      <c r="AJ95" s="465"/>
      <c r="AK95" s="463">
        <v>0</v>
      </c>
      <c r="AL95" s="464"/>
      <c r="AM95" s="451"/>
      <c r="AN95" s="452"/>
      <c r="AO95" s="465"/>
      <c r="AP95" s="463">
        <v>0</v>
      </c>
      <c r="AQ95" s="464"/>
      <c r="AR95" s="451"/>
      <c r="AS95" s="452"/>
      <c r="AT95" s="465"/>
      <c r="AU95" s="463">
        <v>0</v>
      </c>
      <c r="AV95" s="464"/>
      <c r="AW95" s="451"/>
      <c r="AX95" s="452"/>
      <c r="AY95" s="465"/>
      <c r="AZ95" s="463">
        <v>0</v>
      </c>
      <c r="BA95" s="464"/>
      <c r="BB95" s="451"/>
      <c r="BC95" s="452"/>
      <c r="BD95" s="465"/>
      <c r="BE95" s="463">
        <v>0</v>
      </c>
      <c r="BF95" s="464"/>
      <c r="BG95" s="451"/>
      <c r="BH95" s="452"/>
      <c r="BI95" s="465"/>
      <c r="BJ95" s="463">
        <v>0</v>
      </c>
      <c r="BK95" s="464"/>
      <c r="BL95" s="451"/>
      <c r="BM95" s="452"/>
      <c r="BN95" s="465"/>
      <c r="BO95" s="463">
        <v>0</v>
      </c>
      <c r="BP95" s="464"/>
      <c r="BQ95" s="451"/>
      <c r="BR95" s="452"/>
      <c r="BS95" s="465"/>
      <c r="BT95" s="463">
        <f>SUM(L95:BO95)</f>
        <v>0</v>
      </c>
      <c r="BU95" s="464"/>
      <c r="BV95" s="451"/>
      <c r="BW95" s="452"/>
      <c r="BX95" s="465"/>
      <c r="BY95" s="463">
        <f>SUM(Q95:BT95)</f>
        <v>0</v>
      </c>
      <c r="BZ95" s="464"/>
      <c r="CA95" s="451"/>
      <c r="CB95" s="452"/>
      <c r="CC95" s="465"/>
      <c r="CD95" s="463">
        <v>0</v>
      </c>
      <c r="CE95" s="464"/>
      <c r="CF95" s="451"/>
      <c r="CG95" s="452"/>
      <c r="CH95" s="465"/>
      <c r="CI95" s="463">
        <v>0</v>
      </c>
      <c r="CJ95" s="464"/>
      <c r="CK95" s="451"/>
      <c r="CL95" s="452"/>
      <c r="CM95" s="465"/>
      <c r="CN95" s="463">
        <v>0</v>
      </c>
      <c r="CO95" s="464"/>
      <c r="CP95" s="451"/>
      <c r="CQ95" s="452"/>
      <c r="CR95" s="465"/>
      <c r="CS95" s="463">
        <v>0</v>
      </c>
      <c r="CT95" s="464"/>
      <c r="CU95" s="451"/>
      <c r="CV95" s="452"/>
      <c r="CW95" s="465"/>
      <c r="CX95" s="463">
        <v>0</v>
      </c>
      <c r="CY95" s="464"/>
      <c r="CZ95" s="451"/>
      <c r="DA95" s="452"/>
      <c r="DB95" s="465"/>
      <c r="DC95" s="463">
        <v>0</v>
      </c>
      <c r="DD95" s="464"/>
      <c r="DE95" s="451"/>
      <c r="DF95" s="452"/>
      <c r="DG95" s="465"/>
      <c r="DH95" s="463">
        <v>0</v>
      </c>
      <c r="DI95" s="464"/>
      <c r="DJ95" s="451"/>
      <c r="DK95" s="452"/>
      <c r="DL95" s="465"/>
      <c r="DM95" s="463">
        <v>0</v>
      </c>
      <c r="DN95" s="464"/>
      <c r="DO95" s="451"/>
      <c r="DP95" s="452"/>
      <c r="DQ95" s="465"/>
      <c r="DR95" s="463">
        <v>0</v>
      </c>
      <c r="DS95" s="464"/>
      <c r="DT95" s="451"/>
      <c r="DU95" s="452"/>
      <c r="DV95" s="465"/>
      <c r="DW95" s="463">
        <v>0</v>
      </c>
      <c r="DX95" s="464"/>
      <c r="DY95" s="451"/>
      <c r="DZ95" s="452"/>
      <c r="EA95" s="465"/>
      <c r="EB95" s="463">
        <v>0</v>
      </c>
      <c r="EC95" s="464"/>
      <c r="ED95" s="451"/>
      <c r="EE95" s="452"/>
      <c r="EF95" s="465"/>
      <c r="EG95" s="463">
        <v>0</v>
      </c>
      <c r="EH95" s="464"/>
      <c r="EI95" s="451"/>
      <c r="EJ95" s="452"/>
      <c r="EK95" s="465"/>
      <c r="EL95" s="463">
        <f>SUM(CD95:EG95)</f>
        <v>0</v>
      </c>
      <c r="EM95" s="464"/>
      <c r="EN95" s="451"/>
      <c r="EO95" s="13"/>
    </row>
    <row r="96" spans="4:145" ht="12.75" hidden="1" customHeight="1" x14ac:dyDescent="0.2">
      <c r="D96" s="13"/>
      <c r="E96" s="198"/>
      <c r="G96" s="451"/>
      <c r="H96" s="451"/>
      <c r="I96" s="451"/>
      <c r="J96" s="452"/>
      <c r="K96" s="451"/>
      <c r="L96" s="451"/>
      <c r="M96" s="451"/>
      <c r="N96" s="451"/>
      <c r="O96" s="452"/>
      <c r="P96" s="451"/>
      <c r="Q96" s="451"/>
      <c r="R96" s="451"/>
      <c r="S96" s="451"/>
      <c r="T96" s="452"/>
      <c r="U96" s="451"/>
      <c r="V96" s="451"/>
      <c r="W96" s="451"/>
      <c r="X96" s="451"/>
      <c r="Y96" s="452"/>
      <c r="Z96" s="451"/>
      <c r="AA96" s="451"/>
      <c r="AB96" s="451"/>
      <c r="AC96" s="451"/>
      <c r="AD96" s="452"/>
      <c r="AE96" s="451"/>
      <c r="AF96" s="451"/>
      <c r="AG96" s="451"/>
      <c r="AH96" s="451"/>
      <c r="AI96" s="452"/>
      <c r="AJ96" s="451"/>
      <c r="AK96" s="451"/>
      <c r="AL96" s="451"/>
      <c r="AM96" s="451"/>
      <c r="AN96" s="452"/>
      <c r="AO96" s="451"/>
      <c r="AP96" s="451"/>
      <c r="AQ96" s="451"/>
      <c r="AR96" s="451"/>
      <c r="AS96" s="452"/>
      <c r="AT96" s="451"/>
      <c r="AU96" s="451"/>
      <c r="AV96" s="451"/>
      <c r="AW96" s="451"/>
      <c r="AX96" s="452"/>
      <c r="AY96" s="451"/>
      <c r="AZ96" s="451"/>
      <c r="BA96" s="451"/>
      <c r="BB96" s="451"/>
      <c r="BC96" s="452"/>
      <c r="BD96" s="451"/>
      <c r="BE96" s="451"/>
      <c r="BF96" s="451"/>
      <c r="BG96" s="451"/>
      <c r="BH96" s="452"/>
      <c r="BI96" s="451"/>
      <c r="BJ96" s="451"/>
      <c r="BK96" s="451"/>
      <c r="BL96" s="451"/>
      <c r="BM96" s="452"/>
      <c r="BN96" s="451"/>
      <c r="BO96" s="451"/>
      <c r="BP96" s="451"/>
      <c r="BQ96" s="451"/>
      <c r="BR96" s="452"/>
      <c r="BS96" s="451"/>
      <c r="BT96" s="451"/>
      <c r="BU96" s="451"/>
      <c r="BV96" s="451"/>
      <c r="BW96" s="452"/>
      <c r="BX96" s="451"/>
      <c r="BY96" s="451"/>
      <c r="BZ96" s="451"/>
      <c r="CA96" s="451"/>
      <c r="CB96" s="452"/>
      <c r="CC96" s="451"/>
      <c r="CD96" s="451"/>
      <c r="CE96" s="451"/>
      <c r="CF96" s="451"/>
      <c r="CG96" s="452"/>
      <c r="CH96" s="451"/>
      <c r="CI96" s="451"/>
      <c r="CJ96" s="451"/>
      <c r="CK96" s="451"/>
      <c r="CL96" s="452"/>
      <c r="CM96" s="451"/>
      <c r="CN96" s="451"/>
      <c r="CO96" s="451"/>
      <c r="CP96" s="451"/>
      <c r="CQ96" s="452"/>
      <c r="CR96" s="451"/>
      <c r="CS96" s="451"/>
      <c r="CT96" s="451"/>
      <c r="CU96" s="451"/>
      <c r="CV96" s="452"/>
      <c r="CW96" s="451"/>
      <c r="CX96" s="451"/>
      <c r="CY96" s="451"/>
      <c r="CZ96" s="451"/>
      <c r="DA96" s="452"/>
      <c r="DB96" s="451"/>
      <c r="DC96" s="451"/>
      <c r="DD96" s="451"/>
      <c r="DE96" s="451"/>
      <c r="DF96" s="452"/>
      <c r="DG96" s="451"/>
      <c r="DH96" s="451"/>
      <c r="DI96" s="451"/>
      <c r="DJ96" s="451"/>
      <c r="DK96" s="452"/>
      <c r="DL96" s="451"/>
      <c r="DM96" s="451"/>
      <c r="DN96" s="451"/>
      <c r="DO96" s="451"/>
      <c r="DP96" s="452"/>
      <c r="DQ96" s="451"/>
      <c r="DR96" s="451"/>
      <c r="DS96" s="451"/>
      <c r="DT96" s="451"/>
      <c r="DU96" s="452"/>
      <c r="DV96" s="451"/>
      <c r="DW96" s="451"/>
      <c r="DX96" s="451"/>
      <c r="DY96" s="451"/>
      <c r="DZ96" s="452"/>
      <c r="EA96" s="451"/>
      <c r="EB96" s="451"/>
      <c r="EC96" s="451"/>
      <c r="ED96" s="451"/>
      <c r="EE96" s="452"/>
      <c r="EF96" s="451"/>
      <c r="EG96" s="451"/>
      <c r="EH96" s="451"/>
      <c r="EI96" s="451"/>
      <c r="EJ96" s="452"/>
      <c r="EK96" s="451"/>
      <c r="EL96" s="451"/>
      <c r="EM96" s="451"/>
      <c r="EN96" s="451"/>
      <c r="EO96" s="13"/>
    </row>
    <row r="97" spans="4:145" ht="12.75" hidden="1" customHeight="1" x14ac:dyDescent="0.2">
      <c r="D97" s="13" t="s">
        <v>464</v>
      </c>
      <c r="E97" s="198"/>
      <c r="G97" s="451">
        <v>0</v>
      </c>
      <c r="H97" s="451"/>
      <c r="I97" s="451"/>
      <c r="J97" s="452"/>
      <c r="K97" s="451"/>
      <c r="L97" s="451">
        <f>SUM(L98:L100)</f>
        <v>0</v>
      </c>
      <c r="M97" s="451"/>
      <c r="N97" s="451"/>
      <c r="O97" s="452"/>
      <c r="P97" s="451"/>
      <c r="Q97" s="451">
        <f>SUM(Q98:Q100)</f>
        <v>0</v>
      </c>
      <c r="R97" s="451"/>
      <c r="S97" s="451"/>
      <c r="T97" s="452"/>
      <c r="U97" s="451"/>
      <c r="V97" s="451">
        <f>SUM(V98:V100)</f>
        <v>0</v>
      </c>
      <c r="W97" s="451"/>
      <c r="X97" s="451"/>
      <c r="Y97" s="452"/>
      <c r="Z97" s="451"/>
      <c r="AA97" s="451">
        <f>SUM(AA98:AA100)</f>
        <v>0</v>
      </c>
      <c r="AB97" s="451"/>
      <c r="AC97" s="451"/>
      <c r="AD97" s="452"/>
      <c r="AE97" s="451"/>
      <c r="AF97" s="451">
        <f>SUM(AF98:AF100)</f>
        <v>0</v>
      </c>
      <c r="AG97" s="451"/>
      <c r="AH97" s="451"/>
      <c r="AI97" s="452"/>
      <c r="AJ97" s="451"/>
      <c r="AK97" s="451">
        <f>SUM(AK98:AK100)</f>
        <v>0</v>
      </c>
      <c r="AL97" s="451"/>
      <c r="AM97" s="451"/>
      <c r="AN97" s="452"/>
      <c r="AO97" s="451"/>
      <c r="AP97" s="451">
        <f>SUM(AP98:AP100)</f>
        <v>0</v>
      </c>
      <c r="AQ97" s="451"/>
      <c r="AR97" s="451"/>
      <c r="AS97" s="452"/>
      <c r="AT97" s="451"/>
      <c r="AU97" s="451">
        <f>SUM(AU98:AU100)</f>
        <v>0</v>
      </c>
      <c r="AV97" s="451"/>
      <c r="AW97" s="451"/>
      <c r="AX97" s="452"/>
      <c r="AY97" s="451"/>
      <c r="AZ97" s="451">
        <f>SUM(AZ98:AZ100)</f>
        <v>0</v>
      </c>
      <c r="BA97" s="451"/>
      <c r="BB97" s="451"/>
      <c r="BC97" s="452"/>
      <c r="BD97" s="451"/>
      <c r="BE97" s="451">
        <f>SUM(BE98:BE100)</f>
        <v>0</v>
      </c>
      <c r="BF97" s="451"/>
      <c r="BG97" s="451"/>
      <c r="BH97" s="452"/>
      <c r="BI97" s="451"/>
      <c r="BJ97" s="451">
        <f>SUM(BJ98:BJ100)</f>
        <v>0</v>
      </c>
      <c r="BK97" s="451"/>
      <c r="BL97" s="451"/>
      <c r="BM97" s="452"/>
      <c r="BN97" s="451"/>
      <c r="BO97" s="451">
        <f>SUM(BO98:BO100)</f>
        <v>0</v>
      </c>
      <c r="BP97" s="451"/>
      <c r="BQ97" s="451"/>
      <c r="BR97" s="452"/>
      <c r="BS97" s="451"/>
      <c r="BT97" s="451">
        <f>SUM(BT98:BT100)</f>
        <v>0</v>
      </c>
      <c r="BU97" s="451"/>
      <c r="BV97" s="451"/>
      <c r="BW97" s="452"/>
      <c r="BX97" s="451"/>
      <c r="BY97" s="451">
        <f>SUM(BY98:BY100)</f>
        <v>0</v>
      </c>
      <c r="BZ97" s="451"/>
      <c r="CA97" s="451"/>
      <c r="CB97" s="452"/>
      <c r="CC97" s="451"/>
      <c r="CD97" s="451">
        <f>SUM(CD98:CD100)</f>
        <v>0</v>
      </c>
      <c r="CE97" s="451"/>
      <c r="CF97" s="451"/>
      <c r="CG97" s="452"/>
      <c r="CH97" s="451"/>
      <c r="CI97" s="451">
        <f>SUM(CI98:CI100)</f>
        <v>0</v>
      </c>
      <c r="CJ97" s="451"/>
      <c r="CK97" s="451"/>
      <c r="CL97" s="452"/>
      <c r="CM97" s="451"/>
      <c r="CN97" s="451">
        <f>SUM(CN98:CN100)</f>
        <v>0</v>
      </c>
      <c r="CO97" s="451"/>
      <c r="CP97" s="451"/>
      <c r="CQ97" s="452"/>
      <c r="CR97" s="451"/>
      <c r="CS97" s="451">
        <f>SUM(CS98:CS100)</f>
        <v>0</v>
      </c>
      <c r="CT97" s="451"/>
      <c r="CU97" s="451"/>
      <c r="CV97" s="452"/>
      <c r="CW97" s="451"/>
      <c r="CX97" s="451">
        <f>SUM(CX98:CX100)</f>
        <v>0</v>
      </c>
      <c r="CY97" s="451"/>
      <c r="CZ97" s="451"/>
      <c r="DA97" s="452"/>
      <c r="DB97" s="451"/>
      <c r="DC97" s="451">
        <f>SUM(DC98:DC100)</f>
        <v>0</v>
      </c>
      <c r="DD97" s="451"/>
      <c r="DE97" s="451"/>
      <c r="DF97" s="452"/>
      <c r="DG97" s="451"/>
      <c r="DH97" s="451">
        <f>SUM(DH98:DH100)</f>
        <v>0</v>
      </c>
      <c r="DI97" s="451"/>
      <c r="DJ97" s="451"/>
      <c r="DK97" s="452"/>
      <c r="DL97" s="451"/>
      <c r="DM97" s="451">
        <f>SUM(DM98:DM100)</f>
        <v>0</v>
      </c>
      <c r="DN97" s="451"/>
      <c r="DO97" s="451"/>
      <c r="DP97" s="452"/>
      <c r="DQ97" s="451"/>
      <c r="DR97" s="451">
        <f>SUM(DR98:DR100)</f>
        <v>0</v>
      </c>
      <c r="DS97" s="451"/>
      <c r="DT97" s="451"/>
      <c r="DU97" s="452"/>
      <c r="DV97" s="451"/>
      <c r="DW97" s="451">
        <f>SUM(DW98:DW100)</f>
        <v>0</v>
      </c>
      <c r="DX97" s="451"/>
      <c r="DY97" s="451"/>
      <c r="DZ97" s="452"/>
      <c r="EA97" s="451"/>
      <c r="EB97" s="451">
        <f>SUM(EB98:EB100)</f>
        <v>0</v>
      </c>
      <c r="EC97" s="451"/>
      <c r="ED97" s="451"/>
      <c r="EE97" s="452"/>
      <c r="EF97" s="451"/>
      <c r="EG97" s="451">
        <f>SUM(EG98:EG100)</f>
        <v>0</v>
      </c>
      <c r="EH97" s="451"/>
      <c r="EI97" s="451"/>
      <c r="EJ97" s="452"/>
      <c r="EK97" s="451"/>
      <c r="EL97" s="451">
        <f>SUM(EL98:EL100)</f>
        <v>0</v>
      </c>
      <c r="EM97" s="451"/>
      <c r="EN97" s="451"/>
      <c r="EO97" s="13"/>
    </row>
    <row r="98" spans="4:145" ht="12.75" hidden="1" customHeight="1" x14ac:dyDescent="0.2">
      <c r="D98" s="13" t="s">
        <v>347</v>
      </c>
      <c r="E98" s="198"/>
      <c r="F98" s="374"/>
      <c r="G98" s="449">
        <v>0</v>
      </c>
      <c r="H98" s="450"/>
      <c r="I98" s="451"/>
      <c r="J98" s="452"/>
      <c r="K98" s="453"/>
      <c r="L98" s="449">
        <v>0</v>
      </c>
      <c r="M98" s="450"/>
      <c r="N98" s="451"/>
      <c r="O98" s="452"/>
      <c r="P98" s="453"/>
      <c r="Q98" s="449">
        <v>0</v>
      </c>
      <c r="R98" s="450"/>
      <c r="S98" s="451"/>
      <c r="T98" s="452"/>
      <c r="U98" s="453"/>
      <c r="V98" s="449">
        <v>0</v>
      </c>
      <c r="W98" s="450"/>
      <c r="X98" s="451"/>
      <c r="Y98" s="452"/>
      <c r="Z98" s="453"/>
      <c r="AA98" s="449">
        <v>0</v>
      </c>
      <c r="AB98" s="450"/>
      <c r="AC98" s="451"/>
      <c r="AD98" s="452"/>
      <c r="AE98" s="453"/>
      <c r="AF98" s="449">
        <v>0</v>
      </c>
      <c r="AG98" s="450"/>
      <c r="AH98" s="451"/>
      <c r="AI98" s="452"/>
      <c r="AJ98" s="453"/>
      <c r="AK98" s="449">
        <v>0</v>
      </c>
      <c r="AL98" s="450"/>
      <c r="AM98" s="451"/>
      <c r="AN98" s="452"/>
      <c r="AO98" s="453"/>
      <c r="AP98" s="449">
        <v>0</v>
      </c>
      <c r="AQ98" s="450"/>
      <c r="AR98" s="451"/>
      <c r="AS98" s="452"/>
      <c r="AT98" s="453"/>
      <c r="AU98" s="449">
        <v>0</v>
      </c>
      <c r="AV98" s="450"/>
      <c r="AW98" s="451"/>
      <c r="AX98" s="452"/>
      <c r="AY98" s="453"/>
      <c r="AZ98" s="449">
        <v>0</v>
      </c>
      <c r="BA98" s="450"/>
      <c r="BB98" s="451"/>
      <c r="BC98" s="452"/>
      <c r="BD98" s="453"/>
      <c r="BE98" s="449">
        <v>0</v>
      </c>
      <c r="BF98" s="450"/>
      <c r="BG98" s="451"/>
      <c r="BH98" s="452"/>
      <c r="BI98" s="453"/>
      <c r="BJ98" s="449">
        <v>0</v>
      </c>
      <c r="BK98" s="450"/>
      <c r="BL98" s="451"/>
      <c r="BM98" s="452"/>
      <c r="BN98" s="453"/>
      <c r="BO98" s="449">
        <v>0</v>
      </c>
      <c r="BP98" s="450"/>
      <c r="BQ98" s="451"/>
      <c r="BR98" s="452"/>
      <c r="BS98" s="453"/>
      <c r="BT98" s="449">
        <f>SUM(L98:BO98)</f>
        <v>0</v>
      </c>
      <c r="BU98" s="450"/>
      <c r="BV98" s="451"/>
      <c r="BW98" s="452"/>
      <c r="BX98" s="453"/>
      <c r="BY98" s="449">
        <f>SUM(Q98:BT98)</f>
        <v>0</v>
      </c>
      <c r="BZ98" s="450"/>
      <c r="CA98" s="451"/>
      <c r="CB98" s="452"/>
      <c r="CC98" s="453"/>
      <c r="CD98" s="449">
        <v>0</v>
      </c>
      <c r="CE98" s="450"/>
      <c r="CF98" s="451"/>
      <c r="CG98" s="452"/>
      <c r="CH98" s="453"/>
      <c r="CI98" s="449">
        <v>0</v>
      </c>
      <c r="CJ98" s="450"/>
      <c r="CK98" s="451"/>
      <c r="CL98" s="452"/>
      <c r="CM98" s="453"/>
      <c r="CN98" s="449">
        <v>0</v>
      </c>
      <c r="CO98" s="450"/>
      <c r="CP98" s="451"/>
      <c r="CQ98" s="452"/>
      <c r="CR98" s="453"/>
      <c r="CS98" s="449">
        <v>0</v>
      </c>
      <c r="CT98" s="450"/>
      <c r="CU98" s="451"/>
      <c r="CV98" s="452"/>
      <c r="CW98" s="453"/>
      <c r="CX98" s="449">
        <v>0</v>
      </c>
      <c r="CY98" s="450"/>
      <c r="CZ98" s="451"/>
      <c r="DA98" s="452"/>
      <c r="DB98" s="453"/>
      <c r="DC98" s="449">
        <v>0</v>
      </c>
      <c r="DD98" s="450"/>
      <c r="DE98" s="451"/>
      <c r="DF98" s="452"/>
      <c r="DG98" s="453"/>
      <c r="DH98" s="449">
        <v>0</v>
      </c>
      <c r="DI98" s="450"/>
      <c r="DJ98" s="451"/>
      <c r="DK98" s="452"/>
      <c r="DL98" s="453"/>
      <c r="DM98" s="449">
        <v>0</v>
      </c>
      <c r="DN98" s="450"/>
      <c r="DO98" s="451"/>
      <c r="DP98" s="452"/>
      <c r="DQ98" s="453"/>
      <c r="DR98" s="449">
        <v>0</v>
      </c>
      <c r="DS98" s="450"/>
      <c r="DT98" s="451"/>
      <c r="DU98" s="452"/>
      <c r="DV98" s="453"/>
      <c r="DW98" s="449">
        <v>0</v>
      </c>
      <c r="DX98" s="450"/>
      <c r="DY98" s="451"/>
      <c r="DZ98" s="452"/>
      <c r="EA98" s="453"/>
      <c r="EB98" s="449">
        <v>0</v>
      </c>
      <c r="EC98" s="450"/>
      <c r="ED98" s="451"/>
      <c r="EE98" s="452"/>
      <c r="EF98" s="453"/>
      <c r="EG98" s="449">
        <v>0</v>
      </c>
      <c r="EH98" s="450"/>
      <c r="EI98" s="451"/>
      <c r="EJ98" s="452"/>
      <c r="EK98" s="453"/>
      <c r="EL98" s="449">
        <f>SUM(CD98:EG98)</f>
        <v>0</v>
      </c>
      <c r="EM98" s="450"/>
      <c r="EN98" s="451"/>
      <c r="EO98" s="13"/>
    </row>
    <row r="99" spans="4:145" ht="12.75" hidden="1" customHeight="1" x14ac:dyDescent="0.2">
      <c r="D99" s="13" t="s">
        <v>349</v>
      </c>
      <c r="E99" s="198"/>
      <c r="F99" s="198"/>
      <c r="G99" s="451">
        <v>0</v>
      </c>
      <c r="H99" s="455"/>
      <c r="I99" s="451"/>
      <c r="J99" s="452"/>
      <c r="K99" s="452"/>
      <c r="L99" s="451">
        <v>0</v>
      </c>
      <c r="M99" s="455"/>
      <c r="N99" s="451"/>
      <c r="O99" s="452"/>
      <c r="P99" s="452"/>
      <c r="Q99" s="451">
        <v>0</v>
      </c>
      <c r="R99" s="455"/>
      <c r="S99" s="451"/>
      <c r="T99" s="452"/>
      <c r="U99" s="452"/>
      <c r="V99" s="451">
        <v>0</v>
      </c>
      <c r="W99" s="455"/>
      <c r="X99" s="451"/>
      <c r="Y99" s="452"/>
      <c r="Z99" s="452"/>
      <c r="AA99" s="451">
        <v>0</v>
      </c>
      <c r="AB99" s="455"/>
      <c r="AC99" s="451"/>
      <c r="AD99" s="452"/>
      <c r="AE99" s="452"/>
      <c r="AF99" s="451">
        <v>0</v>
      </c>
      <c r="AG99" s="455"/>
      <c r="AH99" s="451"/>
      <c r="AI99" s="452"/>
      <c r="AJ99" s="452"/>
      <c r="AK99" s="451">
        <v>0</v>
      </c>
      <c r="AL99" s="455"/>
      <c r="AM99" s="451"/>
      <c r="AN99" s="452"/>
      <c r="AO99" s="452"/>
      <c r="AP99" s="451">
        <v>0</v>
      </c>
      <c r="AQ99" s="455"/>
      <c r="AR99" s="451"/>
      <c r="AS99" s="452"/>
      <c r="AT99" s="452"/>
      <c r="AU99" s="451">
        <v>0</v>
      </c>
      <c r="AV99" s="455"/>
      <c r="AW99" s="451"/>
      <c r="AX99" s="452"/>
      <c r="AY99" s="452"/>
      <c r="AZ99" s="451">
        <v>0</v>
      </c>
      <c r="BA99" s="455"/>
      <c r="BB99" s="451"/>
      <c r="BC99" s="452"/>
      <c r="BD99" s="452"/>
      <c r="BE99" s="451">
        <v>0</v>
      </c>
      <c r="BF99" s="455"/>
      <c r="BG99" s="451"/>
      <c r="BH99" s="452"/>
      <c r="BI99" s="452"/>
      <c r="BJ99" s="451">
        <v>0</v>
      </c>
      <c r="BK99" s="455"/>
      <c r="BL99" s="451"/>
      <c r="BM99" s="452"/>
      <c r="BN99" s="452"/>
      <c r="BO99" s="451">
        <v>0</v>
      </c>
      <c r="BP99" s="455"/>
      <c r="BQ99" s="451"/>
      <c r="BR99" s="452"/>
      <c r="BS99" s="452"/>
      <c r="BT99" s="451">
        <f>SUM(L99:BO99)</f>
        <v>0</v>
      </c>
      <c r="BU99" s="455"/>
      <c r="BV99" s="451"/>
      <c r="BW99" s="452"/>
      <c r="BX99" s="452"/>
      <c r="BY99" s="451">
        <f>SUM(Q99:BT99)</f>
        <v>0</v>
      </c>
      <c r="BZ99" s="455"/>
      <c r="CA99" s="451"/>
      <c r="CB99" s="452"/>
      <c r="CC99" s="452"/>
      <c r="CD99" s="451">
        <v>0</v>
      </c>
      <c r="CE99" s="455"/>
      <c r="CF99" s="451"/>
      <c r="CG99" s="452"/>
      <c r="CH99" s="452"/>
      <c r="CI99" s="451">
        <v>0</v>
      </c>
      <c r="CJ99" s="455"/>
      <c r="CK99" s="451"/>
      <c r="CL99" s="452"/>
      <c r="CM99" s="452"/>
      <c r="CN99" s="451">
        <v>0</v>
      </c>
      <c r="CO99" s="455"/>
      <c r="CP99" s="451"/>
      <c r="CQ99" s="452"/>
      <c r="CR99" s="452"/>
      <c r="CS99" s="451">
        <v>0</v>
      </c>
      <c r="CT99" s="455"/>
      <c r="CU99" s="451"/>
      <c r="CV99" s="452"/>
      <c r="CW99" s="452"/>
      <c r="CX99" s="451">
        <v>0</v>
      </c>
      <c r="CY99" s="455"/>
      <c r="CZ99" s="451"/>
      <c r="DA99" s="452"/>
      <c r="DB99" s="452"/>
      <c r="DC99" s="451">
        <v>0</v>
      </c>
      <c r="DD99" s="455"/>
      <c r="DE99" s="451"/>
      <c r="DF99" s="452"/>
      <c r="DG99" s="452"/>
      <c r="DH99" s="451">
        <v>0</v>
      </c>
      <c r="DI99" s="455"/>
      <c r="DJ99" s="451"/>
      <c r="DK99" s="452"/>
      <c r="DL99" s="452"/>
      <c r="DM99" s="451">
        <v>0</v>
      </c>
      <c r="DN99" s="455"/>
      <c r="DO99" s="451"/>
      <c r="DP99" s="452"/>
      <c r="DQ99" s="452"/>
      <c r="DR99" s="451">
        <v>0</v>
      </c>
      <c r="DS99" s="455"/>
      <c r="DT99" s="451"/>
      <c r="DU99" s="452"/>
      <c r="DV99" s="452"/>
      <c r="DW99" s="451">
        <v>0</v>
      </c>
      <c r="DX99" s="455"/>
      <c r="DY99" s="451"/>
      <c r="DZ99" s="452"/>
      <c r="EA99" s="452"/>
      <c r="EB99" s="451">
        <v>0</v>
      </c>
      <c r="EC99" s="455"/>
      <c r="ED99" s="451"/>
      <c r="EE99" s="452"/>
      <c r="EF99" s="452"/>
      <c r="EG99" s="451">
        <v>0</v>
      </c>
      <c r="EH99" s="455"/>
      <c r="EI99" s="451"/>
      <c r="EJ99" s="452"/>
      <c r="EK99" s="452"/>
      <c r="EL99" s="451">
        <f>SUM(CD99:EG99)</f>
        <v>0</v>
      </c>
      <c r="EM99" s="455"/>
      <c r="EN99" s="451"/>
      <c r="EO99" s="13"/>
    </row>
    <row r="100" spans="4:145" ht="12.75" hidden="1" customHeight="1" x14ac:dyDescent="0.2">
      <c r="D100" s="13" t="s">
        <v>357</v>
      </c>
      <c r="E100" s="198"/>
      <c r="F100" s="385"/>
      <c r="G100" s="463">
        <v>0</v>
      </c>
      <c r="H100" s="464"/>
      <c r="I100" s="451"/>
      <c r="J100" s="452"/>
      <c r="K100" s="465"/>
      <c r="L100" s="463">
        <v>0</v>
      </c>
      <c r="M100" s="464"/>
      <c r="N100" s="451"/>
      <c r="O100" s="452"/>
      <c r="P100" s="465"/>
      <c r="Q100" s="463">
        <v>0</v>
      </c>
      <c r="R100" s="464"/>
      <c r="S100" s="451"/>
      <c r="T100" s="452"/>
      <c r="U100" s="465"/>
      <c r="V100" s="463">
        <v>0</v>
      </c>
      <c r="W100" s="464"/>
      <c r="X100" s="451"/>
      <c r="Y100" s="452"/>
      <c r="Z100" s="465"/>
      <c r="AA100" s="463">
        <v>0</v>
      </c>
      <c r="AB100" s="464"/>
      <c r="AC100" s="451"/>
      <c r="AD100" s="452"/>
      <c r="AE100" s="465"/>
      <c r="AF100" s="463">
        <v>0</v>
      </c>
      <c r="AG100" s="464"/>
      <c r="AH100" s="451"/>
      <c r="AI100" s="452"/>
      <c r="AJ100" s="465"/>
      <c r="AK100" s="463">
        <v>0</v>
      </c>
      <c r="AL100" s="464"/>
      <c r="AM100" s="451"/>
      <c r="AN100" s="452"/>
      <c r="AO100" s="465"/>
      <c r="AP100" s="463">
        <v>0</v>
      </c>
      <c r="AQ100" s="464"/>
      <c r="AR100" s="451"/>
      <c r="AS100" s="452"/>
      <c r="AT100" s="465"/>
      <c r="AU100" s="463">
        <v>0</v>
      </c>
      <c r="AV100" s="464"/>
      <c r="AW100" s="451"/>
      <c r="AX100" s="452"/>
      <c r="AY100" s="465"/>
      <c r="AZ100" s="463">
        <v>0</v>
      </c>
      <c r="BA100" s="464"/>
      <c r="BB100" s="451"/>
      <c r="BC100" s="452"/>
      <c r="BD100" s="465"/>
      <c r="BE100" s="463">
        <v>0</v>
      </c>
      <c r="BF100" s="464"/>
      <c r="BG100" s="451"/>
      <c r="BH100" s="452"/>
      <c r="BI100" s="465"/>
      <c r="BJ100" s="463">
        <v>0</v>
      </c>
      <c r="BK100" s="464"/>
      <c r="BL100" s="451"/>
      <c r="BM100" s="452"/>
      <c r="BN100" s="465"/>
      <c r="BO100" s="463">
        <v>0</v>
      </c>
      <c r="BP100" s="464"/>
      <c r="BQ100" s="451"/>
      <c r="BR100" s="452"/>
      <c r="BS100" s="465"/>
      <c r="BT100" s="463">
        <f>SUM(L100:BO100)</f>
        <v>0</v>
      </c>
      <c r="BU100" s="464"/>
      <c r="BV100" s="451"/>
      <c r="BW100" s="452"/>
      <c r="BX100" s="465"/>
      <c r="BY100" s="463">
        <f>SUM(Q100:BT100)</f>
        <v>0</v>
      </c>
      <c r="BZ100" s="464"/>
      <c r="CA100" s="451"/>
      <c r="CB100" s="452"/>
      <c r="CC100" s="465"/>
      <c r="CD100" s="463">
        <v>0</v>
      </c>
      <c r="CE100" s="464"/>
      <c r="CF100" s="451"/>
      <c r="CG100" s="452"/>
      <c r="CH100" s="465"/>
      <c r="CI100" s="463">
        <v>0</v>
      </c>
      <c r="CJ100" s="464"/>
      <c r="CK100" s="451"/>
      <c r="CL100" s="452"/>
      <c r="CM100" s="465"/>
      <c r="CN100" s="463">
        <v>0</v>
      </c>
      <c r="CO100" s="464"/>
      <c r="CP100" s="451"/>
      <c r="CQ100" s="452"/>
      <c r="CR100" s="465"/>
      <c r="CS100" s="463">
        <v>0</v>
      </c>
      <c r="CT100" s="464"/>
      <c r="CU100" s="451"/>
      <c r="CV100" s="452"/>
      <c r="CW100" s="465"/>
      <c r="CX100" s="463">
        <v>0</v>
      </c>
      <c r="CY100" s="464"/>
      <c r="CZ100" s="451"/>
      <c r="DA100" s="452"/>
      <c r="DB100" s="465"/>
      <c r="DC100" s="463">
        <v>0</v>
      </c>
      <c r="DD100" s="464"/>
      <c r="DE100" s="451"/>
      <c r="DF100" s="452"/>
      <c r="DG100" s="465"/>
      <c r="DH100" s="463">
        <v>0</v>
      </c>
      <c r="DI100" s="464"/>
      <c r="DJ100" s="451"/>
      <c r="DK100" s="452"/>
      <c r="DL100" s="465"/>
      <c r="DM100" s="463">
        <v>0</v>
      </c>
      <c r="DN100" s="464"/>
      <c r="DO100" s="451"/>
      <c r="DP100" s="452"/>
      <c r="DQ100" s="465"/>
      <c r="DR100" s="463">
        <v>0</v>
      </c>
      <c r="DS100" s="464"/>
      <c r="DT100" s="451"/>
      <c r="DU100" s="452"/>
      <c r="DV100" s="465"/>
      <c r="DW100" s="463">
        <v>0</v>
      </c>
      <c r="DX100" s="464"/>
      <c r="DY100" s="451"/>
      <c r="DZ100" s="452"/>
      <c r="EA100" s="465"/>
      <c r="EB100" s="463">
        <v>0</v>
      </c>
      <c r="EC100" s="464"/>
      <c r="ED100" s="451"/>
      <c r="EE100" s="452"/>
      <c r="EF100" s="465"/>
      <c r="EG100" s="463">
        <v>0</v>
      </c>
      <c r="EH100" s="464"/>
      <c r="EI100" s="451"/>
      <c r="EJ100" s="452"/>
      <c r="EK100" s="465"/>
      <c r="EL100" s="463">
        <f>SUM(CD100:EG100)</f>
        <v>0</v>
      </c>
      <c r="EM100" s="464"/>
      <c r="EN100" s="451"/>
      <c r="EO100" s="13"/>
    </row>
    <row r="101" spans="4:145" hidden="1" x14ac:dyDescent="0.2">
      <c r="D101" s="13"/>
      <c r="E101" s="198"/>
      <c r="G101" s="451"/>
      <c r="H101" s="451"/>
      <c r="I101" s="451"/>
      <c r="J101" s="452"/>
      <c r="K101" s="451"/>
      <c r="L101" s="451"/>
      <c r="M101" s="451"/>
      <c r="N101" s="451"/>
      <c r="O101" s="452"/>
      <c r="P101" s="451"/>
      <c r="Q101" s="451"/>
      <c r="R101" s="451"/>
      <c r="S101" s="451"/>
      <c r="T101" s="452"/>
      <c r="U101" s="451"/>
      <c r="V101" s="451"/>
      <c r="W101" s="451"/>
      <c r="X101" s="451"/>
      <c r="Y101" s="452"/>
      <c r="Z101" s="451"/>
      <c r="AA101" s="451"/>
      <c r="AB101" s="451"/>
      <c r="AC101" s="451"/>
      <c r="AD101" s="452"/>
      <c r="AE101" s="451"/>
      <c r="AF101" s="451"/>
      <c r="AG101" s="451"/>
      <c r="AH101" s="451"/>
      <c r="AI101" s="452"/>
      <c r="AJ101" s="451"/>
      <c r="AK101" s="451"/>
      <c r="AL101" s="451"/>
      <c r="AM101" s="451"/>
      <c r="AN101" s="452"/>
      <c r="AO101" s="451"/>
      <c r="AP101" s="451"/>
      <c r="AQ101" s="451"/>
      <c r="AR101" s="451"/>
      <c r="AS101" s="452"/>
      <c r="AT101" s="451"/>
      <c r="AU101" s="451"/>
      <c r="AV101" s="451"/>
      <c r="AW101" s="451"/>
      <c r="AX101" s="452"/>
      <c r="AY101" s="451"/>
      <c r="AZ101" s="451"/>
      <c r="BA101" s="451"/>
      <c r="BB101" s="451"/>
      <c r="BC101" s="452"/>
      <c r="BD101" s="451"/>
      <c r="BE101" s="451"/>
      <c r="BF101" s="451"/>
      <c r="BG101" s="451"/>
      <c r="BH101" s="452"/>
      <c r="BI101" s="451"/>
      <c r="BJ101" s="451"/>
      <c r="BK101" s="451"/>
      <c r="BL101" s="451"/>
      <c r="BM101" s="452"/>
      <c r="BN101" s="451"/>
      <c r="BO101" s="451"/>
      <c r="BP101" s="451"/>
      <c r="BQ101" s="451"/>
      <c r="BR101" s="452"/>
      <c r="BS101" s="451"/>
      <c r="BT101" s="451"/>
      <c r="BU101" s="451"/>
      <c r="BV101" s="451"/>
      <c r="BW101" s="452"/>
      <c r="BX101" s="451"/>
      <c r="BY101" s="451"/>
      <c r="BZ101" s="451"/>
      <c r="CA101" s="451"/>
      <c r="CB101" s="452"/>
      <c r="CC101" s="451"/>
      <c r="CD101" s="451"/>
      <c r="CE101" s="451"/>
      <c r="CF101" s="451"/>
      <c r="CG101" s="452"/>
      <c r="CH101" s="451"/>
      <c r="CI101" s="451"/>
      <c r="CJ101" s="451"/>
      <c r="CK101" s="451"/>
      <c r="CL101" s="452"/>
      <c r="CM101" s="451"/>
      <c r="CN101" s="451"/>
      <c r="CO101" s="451"/>
      <c r="CP101" s="451"/>
      <c r="CQ101" s="452"/>
      <c r="CR101" s="451"/>
      <c r="CS101" s="451"/>
      <c r="CT101" s="451"/>
      <c r="CU101" s="451"/>
      <c r="CV101" s="452"/>
      <c r="CW101" s="451"/>
      <c r="CX101" s="451"/>
      <c r="CY101" s="451"/>
      <c r="CZ101" s="451"/>
      <c r="DA101" s="452"/>
      <c r="DB101" s="451"/>
      <c r="DC101" s="451"/>
      <c r="DD101" s="451"/>
      <c r="DE101" s="451"/>
      <c r="DF101" s="452"/>
      <c r="DG101" s="451"/>
      <c r="DH101" s="451"/>
      <c r="DI101" s="451"/>
      <c r="DJ101" s="451"/>
      <c r="DK101" s="452"/>
      <c r="DL101" s="451"/>
      <c r="DM101" s="451"/>
      <c r="DN101" s="451"/>
      <c r="DO101" s="451"/>
      <c r="DP101" s="452"/>
      <c r="DQ101" s="451"/>
      <c r="DR101" s="451"/>
      <c r="DS101" s="451"/>
      <c r="DT101" s="451"/>
      <c r="DU101" s="452"/>
      <c r="DV101" s="451"/>
      <c r="DW101" s="451"/>
      <c r="DX101" s="451"/>
      <c r="DY101" s="451"/>
      <c r="DZ101" s="452"/>
      <c r="EA101" s="451"/>
      <c r="EB101" s="451"/>
      <c r="EC101" s="451"/>
      <c r="ED101" s="451"/>
      <c r="EE101" s="452"/>
      <c r="EF101" s="451"/>
      <c r="EG101" s="451"/>
      <c r="EH101" s="451"/>
      <c r="EI101" s="451"/>
      <c r="EJ101" s="452"/>
      <c r="EK101" s="451"/>
      <c r="EL101" s="451"/>
      <c r="EM101" s="451"/>
      <c r="EN101" s="451"/>
      <c r="EO101" s="13"/>
    </row>
    <row r="102" spans="4:145" x14ac:dyDescent="0.2">
      <c r="D102" s="93" t="s">
        <v>465</v>
      </c>
      <c r="E102" s="198"/>
      <c r="G102" s="373">
        <f>SUM(G103:G105)</f>
        <v>14417000</v>
      </c>
      <c r="J102" s="198"/>
      <c r="L102" s="14">
        <f>SUM(L103:L105)</f>
        <v>777665</v>
      </c>
      <c r="O102" s="198"/>
      <c r="Q102" s="14">
        <f>SUM(Q103:Q105)</f>
        <v>4931986</v>
      </c>
      <c r="T102" s="198"/>
      <c r="V102" s="14">
        <f>SUM(V103:V105)</f>
        <v>8699700</v>
      </c>
      <c r="Y102" s="198"/>
      <c r="AA102" s="14">
        <f>SUM(AA103:AA105)</f>
        <v>0</v>
      </c>
      <c r="AD102" s="198"/>
      <c r="AF102" s="14">
        <f>SUM(AF103:AF105)</f>
        <v>0</v>
      </c>
      <c r="AI102" s="198"/>
      <c r="AK102" s="14">
        <f>SUM(AK103:AK105)</f>
        <v>0</v>
      </c>
      <c r="AN102" s="198"/>
      <c r="AP102" s="14">
        <f>SUM(AP103:AP105)</f>
        <v>0</v>
      </c>
      <c r="AS102" s="198"/>
      <c r="AU102" s="14">
        <f>SUM(AU103:AU105)</f>
        <v>6967</v>
      </c>
      <c r="AX102" s="198"/>
      <c r="AZ102" s="14">
        <f>SUM(AZ103:AZ105)</f>
        <v>0</v>
      </c>
      <c r="BC102" s="198"/>
      <c r="BE102" s="14">
        <f>SUM(BE103:BE105)</f>
        <v>0</v>
      </c>
      <c r="BH102" s="198"/>
      <c r="BJ102" s="14">
        <f>SUM(BJ103:BJ105)</f>
        <v>0</v>
      </c>
      <c r="BM102" s="198"/>
      <c r="BO102" s="14">
        <f>SUM(BO103:BO105)</f>
        <v>0</v>
      </c>
      <c r="BR102" s="198"/>
      <c r="BT102" s="14">
        <f>SUM(BT103:BT105)</f>
        <v>14416318</v>
      </c>
      <c r="BW102" s="198"/>
      <c r="BY102" s="14">
        <f>SUM(BY103:BY105)</f>
        <v>51228957</v>
      </c>
      <c r="CB102" s="198"/>
      <c r="CD102" s="14">
        <f>SUM(CD103:CD105)</f>
        <v>628449</v>
      </c>
      <c r="CG102" s="198"/>
      <c r="CI102" s="14">
        <f>SUM(CI103:CI105)</f>
        <v>25247385</v>
      </c>
      <c r="CL102" s="198"/>
      <c r="CN102" s="14">
        <f>SUM(CN103:CN105)</f>
        <v>0</v>
      </c>
      <c r="CQ102" s="198"/>
      <c r="CS102" s="14">
        <f>SUM(CS103:CS105)</f>
        <v>0</v>
      </c>
      <c r="CV102" s="198"/>
      <c r="CX102" s="14">
        <f>SUM(CX103:CX105)</f>
        <v>0</v>
      </c>
      <c r="DA102" s="198"/>
      <c r="DC102" s="14">
        <f>SUM(DC103:DC105)</f>
        <v>0</v>
      </c>
      <c r="DF102" s="198"/>
      <c r="DH102" s="14">
        <f>SUM(DH103:DH105)</f>
        <v>654491</v>
      </c>
      <c r="DK102" s="198"/>
      <c r="DM102" s="14">
        <f>SUM(DM103:DM105)</f>
        <v>6365</v>
      </c>
      <c r="DP102" s="198"/>
      <c r="DR102" s="14">
        <f>SUM(DR103:DR105)</f>
        <v>0</v>
      </c>
      <c r="DU102" s="198"/>
      <c r="DW102" s="14">
        <f>SUM(DW103:DW105)</f>
        <v>0</v>
      </c>
      <c r="DZ102" s="198"/>
      <c r="EB102" s="14">
        <f>SUM(EB103:EB105)</f>
        <v>0</v>
      </c>
      <c r="EE102" s="198"/>
      <c r="EG102" s="14">
        <f>SUM(EG103:EG105)</f>
        <v>24692267</v>
      </c>
      <c r="EJ102" s="198"/>
      <c r="EL102" s="14">
        <f>SUM(EL103:EL105)</f>
        <v>26536690</v>
      </c>
      <c r="EO102" s="13"/>
    </row>
    <row r="103" spans="4:145" x14ac:dyDescent="0.2">
      <c r="D103" s="187" t="s">
        <v>466</v>
      </c>
      <c r="E103" s="198"/>
      <c r="F103" s="374"/>
      <c r="G103" s="378">
        <f>G107</f>
        <v>14417000</v>
      </c>
      <c r="H103" s="375"/>
      <c r="J103" s="198"/>
      <c r="K103" s="374"/>
      <c r="L103" s="101">
        <f>L107</f>
        <v>777665</v>
      </c>
      <c r="M103" s="375"/>
      <c r="O103" s="198"/>
      <c r="P103" s="374"/>
      <c r="Q103" s="101">
        <f>Q107</f>
        <v>4931986</v>
      </c>
      <c r="R103" s="375"/>
      <c r="T103" s="198"/>
      <c r="U103" s="374"/>
      <c r="V103" s="101">
        <f>V107</f>
        <v>8699700</v>
      </c>
      <c r="W103" s="375"/>
      <c r="Y103" s="198"/>
      <c r="Z103" s="374"/>
      <c r="AA103" s="101">
        <f>AA107</f>
        <v>0</v>
      </c>
      <c r="AB103" s="375"/>
      <c r="AD103" s="198"/>
      <c r="AE103" s="374"/>
      <c r="AF103" s="101">
        <f>AF107</f>
        <v>0</v>
      </c>
      <c r="AG103" s="375"/>
      <c r="AI103" s="198"/>
      <c r="AJ103" s="374"/>
      <c r="AK103" s="101">
        <f>AK107</f>
        <v>0</v>
      </c>
      <c r="AL103" s="375"/>
      <c r="AN103" s="198"/>
      <c r="AO103" s="374"/>
      <c r="AP103" s="101">
        <f>AP107</f>
        <v>0</v>
      </c>
      <c r="AQ103" s="375"/>
      <c r="AS103" s="198"/>
      <c r="AT103" s="374"/>
      <c r="AU103" s="378">
        <f>AU107</f>
        <v>6967</v>
      </c>
      <c r="AV103" s="375"/>
      <c r="AX103" s="198"/>
      <c r="AY103" s="374"/>
      <c r="AZ103" s="378">
        <f>AZ107</f>
        <v>0</v>
      </c>
      <c r="BA103" s="375"/>
      <c r="BC103" s="198"/>
      <c r="BD103" s="374"/>
      <c r="BE103" s="378">
        <f>BE107</f>
        <v>0</v>
      </c>
      <c r="BF103" s="375"/>
      <c r="BH103" s="198"/>
      <c r="BI103" s="374"/>
      <c r="BJ103" s="378">
        <f>BJ107</f>
        <v>0</v>
      </c>
      <c r="BK103" s="375"/>
      <c r="BM103" s="198"/>
      <c r="BN103" s="374"/>
      <c r="BO103" s="378">
        <f>BO107</f>
        <v>0</v>
      </c>
      <c r="BP103" s="375"/>
      <c r="BR103" s="198"/>
      <c r="BS103" s="374"/>
      <c r="BT103" s="101">
        <f>BT107</f>
        <v>14416318</v>
      </c>
      <c r="BU103" s="375"/>
      <c r="BW103" s="198"/>
      <c r="BX103" s="374"/>
      <c r="BY103" s="101">
        <f>BY107</f>
        <v>51228957</v>
      </c>
      <c r="BZ103" s="375"/>
      <c r="CB103" s="198"/>
      <c r="CC103" s="374"/>
      <c r="CD103" s="101">
        <f>CD107</f>
        <v>628449</v>
      </c>
      <c r="CE103" s="375"/>
      <c r="CG103" s="198"/>
      <c r="CH103" s="374"/>
      <c r="CI103" s="101">
        <f>CI107</f>
        <v>25247385</v>
      </c>
      <c r="CJ103" s="375"/>
      <c r="CL103" s="198"/>
      <c r="CM103" s="374"/>
      <c r="CN103" s="101">
        <f>CN107</f>
        <v>0</v>
      </c>
      <c r="CO103" s="375"/>
      <c r="CQ103" s="198"/>
      <c r="CR103" s="374"/>
      <c r="CS103" s="101">
        <f>CS107</f>
        <v>0</v>
      </c>
      <c r="CT103" s="375"/>
      <c r="CV103" s="198"/>
      <c r="CW103" s="374"/>
      <c r="CX103" s="101">
        <f>CX107</f>
        <v>0</v>
      </c>
      <c r="CY103" s="375"/>
      <c r="DA103" s="198"/>
      <c r="DB103" s="374"/>
      <c r="DC103" s="101">
        <f>DC107</f>
        <v>0</v>
      </c>
      <c r="DD103" s="375"/>
      <c r="DF103" s="198"/>
      <c r="DG103" s="374"/>
      <c r="DH103" s="101">
        <f>DH107</f>
        <v>654491</v>
      </c>
      <c r="DI103" s="375"/>
      <c r="DK103" s="198"/>
      <c r="DL103" s="374"/>
      <c r="DM103" s="378">
        <f>DM107</f>
        <v>6365</v>
      </c>
      <c r="DN103" s="375"/>
      <c r="DP103" s="198"/>
      <c r="DQ103" s="374"/>
      <c r="DR103" s="378">
        <f>DR107</f>
        <v>0</v>
      </c>
      <c r="DS103" s="375"/>
      <c r="DU103" s="198"/>
      <c r="DV103" s="374"/>
      <c r="DW103" s="378">
        <f>DW107</f>
        <v>0</v>
      </c>
      <c r="DX103" s="375"/>
      <c r="DZ103" s="198"/>
      <c r="EA103" s="374"/>
      <c r="EB103" s="378">
        <f>EB107</f>
        <v>0</v>
      </c>
      <c r="EC103" s="375"/>
      <c r="EE103" s="198"/>
      <c r="EF103" s="374"/>
      <c r="EG103" s="378">
        <f>EG107</f>
        <v>24692267</v>
      </c>
      <c r="EH103" s="375"/>
      <c r="EJ103" s="198"/>
      <c r="EK103" s="374"/>
      <c r="EL103" s="101">
        <f>EL107</f>
        <v>26536690</v>
      </c>
      <c r="EM103" s="375"/>
      <c r="EO103" s="13"/>
    </row>
    <row r="104" spans="4:145" x14ac:dyDescent="0.2">
      <c r="D104" s="187" t="s">
        <v>467</v>
      </c>
      <c r="E104" s="198"/>
      <c r="F104" s="198"/>
      <c r="G104" s="383">
        <f>G155</f>
        <v>0</v>
      </c>
      <c r="H104" s="189"/>
      <c r="J104" s="198"/>
      <c r="K104" s="198"/>
      <c r="L104" s="1">
        <f>L155</f>
        <v>0</v>
      </c>
      <c r="M104" s="189"/>
      <c r="O104" s="198"/>
      <c r="P104" s="198"/>
      <c r="Q104" s="1">
        <f>Q155</f>
        <v>0</v>
      </c>
      <c r="R104" s="189"/>
      <c r="T104" s="198"/>
      <c r="U104" s="198"/>
      <c r="V104" s="1">
        <f>V155</f>
        <v>0</v>
      </c>
      <c r="W104" s="189"/>
      <c r="Y104" s="198"/>
      <c r="Z104" s="198"/>
      <c r="AA104" s="1">
        <f>AA155</f>
        <v>0</v>
      </c>
      <c r="AB104" s="189"/>
      <c r="AD104" s="198"/>
      <c r="AE104" s="198"/>
      <c r="AF104" s="1">
        <f>AF155</f>
        <v>0</v>
      </c>
      <c r="AG104" s="189"/>
      <c r="AI104" s="198"/>
      <c r="AJ104" s="198"/>
      <c r="AK104" s="1">
        <f>AK155</f>
        <v>0</v>
      </c>
      <c r="AL104" s="189"/>
      <c r="AN104" s="198"/>
      <c r="AO104" s="198"/>
      <c r="AP104" s="1">
        <f>AP155</f>
        <v>0</v>
      </c>
      <c r="AQ104" s="189"/>
      <c r="AS104" s="198"/>
      <c r="AT104" s="198"/>
      <c r="AU104" s="383">
        <f>AU155</f>
        <v>0</v>
      </c>
      <c r="AV104" s="189"/>
      <c r="AX104" s="198"/>
      <c r="AY104" s="198"/>
      <c r="AZ104" s="383">
        <f>AZ155</f>
        <v>0</v>
      </c>
      <c r="BA104" s="189"/>
      <c r="BC104" s="198"/>
      <c r="BD104" s="198"/>
      <c r="BE104" s="383">
        <f>BE155</f>
        <v>0</v>
      </c>
      <c r="BF104" s="189"/>
      <c r="BH104" s="198"/>
      <c r="BI104" s="198"/>
      <c r="BJ104" s="383">
        <f>BJ155</f>
        <v>0</v>
      </c>
      <c r="BK104" s="189"/>
      <c r="BM104" s="198"/>
      <c r="BN104" s="198"/>
      <c r="BO104" s="383">
        <f>BO155</f>
        <v>0</v>
      </c>
      <c r="BP104" s="189"/>
      <c r="BR104" s="198"/>
      <c r="BS104" s="198"/>
      <c r="BT104" s="1">
        <f>BT155</f>
        <v>0</v>
      </c>
      <c r="BU104" s="189"/>
      <c r="BW104" s="198"/>
      <c r="BX104" s="198"/>
      <c r="BY104" s="1">
        <v>0</v>
      </c>
      <c r="BZ104" s="189"/>
      <c r="CB104" s="198"/>
      <c r="CC104" s="198"/>
      <c r="CD104" s="1">
        <f>CD155</f>
        <v>0</v>
      </c>
      <c r="CE104" s="189"/>
      <c r="CG104" s="198"/>
      <c r="CH104" s="198"/>
      <c r="CI104" s="1">
        <f>CI155</f>
        <v>0</v>
      </c>
      <c r="CJ104" s="189"/>
      <c r="CL104" s="198"/>
      <c r="CM104" s="198"/>
      <c r="CN104" s="1">
        <f>CN155</f>
        <v>0</v>
      </c>
      <c r="CO104" s="189"/>
      <c r="CQ104" s="198"/>
      <c r="CR104" s="198"/>
      <c r="CS104" s="1">
        <f>CS155</f>
        <v>0</v>
      </c>
      <c r="CT104" s="189"/>
      <c r="CV104" s="198"/>
      <c r="CW104" s="198"/>
      <c r="CX104" s="1">
        <f>CX155</f>
        <v>0</v>
      </c>
      <c r="CY104" s="189"/>
      <c r="DA104" s="198"/>
      <c r="DB104" s="198"/>
      <c r="DC104" s="1">
        <f>DC155</f>
        <v>0</v>
      </c>
      <c r="DD104" s="189"/>
      <c r="DF104" s="198"/>
      <c r="DG104" s="198"/>
      <c r="DH104" s="1">
        <f>DH155</f>
        <v>0</v>
      </c>
      <c r="DI104" s="189"/>
      <c r="DK104" s="198"/>
      <c r="DL104" s="198"/>
      <c r="DM104" s="383">
        <f>DM155</f>
        <v>0</v>
      </c>
      <c r="DN104" s="189"/>
      <c r="DP104" s="198"/>
      <c r="DQ104" s="198"/>
      <c r="DR104" s="383">
        <f>DR155</f>
        <v>0</v>
      </c>
      <c r="DS104" s="189"/>
      <c r="DU104" s="198"/>
      <c r="DV104" s="198"/>
      <c r="DW104" s="383">
        <f>DW155</f>
        <v>0</v>
      </c>
      <c r="DX104" s="189"/>
      <c r="DZ104" s="198"/>
      <c r="EA104" s="198"/>
      <c r="EB104" s="383">
        <f>EB155</f>
        <v>0</v>
      </c>
      <c r="EC104" s="189"/>
      <c r="EE104" s="198"/>
      <c r="EF104" s="198"/>
      <c r="EG104" s="383">
        <f>EG155</f>
        <v>0</v>
      </c>
      <c r="EH104" s="189"/>
      <c r="EJ104" s="198"/>
      <c r="EK104" s="198"/>
      <c r="EL104" s="1">
        <f>EL155</f>
        <v>0</v>
      </c>
      <c r="EM104" s="189"/>
      <c r="EO104" s="13"/>
    </row>
    <row r="105" spans="4:145" x14ac:dyDescent="0.2">
      <c r="D105" s="187" t="s">
        <v>468</v>
      </c>
      <c r="E105" s="198"/>
      <c r="F105" s="385"/>
      <c r="G105" s="386">
        <f>G167</f>
        <v>0</v>
      </c>
      <c r="H105" s="212"/>
      <c r="J105" s="198"/>
      <c r="K105" s="385"/>
      <c r="L105" s="201">
        <f>L167</f>
        <v>0</v>
      </c>
      <c r="M105" s="212"/>
      <c r="O105" s="198"/>
      <c r="P105" s="385"/>
      <c r="Q105" s="201">
        <f>Q167</f>
        <v>0</v>
      </c>
      <c r="R105" s="212"/>
      <c r="T105" s="198"/>
      <c r="U105" s="385"/>
      <c r="V105" s="201">
        <f>V167</f>
        <v>0</v>
      </c>
      <c r="W105" s="212"/>
      <c r="Y105" s="198"/>
      <c r="Z105" s="385"/>
      <c r="AA105" s="201">
        <f>AA167</f>
        <v>0</v>
      </c>
      <c r="AB105" s="212"/>
      <c r="AD105" s="198"/>
      <c r="AE105" s="385"/>
      <c r="AF105" s="201">
        <f>AF167</f>
        <v>0</v>
      </c>
      <c r="AG105" s="212"/>
      <c r="AI105" s="198"/>
      <c r="AJ105" s="385"/>
      <c r="AK105" s="201">
        <f>AK167</f>
        <v>0</v>
      </c>
      <c r="AL105" s="212"/>
      <c r="AN105" s="198"/>
      <c r="AO105" s="385"/>
      <c r="AP105" s="201">
        <f>AP167</f>
        <v>0</v>
      </c>
      <c r="AQ105" s="212"/>
      <c r="AS105" s="198"/>
      <c r="AT105" s="385"/>
      <c r="AU105" s="386">
        <f>AU167</f>
        <v>0</v>
      </c>
      <c r="AV105" s="212"/>
      <c r="AX105" s="198"/>
      <c r="AY105" s="385"/>
      <c r="AZ105" s="386">
        <f>AZ167</f>
        <v>0</v>
      </c>
      <c r="BA105" s="212"/>
      <c r="BC105" s="198"/>
      <c r="BD105" s="385"/>
      <c r="BE105" s="386">
        <f>BE167</f>
        <v>0</v>
      </c>
      <c r="BF105" s="212"/>
      <c r="BH105" s="198"/>
      <c r="BI105" s="385"/>
      <c r="BJ105" s="386">
        <f>BJ167</f>
        <v>0</v>
      </c>
      <c r="BK105" s="212"/>
      <c r="BM105" s="198"/>
      <c r="BN105" s="385"/>
      <c r="BO105" s="386">
        <f>BO167</f>
        <v>0</v>
      </c>
      <c r="BP105" s="212"/>
      <c r="BR105" s="198"/>
      <c r="BS105" s="385"/>
      <c r="BT105" s="201">
        <f>BT167</f>
        <v>0</v>
      </c>
      <c r="BU105" s="212"/>
      <c r="BW105" s="198"/>
      <c r="BX105" s="385"/>
      <c r="BY105" s="201">
        <v>0</v>
      </c>
      <c r="BZ105" s="212"/>
      <c r="CB105" s="198"/>
      <c r="CC105" s="385"/>
      <c r="CD105" s="201">
        <f>CD167</f>
        <v>0</v>
      </c>
      <c r="CE105" s="212"/>
      <c r="CG105" s="198"/>
      <c r="CH105" s="385"/>
      <c r="CI105" s="201">
        <f>CI167</f>
        <v>0</v>
      </c>
      <c r="CJ105" s="212"/>
      <c r="CL105" s="198"/>
      <c r="CM105" s="385"/>
      <c r="CN105" s="201">
        <f>CN167</f>
        <v>0</v>
      </c>
      <c r="CO105" s="212"/>
      <c r="CQ105" s="198"/>
      <c r="CR105" s="385"/>
      <c r="CS105" s="201">
        <f>CS167</f>
        <v>0</v>
      </c>
      <c r="CT105" s="212"/>
      <c r="CV105" s="198"/>
      <c r="CW105" s="385"/>
      <c r="CX105" s="201">
        <f>CX167</f>
        <v>0</v>
      </c>
      <c r="CY105" s="212"/>
      <c r="DA105" s="198"/>
      <c r="DB105" s="385"/>
      <c r="DC105" s="201">
        <f>DC167</f>
        <v>0</v>
      </c>
      <c r="DD105" s="212"/>
      <c r="DF105" s="198"/>
      <c r="DG105" s="385"/>
      <c r="DH105" s="201">
        <f>DH167</f>
        <v>0</v>
      </c>
      <c r="DI105" s="212"/>
      <c r="DK105" s="198"/>
      <c r="DL105" s="385"/>
      <c r="DM105" s="386">
        <f>DM167</f>
        <v>0</v>
      </c>
      <c r="DN105" s="212"/>
      <c r="DP105" s="198"/>
      <c r="DQ105" s="385"/>
      <c r="DR105" s="386">
        <f>DR167</f>
        <v>0</v>
      </c>
      <c r="DS105" s="212"/>
      <c r="DU105" s="198"/>
      <c r="DV105" s="385"/>
      <c r="DW105" s="386">
        <f>DW167</f>
        <v>0</v>
      </c>
      <c r="DX105" s="212"/>
      <c r="DZ105" s="198"/>
      <c r="EA105" s="385"/>
      <c r="EB105" s="386">
        <f>EB167</f>
        <v>0</v>
      </c>
      <c r="EC105" s="212"/>
      <c r="EE105" s="198"/>
      <c r="EF105" s="385"/>
      <c r="EG105" s="386">
        <f>EG167</f>
        <v>0</v>
      </c>
      <c r="EH105" s="212"/>
      <c r="EJ105" s="198"/>
      <c r="EK105" s="385"/>
      <c r="EL105" s="201">
        <f>EL167</f>
        <v>0</v>
      </c>
      <c r="EM105" s="212"/>
      <c r="EO105" s="13"/>
    </row>
    <row r="106" spans="4:145" x14ac:dyDescent="0.2">
      <c r="D106" s="13"/>
      <c r="E106" s="198"/>
      <c r="G106" s="383"/>
      <c r="J106" s="198"/>
      <c r="O106" s="198"/>
      <c r="T106" s="198"/>
      <c r="Y106" s="198"/>
      <c r="AD106" s="198"/>
      <c r="AI106" s="198"/>
      <c r="AN106" s="198"/>
      <c r="AS106" s="198"/>
      <c r="AX106" s="198"/>
      <c r="BC106" s="198"/>
      <c r="BH106" s="198"/>
      <c r="BM106" s="198"/>
      <c r="BR106" s="198"/>
      <c r="BW106" s="198"/>
      <c r="CB106" s="198"/>
      <c r="CG106" s="198"/>
      <c r="CL106" s="198"/>
      <c r="CQ106" s="198"/>
      <c r="CV106" s="198"/>
      <c r="DA106" s="198"/>
      <c r="DF106" s="198"/>
      <c r="DK106" s="198"/>
      <c r="DP106" s="198"/>
      <c r="DU106" s="198"/>
      <c r="DZ106" s="198"/>
      <c r="EE106" s="198"/>
      <c r="EJ106" s="198"/>
      <c r="EO106" s="13"/>
    </row>
    <row r="107" spans="4:145" x14ac:dyDescent="0.2">
      <c r="D107" s="13" t="s">
        <v>469</v>
      </c>
      <c r="E107" s="198"/>
      <c r="G107" s="451">
        <f>SUM(G108:G109)</f>
        <v>14417000</v>
      </c>
      <c r="H107" s="451"/>
      <c r="I107" s="451"/>
      <c r="J107" s="452"/>
      <c r="K107" s="451"/>
      <c r="L107" s="451">
        <f>SUM(L108:L109)</f>
        <v>777665</v>
      </c>
      <c r="M107" s="451"/>
      <c r="N107" s="451"/>
      <c r="O107" s="452"/>
      <c r="P107" s="451"/>
      <c r="Q107" s="451">
        <f>SUM(Q108:Q109)</f>
        <v>4931986</v>
      </c>
      <c r="R107" s="451"/>
      <c r="S107" s="451"/>
      <c r="T107" s="452"/>
      <c r="U107" s="451"/>
      <c r="V107" s="451">
        <f>SUM(V108:V109)</f>
        <v>8699700</v>
      </c>
      <c r="W107" s="451"/>
      <c r="X107" s="451"/>
      <c r="Y107" s="452"/>
      <c r="Z107" s="451"/>
      <c r="AA107" s="451">
        <f>SUM(AA108:AA109)</f>
        <v>0</v>
      </c>
      <c r="AB107" s="451"/>
      <c r="AC107" s="451"/>
      <c r="AD107" s="452"/>
      <c r="AE107" s="451"/>
      <c r="AF107" s="451">
        <f>SUM(AF108:AF109)</f>
        <v>0</v>
      </c>
      <c r="AG107" s="451"/>
      <c r="AH107" s="451"/>
      <c r="AI107" s="452"/>
      <c r="AJ107" s="451"/>
      <c r="AK107" s="451">
        <f>SUM(AK108:AK109)</f>
        <v>0</v>
      </c>
      <c r="AL107" s="451"/>
      <c r="AM107" s="451"/>
      <c r="AN107" s="452"/>
      <c r="AO107" s="451"/>
      <c r="AP107" s="451">
        <f>SUM(AP108:AP109)</f>
        <v>0</v>
      </c>
      <c r="AQ107" s="451"/>
      <c r="AR107" s="451"/>
      <c r="AS107" s="452"/>
      <c r="AT107" s="451"/>
      <c r="AU107" s="451">
        <f>SUM(AU108:AU109)</f>
        <v>6967</v>
      </c>
      <c r="AV107" s="451"/>
      <c r="AW107" s="451"/>
      <c r="AX107" s="452"/>
      <c r="AY107" s="451"/>
      <c r="AZ107" s="451">
        <f>SUM(AZ108:AZ109)</f>
        <v>0</v>
      </c>
      <c r="BA107" s="451"/>
      <c r="BB107" s="451"/>
      <c r="BC107" s="452"/>
      <c r="BD107" s="451"/>
      <c r="BE107" s="451">
        <f>SUM(BE108:BE109)</f>
        <v>0</v>
      </c>
      <c r="BF107" s="451"/>
      <c r="BG107" s="451"/>
      <c r="BH107" s="452"/>
      <c r="BI107" s="451"/>
      <c r="BJ107" s="451">
        <f>SUM(BJ108:BJ109)</f>
        <v>0</v>
      </c>
      <c r="BK107" s="451"/>
      <c r="BL107" s="451"/>
      <c r="BM107" s="452"/>
      <c r="BN107" s="451"/>
      <c r="BO107" s="451">
        <f>SUM(BO108:BO109)</f>
        <v>0</v>
      </c>
      <c r="BP107" s="451"/>
      <c r="BQ107" s="451"/>
      <c r="BR107" s="452"/>
      <c r="BS107" s="451"/>
      <c r="BT107" s="451">
        <f>SUM(BT108:BT109)</f>
        <v>14416318</v>
      </c>
      <c r="BU107" s="451"/>
      <c r="BV107" s="451"/>
      <c r="BW107" s="452"/>
      <c r="BX107" s="451"/>
      <c r="BY107" s="451">
        <f>SUM(BY108:BY109)</f>
        <v>51228957</v>
      </c>
      <c r="BZ107" s="451"/>
      <c r="CA107" s="451"/>
      <c r="CB107" s="452"/>
      <c r="CC107" s="451"/>
      <c r="CD107" s="451">
        <f>SUM(CD108:CD109)</f>
        <v>628449</v>
      </c>
      <c r="CE107" s="451"/>
      <c r="CF107" s="451"/>
      <c r="CG107" s="452"/>
      <c r="CH107" s="451"/>
      <c r="CI107" s="451">
        <f>SUM(CI108:CI109)</f>
        <v>25247385</v>
      </c>
      <c r="CJ107" s="451"/>
      <c r="CK107" s="451"/>
      <c r="CL107" s="452"/>
      <c r="CM107" s="451"/>
      <c r="CN107" s="451">
        <f>SUM(CN108:CN109)</f>
        <v>0</v>
      </c>
      <c r="CO107" s="451"/>
      <c r="CP107" s="451"/>
      <c r="CQ107" s="452"/>
      <c r="CR107" s="451"/>
      <c r="CS107" s="451">
        <f>SUM(CS108:CS109)</f>
        <v>0</v>
      </c>
      <c r="CT107" s="451"/>
      <c r="CU107" s="451"/>
      <c r="CV107" s="452"/>
      <c r="CW107" s="451"/>
      <c r="CX107" s="451">
        <f>SUM(CX108:CX109)</f>
        <v>0</v>
      </c>
      <c r="CY107" s="451"/>
      <c r="CZ107" s="451"/>
      <c r="DA107" s="452"/>
      <c r="DB107" s="451"/>
      <c r="DC107" s="451">
        <f>SUM(DC108:DC109)</f>
        <v>0</v>
      </c>
      <c r="DD107" s="451"/>
      <c r="DE107" s="451"/>
      <c r="DF107" s="452"/>
      <c r="DG107" s="451"/>
      <c r="DH107" s="451">
        <f>SUM(DH108:DH109)</f>
        <v>654491</v>
      </c>
      <c r="DI107" s="451"/>
      <c r="DJ107" s="451"/>
      <c r="DK107" s="452"/>
      <c r="DL107" s="451"/>
      <c r="DM107" s="451">
        <f>SUM(DM108:DM109)</f>
        <v>6365</v>
      </c>
      <c r="DN107" s="451"/>
      <c r="DO107" s="451"/>
      <c r="DP107" s="452"/>
      <c r="DQ107" s="451"/>
      <c r="DR107" s="451">
        <f>SUM(DR108:DR109)</f>
        <v>0</v>
      </c>
      <c r="DS107" s="451"/>
      <c r="DT107" s="451"/>
      <c r="DU107" s="452"/>
      <c r="DV107" s="451"/>
      <c r="DW107" s="451">
        <f>SUM(DW108:DW109)</f>
        <v>0</v>
      </c>
      <c r="DX107" s="451"/>
      <c r="DY107" s="451"/>
      <c r="DZ107" s="452"/>
      <c r="EA107" s="451"/>
      <c r="EB107" s="451">
        <f>SUM(EB108:EB109)</f>
        <v>0</v>
      </c>
      <c r="EC107" s="451"/>
      <c r="ED107" s="451"/>
      <c r="EE107" s="452"/>
      <c r="EF107" s="451"/>
      <c r="EG107" s="451">
        <f>SUM(EG108:EG109)</f>
        <v>24692267</v>
      </c>
      <c r="EH107" s="451"/>
      <c r="EI107" s="451"/>
      <c r="EJ107" s="452"/>
      <c r="EK107" s="451"/>
      <c r="EL107" s="451">
        <f>SUM(EL108:EL109)</f>
        <v>26536690</v>
      </c>
      <c r="EM107" s="451"/>
      <c r="EN107" s="451"/>
      <c r="EO107" s="13"/>
    </row>
    <row r="108" spans="4:145" x14ac:dyDescent="0.2">
      <c r="D108" s="13" t="s">
        <v>470</v>
      </c>
      <c r="E108" s="198"/>
      <c r="F108" s="374"/>
      <c r="G108" s="449">
        <f>+G112+G120+G124+G128+G132+G136+G116+G140+G148+G152+G144</f>
        <v>7961000</v>
      </c>
      <c r="H108" s="450"/>
      <c r="I108" s="451"/>
      <c r="J108" s="452"/>
      <c r="K108" s="453"/>
      <c r="L108" s="449">
        <f>+L112+L120+L124+L128+L132+L136+L116+L140+L148+L152+L144</f>
        <v>391647</v>
      </c>
      <c r="M108" s="450"/>
      <c r="N108" s="451"/>
      <c r="O108" s="452"/>
      <c r="P108" s="453"/>
      <c r="Q108" s="449">
        <f>+Q112+Q120+Q124+Q128+Q132+Q136+Q116+Q140+Q148+Q152+Q144</f>
        <v>1962723</v>
      </c>
      <c r="R108" s="450"/>
      <c r="S108" s="451"/>
      <c r="T108" s="452"/>
      <c r="U108" s="453"/>
      <c r="V108" s="449">
        <f>+V112+V120+V124+V128+V132+V136+V116+V140+V148+V152+V144</f>
        <v>5604275</v>
      </c>
      <c r="W108" s="450"/>
      <c r="X108" s="451"/>
      <c r="Y108" s="452"/>
      <c r="Z108" s="453"/>
      <c r="AA108" s="449">
        <f>+AA112+AA120+AA124+AA128+AA132+AA136+AA116+AA140+AA148+AA152+AA144</f>
        <v>0</v>
      </c>
      <c r="AB108" s="450"/>
      <c r="AC108" s="451"/>
      <c r="AD108" s="452"/>
      <c r="AE108" s="453"/>
      <c r="AF108" s="449">
        <f>+AF112+AF120+AF124+AF128+AF132+AF136+AF116+AF140+AF148+AF152+AF144</f>
        <v>0</v>
      </c>
      <c r="AG108" s="450"/>
      <c r="AH108" s="451"/>
      <c r="AI108" s="452"/>
      <c r="AJ108" s="453"/>
      <c r="AK108" s="449">
        <f>+AK112+AK120+AK124+AK128+AK132+AK136+AK116+AK140+AK148+AK152+AK144</f>
        <v>0</v>
      </c>
      <c r="AL108" s="450"/>
      <c r="AM108" s="451"/>
      <c r="AN108" s="452"/>
      <c r="AO108" s="453"/>
      <c r="AP108" s="449">
        <f>+AP112+AP120+AP124+AP128+AP132+AP136+AP116+AP140+AP148+AP152+AP144</f>
        <v>0</v>
      </c>
      <c r="AQ108" s="450"/>
      <c r="AR108" s="451"/>
      <c r="AS108" s="452"/>
      <c r="AT108" s="453"/>
      <c r="AU108" s="449">
        <f>+AU112+AU120+AU124+AU128+AU132+AU136+AU116+AU140+AU148+AU152+AU144</f>
        <v>1940</v>
      </c>
      <c r="AV108" s="450"/>
      <c r="AW108" s="451"/>
      <c r="AX108" s="452"/>
      <c r="AY108" s="453"/>
      <c r="AZ108" s="449">
        <f>+AZ112+AZ120+AZ124+AZ128+AZ132+AZ136+AZ116+AZ140+AZ148+AZ152+AZ144</f>
        <v>0</v>
      </c>
      <c r="BA108" s="450"/>
      <c r="BB108" s="451"/>
      <c r="BC108" s="452"/>
      <c r="BD108" s="453"/>
      <c r="BE108" s="449">
        <f>+BE112+BE120+BE124+BE128+BE132+BE136+BE116+BE140+BE148+BE152+BE144</f>
        <v>0</v>
      </c>
      <c r="BF108" s="450"/>
      <c r="BG108" s="451"/>
      <c r="BH108" s="452"/>
      <c r="BI108" s="453"/>
      <c r="BJ108" s="449">
        <f>+BJ112+BJ120+BJ124+BJ128+BJ132+BJ136+BJ116+BJ140+BJ148+BJ152+BJ144</f>
        <v>0</v>
      </c>
      <c r="BK108" s="450"/>
      <c r="BL108" s="451"/>
      <c r="BM108" s="452"/>
      <c r="BN108" s="453"/>
      <c r="BO108" s="449">
        <v>0</v>
      </c>
      <c r="BP108" s="450"/>
      <c r="BQ108" s="451"/>
      <c r="BR108" s="452"/>
      <c r="BS108" s="453"/>
      <c r="BT108" s="449">
        <f>+BT112+BT120+BT124+BT128+BT132+BT136+BT116+BT140+BT148+BT152+BT144</f>
        <v>7960585</v>
      </c>
      <c r="BU108" s="450"/>
      <c r="BV108" s="451"/>
      <c r="BW108" s="452"/>
      <c r="BX108" s="453"/>
      <c r="BY108" s="449">
        <v>26952291</v>
      </c>
      <c r="BZ108" s="450"/>
      <c r="CA108" s="451"/>
      <c r="CB108" s="452"/>
      <c r="CC108" s="453"/>
      <c r="CD108" s="449">
        <f>+CD112+CD120+CD124+CD128+CD132+CD136+CD116+CD140+CD148+CD152+CD144</f>
        <v>391647</v>
      </c>
      <c r="CE108" s="450"/>
      <c r="CF108" s="451"/>
      <c r="CG108" s="452"/>
      <c r="CH108" s="453"/>
      <c r="CI108" s="449">
        <f>+CI112+CI120+CI124+CI128+CI132+CI136+CI116+CI140+CI148+CI152+CI144</f>
        <v>14120864</v>
      </c>
      <c r="CJ108" s="450"/>
      <c r="CK108" s="451"/>
      <c r="CL108" s="452"/>
      <c r="CM108" s="453"/>
      <c r="CN108" s="449">
        <f>+CN112+CN120+CN124+CN128+CN132+CN136+CN116+CN140+CN148+CN152+CN144</f>
        <v>0</v>
      </c>
      <c r="CO108" s="450"/>
      <c r="CP108" s="451"/>
      <c r="CQ108" s="452"/>
      <c r="CR108" s="453"/>
      <c r="CS108" s="449">
        <f>+CS112+CS120+CS124+CS128+CS132+CS136+CS116+CS140+CS148+CS152+CS144</f>
        <v>0</v>
      </c>
      <c r="CT108" s="450"/>
      <c r="CU108" s="451"/>
      <c r="CV108" s="452"/>
      <c r="CW108" s="453"/>
      <c r="CX108" s="449">
        <f>+CX112+CX120+CX124+CX128+CX132+CX136+CX116+CX140+CX148+CX152+CX144</f>
        <v>0</v>
      </c>
      <c r="CY108" s="450"/>
      <c r="CZ108" s="451"/>
      <c r="DA108" s="452"/>
      <c r="DB108" s="453"/>
      <c r="DC108" s="449">
        <f>+DC112+DC120+DC124+DC128+DC132+DC136+DC116+DC140+DC148+DC152+DC144</f>
        <v>0</v>
      </c>
      <c r="DD108" s="450"/>
      <c r="DE108" s="451"/>
      <c r="DF108" s="452"/>
      <c r="DG108" s="453"/>
      <c r="DH108" s="449">
        <f>+DH112+DH120+DH124+DH128+DH132+DH136+DH116+DH140+DH148+DH152+DH144</f>
        <v>391647</v>
      </c>
      <c r="DI108" s="450"/>
      <c r="DJ108" s="451"/>
      <c r="DK108" s="452"/>
      <c r="DL108" s="453"/>
      <c r="DM108" s="449">
        <f>+DM112+DM120+DM124+DM128+DM132+DM136+DM116+DM140+DM148+DM152+DM144</f>
        <v>1940</v>
      </c>
      <c r="DN108" s="450"/>
      <c r="DO108" s="451"/>
      <c r="DP108" s="452"/>
      <c r="DQ108" s="453"/>
      <c r="DR108" s="449">
        <f>+DR112+DR120+DR124+DR128+DR132+DR136+DR116+DR140+DR148+DR152+DR144</f>
        <v>0</v>
      </c>
      <c r="DS108" s="450"/>
      <c r="DT108" s="451"/>
      <c r="DU108" s="452"/>
      <c r="DV108" s="453"/>
      <c r="DW108" s="449">
        <f>+DW112+DW120+DW124+DW128+DW132+DW136+DW116+DW140+DW148+DW152+DW144</f>
        <v>0</v>
      </c>
      <c r="DX108" s="450"/>
      <c r="DY108" s="451"/>
      <c r="DZ108" s="452"/>
      <c r="EA108" s="453"/>
      <c r="EB108" s="449">
        <f>+EB112+EB120+EB124+EB128+EB132+EB136+EB116+EB140+EB148+EB152+EB144</f>
        <v>0</v>
      </c>
      <c r="EC108" s="450"/>
      <c r="ED108" s="451"/>
      <c r="EE108" s="452"/>
      <c r="EF108" s="453"/>
      <c r="EG108" s="449">
        <f>+EG112+EG120+EG124+EG128+EG132+EG136+EG116+EG140+EG148+EG152+EG144</f>
        <v>12046193</v>
      </c>
      <c r="EH108" s="450"/>
      <c r="EI108" s="451"/>
      <c r="EJ108" s="452"/>
      <c r="EK108" s="453"/>
      <c r="EL108" s="449">
        <f>+EL112+EL120+EL124+EL128+EL132+EL136+EL116+EL140+EL148+EL152+EL144</f>
        <v>14906098</v>
      </c>
      <c r="EM108" s="450"/>
      <c r="EN108" s="451"/>
      <c r="EO108" s="13"/>
    </row>
    <row r="109" spans="4:145" x14ac:dyDescent="0.2">
      <c r="D109" s="13" t="s">
        <v>471</v>
      </c>
      <c r="E109" s="198"/>
      <c r="F109" s="385"/>
      <c r="G109" s="463">
        <f>+G113+G121+G125+G129+G133+G137+G117+G141+G149+G153+G145</f>
        <v>6456000</v>
      </c>
      <c r="H109" s="464"/>
      <c r="I109" s="451"/>
      <c r="J109" s="452"/>
      <c r="K109" s="465"/>
      <c r="L109" s="463">
        <f>+L113+L121+L125+L129+L133+L137+L117+L141+L149+L153+L145</f>
        <v>386018</v>
      </c>
      <c r="M109" s="464"/>
      <c r="N109" s="451"/>
      <c r="O109" s="452"/>
      <c r="P109" s="465"/>
      <c r="Q109" s="463">
        <f>+Q113+Q121+Q125+Q129+Q133+Q137+Q117+Q141+Q149+Q153+Q145</f>
        <v>2969263</v>
      </c>
      <c r="R109" s="464"/>
      <c r="S109" s="451"/>
      <c r="T109" s="452"/>
      <c r="U109" s="465"/>
      <c r="V109" s="463">
        <f>+V113+V121+V125+V129+V133+V137+V117+V141+V149+V153+V145</f>
        <v>3095425</v>
      </c>
      <c r="W109" s="464"/>
      <c r="X109" s="451"/>
      <c r="Y109" s="452"/>
      <c r="Z109" s="465"/>
      <c r="AA109" s="463">
        <f>+AA113+AA121+AA125+AA129+AA133+AA137+AA117+AA141+AA149+AA153+AA145</f>
        <v>0</v>
      </c>
      <c r="AB109" s="464"/>
      <c r="AC109" s="451"/>
      <c r="AD109" s="452"/>
      <c r="AE109" s="465"/>
      <c r="AF109" s="463">
        <f>+AF113+AF121+AF125+AF129+AF133+AF137+AF117+AF141+AF149+AF153+AF145</f>
        <v>0</v>
      </c>
      <c r="AG109" s="464"/>
      <c r="AH109" s="451"/>
      <c r="AI109" s="452"/>
      <c r="AJ109" s="465"/>
      <c r="AK109" s="463">
        <f>+AK113+AK121+AK125+AK129+AK133+AK137+AK117+AK141+AK149+AK153+AK145</f>
        <v>0</v>
      </c>
      <c r="AL109" s="464"/>
      <c r="AM109" s="451"/>
      <c r="AN109" s="452"/>
      <c r="AO109" s="465"/>
      <c r="AP109" s="463">
        <f>+AP113+AP121+AP125+AP129+AP133+AP137+AP117+AP141+AP149+AP153+AP145</f>
        <v>0</v>
      </c>
      <c r="AQ109" s="464"/>
      <c r="AR109" s="451"/>
      <c r="AS109" s="452"/>
      <c r="AT109" s="465"/>
      <c r="AU109" s="463">
        <f>+AU113+AU121+AU125+AU129+AU133+AU137+AU117+AU141+AU149+AU153+AU145</f>
        <v>5027</v>
      </c>
      <c r="AV109" s="464"/>
      <c r="AW109" s="451"/>
      <c r="AX109" s="452"/>
      <c r="AY109" s="465"/>
      <c r="AZ109" s="463">
        <f>+AZ113+AZ121+AZ125+AZ129+AZ133+AZ137+AZ117+AZ141+AZ149+AZ153+AZ145</f>
        <v>0</v>
      </c>
      <c r="BA109" s="464"/>
      <c r="BB109" s="451"/>
      <c r="BC109" s="452"/>
      <c r="BD109" s="465"/>
      <c r="BE109" s="463">
        <f>+BE113+BE121+BE125+BE129+BE133+BE137+BE117+BE141+BE149+BE153+BE145</f>
        <v>0</v>
      </c>
      <c r="BF109" s="464"/>
      <c r="BG109" s="451"/>
      <c r="BH109" s="452"/>
      <c r="BI109" s="465"/>
      <c r="BJ109" s="463">
        <f>+BJ113+BJ121+BJ125+BJ129+BJ133+BJ137+BJ117+BJ141+BJ149+BJ153+BJ145</f>
        <v>0</v>
      </c>
      <c r="BK109" s="464"/>
      <c r="BL109" s="451"/>
      <c r="BM109" s="452"/>
      <c r="BN109" s="465"/>
      <c r="BO109" s="463">
        <v>0</v>
      </c>
      <c r="BP109" s="464"/>
      <c r="BQ109" s="451"/>
      <c r="BR109" s="452"/>
      <c r="BS109" s="465"/>
      <c r="BT109" s="463">
        <f>+BT113+BT121+BT125+BT129+BT133+BT137+BT117+BT141+BT149+BT153+BT145</f>
        <v>6455733</v>
      </c>
      <c r="BU109" s="464"/>
      <c r="BV109" s="451"/>
      <c r="BW109" s="452"/>
      <c r="BX109" s="465"/>
      <c r="BY109" s="463">
        <v>24276666</v>
      </c>
      <c r="BZ109" s="464"/>
      <c r="CA109" s="451"/>
      <c r="CB109" s="452"/>
      <c r="CC109" s="465"/>
      <c r="CD109" s="463">
        <f>+CD113+CD121+CD125+CD129+CD133+CD137+CD117+CD141+CD149+CD153+CD145</f>
        <v>236802</v>
      </c>
      <c r="CE109" s="464"/>
      <c r="CF109" s="451"/>
      <c r="CG109" s="452"/>
      <c r="CH109" s="465"/>
      <c r="CI109" s="463">
        <f>+CI113+CI121+CI125+CI129+CI133+CI137+CI117+CI141+CI149+CI153+CI145</f>
        <v>11126521</v>
      </c>
      <c r="CJ109" s="464"/>
      <c r="CK109" s="451"/>
      <c r="CL109" s="452"/>
      <c r="CM109" s="465"/>
      <c r="CN109" s="463">
        <f>+CN113+CN121+CN125+CN129+CN133+CN137+CN117+CN141+CN149+CN153+CN145</f>
        <v>0</v>
      </c>
      <c r="CO109" s="464"/>
      <c r="CP109" s="451"/>
      <c r="CQ109" s="452"/>
      <c r="CR109" s="465"/>
      <c r="CS109" s="463">
        <f>+CS113+CS121+CS125+CS129+CS133+CS137+CS117+CS141+CS149+CS153+CS145</f>
        <v>0</v>
      </c>
      <c r="CT109" s="464"/>
      <c r="CU109" s="451"/>
      <c r="CV109" s="452"/>
      <c r="CW109" s="465"/>
      <c r="CX109" s="463">
        <f>+CX113+CX121+CX125+CX129+CX133+CX137+CX117+CX141+CX149+CX153+CX145</f>
        <v>0</v>
      </c>
      <c r="CY109" s="464"/>
      <c r="CZ109" s="451"/>
      <c r="DA109" s="452"/>
      <c r="DB109" s="465"/>
      <c r="DC109" s="463">
        <f>+DC113+DC121+DC125+DC129+DC133+DC137+DC117+DC141+DC149+DC153+DC145</f>
        <v>0</v>
      </c>
      <c r="DD109" s="464"/>
      <c r="DE109" s="451"/>
      <c r="DF109" s="452"/>
      <c r="DG109" s="465"/>
      <c r="DH109" s="463">
        <f>+DH113+DH121+DH125+DH129+DH133+DH137+DH117+DH141+DH149+DH153+DH145</f>
        <v>262844</v>
      </c>
      <c r="DI109" s="464"/>
      <c r="DJ109" s="451"/>
      <c r="DK109" s="452"/>
      <c r="DL109" s="465"/>
      <c r="DM109" s="463">
        <f>+DM113+DM121+DM125+DM129+DM133+DM137+DM117+DM141+DM149+DM153+DM145</f>
        <v>4425</v>
      </c>
      <c r="DN109" s="464"/>
      <c r="DO109" s="451"/>
      <c r="DP109" s="452"/>
      <c r="DQ109" s="465"/>
      <c r="DR109" s="463">
        <f>+DR113+DR121+DR125+DR129+DR133+DR137+DR117+DR141+DR149+DR153+DR145</f>
        <v>0</v>
      </c>
      <c r="DS109" s="464"/>
      <c r="DT109" s="451"/>
      <c r="DU109" s="452"/>
      <c r="DV109" s="465"/>
      <c r="DW109" s="463">
        <f>+DW113+DW121+DW125+DW129+DW133+DW137+DW117+DW141+DW149+DW153+DW145</f>
        <v>0</v>
      </c>
      <c r="DX109" s="464"/>
      <c r="DY109" s="451"/>
      <c r="DZ109" s="452"/>
      <c r="EA109" s="465"/>
      <c r="EB109" s="463">
        <f>+EB113+EB121+EB125+EB129+EB133+EB137+EB117+EB141+EB149+EB153+EB145</f>
        <v>0</v>
      </c>
      <c r="EC109" s="464"/>
      <c r="ED109" s="451"/>
      <c r="EE109" s="452"/>
      <c r="EF109" s="465"/>
      <c r="EG109" s="463">
        <f>+EG113+EG121+EG125+EG129+EG133+EG137+EG117+EG141+EG149+EG153+EG145</f>
        <v>12646074</v>
      </c>
      <c r="EH109" s="464"/>
      <c r="EI109" s="451"/>
      <c r="EJ109" s="452"/>
      <c r="EK109" s="465"/>
      <c r="EL109" s="463">
        <f>+EL113+EL121+EL125+EL129+EL133+EL137+EL117+EL141+EL149+EL153+EL145</f>
        <v>11630592</v>
      </c>
      <c r="EM109" s="464"/>
      <c r="EN109" s="451"/>
      <c r="EO109" s="13"/>
    </row>
    <row r="110" spans="4:145" x14ac:dyDescent="0.2">
      <c r="D110" s="13"/>
      <c r="E110" s="198"/>
      <c r="G110" s="451"/>
      <c r="H110" s="451"/>
      <c r="I110" s="451"/>
      <c r="J110" s="452"/>
      <c r="K110" s="451"/>
      <c r="L110" s="451"/>
      <c r="M110" s="451"/>
      <c r="N110" s="451"/>
      <c r="O110" s="452"/>
      <c r="P110" s="451"/>
      <c r="Q110" s="451"/>
      <c r="R110" s="451"/>
      <c r="S110" s="451"/>
      <c r="T110" s="452"/>
      <c r="U110" s="451"/>
      <c r="V110" s="451"/>
      <c r="W110" s="451"/>
      <c r="X110" s="451"/>
      <c r="Y110" s="452"/>
      <c r="Z110" s="451"/>
      <c r="AA110" s="451"/>
      <c r="AB110" s="451"/>
      <c r="AC110" s="451"/>
      <c r="AD110" s="452"/>
      <c r="AE110" s="451"/>
      <c r="AF110" s="451"/>
      <c r="AG110" s="451"/>
      <c r="AH110" s="451"/>
      <c r="AI110" s="452"/>
      <c r="AJ110" s="451"/>
      <c r="AK110" s="451"/>
      <c r="AL110" s="451"/>
      <c r="AM110" s="451"/>
      <c r="AN110" s="452"/>
      <c r="AO110" s="451"/>
      <c r="AP110" s="451"/>
      <c r="AQ110" s="451"/>
      <c r="AR110" s="451"/>
      <c r="AS110" s="452"/>
      <c r="AT110" s="451"/>
      <c r="AU110" s="451"/>
      <c r="AV110" s="451"/>
      <c r="AW110" s="451"/>
      <c r="AX110" s="452"/>
      <c r="AY110" s="451"/>
      <c r="AZ110" s="451"/>
      <c r="BA110" s="451"/>
      <c r="BB110" s="451"/>
      <c r="BC110" s="452"/>
      <c r="BD110" s="451"/>
      <c r="BE110" s="451"/>
      <c r="BF110" s="451"/>
      <c r="BG110" s="451"/>
      <c r="BH110" s="452"/>
      <c r="BI110" s="451"/>
      <c r="BJ110" s="451"/>
      <c r="BK110" s="451"/>
      <c r="BL110" s="451"/>
      <c r="BM110" s="452"/>
      <c r="BN110" s="451"/>
      <c r="BO110" s="451"/>
      <c r="BP110" s="451"/>
      <c r="BQ110" s="451"/>
      <c r="BR110" s="452"/>
      <c r="BS110" s="451"/>
      <c r="BT110" s="451"/>
      <c r="BU110" s="451"/>
      <c r="BV110" s="451"/>
      <c r="BW110" s="452"/>
      <c r="BX110" s="451"/>
      <c r="BY110" s="451"/>
      <c r="BZ110" s="451"/>
      <c r="CA110" s="451"/>
      <c r="CB110" s="452"/>
      <c r="CC110" s="451"/>
      <c r="CD110" s="451"/>
      <c r="CE110" s="451"/>
      <c r="CF110" s="451"/>
      <c r="CG110" s="452"/>
      <c r="CH110" s="451"/>
      <c r="CI110" s="451"/>
      <c r="CJ110" s="451"/>
      <c r="CK110" s="451"/>
      <c r="CL110" s="452"/>
      <c r="CM110" s="451"/>
      <c r="CN110" s="451"/>
      <c r="CO110" s="451"/>
      <c r="CP110" s="451"/>
      <c r="CQ110" s="452"/>
      <c r="CR110" s="451"/>
      <c r="CS110" s="451"/>
      <c r="CT110" s="451"/>
      <c r="CU110" s="451"/>
      <c r="CV110" s="452"/>
      <c r="CW110" s="451"/>
      <c r="CX110" s="451"/>
      <c r="CY110" s="451"/>
      <c r="CZ110" s="451"/>
      <c r="DA110" s="452"/>
      <c r="DB110" s="451"/>
      <c r="DC110" s="451"/>
      <c r="DD110" s="451"/>
      <c r="DE110" s="451"/>
      <c r="DF110" s="452"/>
      <c r="DG110" s="451"/>
      <c r="DH110" s="451"/>
      <c r="DI110" s="451"/>
      <c r="DJ110" s="451"/>
      <c r="DK110" s="452"/>
      <c r="DL110" s="451"/>
      <c r="DM110" s="451"/>
      <c r="DN110" s="451"/>
      <c r="DO110" s="451"/>
      <c r="DP110" s="452"/>
      <c r="DQ110" s="451"/>
      <c r="DR110" s="451"/>
      <c r="DS110" s="451"/>
      <c r="DT110" s="451"/>
      <c r="DU110" s="452"/>
      <c r="DV110" s="451"/>
      <c r="DW110" s="451"/>
      <c r="DX110" s="451"/>
      <c r="DY110" s="451"/>
      <c r="DZ110" s="452"/>
      <c r="EA110" s="451"/>
      <c r="EB110" s="451"/>
      <c r="EC110" s="451"/>
      <c r="ED110" s="451"/>
      <c r="EE110" s="452"/>
      <c r="EF110" s="451"/>
      <c r="EG110" s="451"/>
      <c r="EH110" s="451"/>
      <c r="EI110" s="451"/>
      <c r="EJ110" s="452"/>
      <c r="EK110" s="451"/>
      <c r="EL110" s="451"/>
      <c r="EM110" s="451"/>
      <c r="EN110" s="451"/>
      <c r="EO110" s="13"/>
    </row>
    <row r="111" spans="4:145" x14ac:dyDescent="0.2">
      <c r="D111" s="13" t="s">
        <v>472</v>
      </c>
      <c r="E111" s="198"/>
      <c r="G111" s="451">
        <f>SUM(G112:G113)</f>
        <v>8000</v>
      </c>
      <c r="H111" s="451"/>
      <c r="I111" s="451"/>
      <c r="J111" s="452"/>
      <c r="K111" s="451"/>
      <c r="L111" s="451">
        <f>SUM(L112:L113)</f>
        <v>0</v>
      </c>
      <c r="M111" s="451"/>
      <c r="N111" s="451"/>
      <c r="O111" s="452"/>
      <c r="P111" s="451"/>
      <c r="Q111" s="451">
        <f>SUM(Q112:Q113)</f>
        <v>0</v>
      </c>
      <c r="R111" s="451"/>
      <c r="S111" s="451"/>
      <c r="T111" s="452"/>
      <c r="U111" s="451"/>
      <c r="V111" s="451">
        <f>SUM(V112:V113)</f>
        <v>0</v>
      </c>
      <c r="W111" s="451"/>
      <c r="X111" s="451"/>
      <c r="Y111" s="452"/>
      <c r="Z111" s="451"/>
      <c r="AA111" s="451">
        <f>SUM(AA112:AA113)</f>
        <v>0</v>
      </c>
      <c r="AB111" s="451"/>
      <c r="AC111" s="451"/>
      <c r="AD111" s="452"/>
      <c r="AE111" s="451"/>
      <c r="AF111" s="451">
        <f>SUM(AF112:AF113)</f>
        <v>0</v>
      </c>
      <c r="AG111" s="451"/>
      <c r="AH111" s="451"/>
      <c r="AI111" s="452"/>
      <c r="AJ111" s="451"/>
      <c r="AK111" s="451">
        <f>SUM(AK112:AK113)</f>
        <v>0</v>
      </c>
      <c r="AL111" s="451"/>
      <c r="AM111" s="451"/>
      <c r="AN111" s="452"/>
      <c r="AO111" s="451"/>
      <c r="AP111" s="451">
        <f>SUM(AP112:AP113)</f>
        <v>0</v>
      </c>
      <c r="AQ111" s="451"/>
      <c r="AR111" s="451"/>
      <c r="AS111" s="452"/>
      <c r="AT111" s="451"/>
      <c r="AU111" s="451">
        <f>SUM(AU112:AU113)</f>
        <v>0</v>
      </c>
      <c r="AV111" s="451"/>
      <c r="AW111" s="451"/>
      <c r="AX111" s="452"/>
      <c r="AY111" s="451"/>
      <c r="AZ111" s="451">
        <f>SUM(AZ112:AZ113)</f>
        <v>0</v>
      </c>
      <c r="BA111" s="451"/>
      <c r="BB111" s="451"/>
      <c r="BC111" s="452"/>
      <c r="BD111" s="451"/>
      <c r="BE111" s="451">
        <f>SUM(BE112:BE113)</f>
        <v>0</v>
      </c>
      <c r="BF111" s="451"/>
      <c r="BG111" s="451"/>
      <c r="BH111" s="452"/>
      <c r="BI111" s="451"/>
      <c r="BJ111" s="451">
        <f>SUM(BJ112:BJ113)</f>
        <v>0</v>
      </c>
      <c r="BK111" s="451"/>
      <c r="BL111" s="451"/>
      <c r="BM111" s="452"/>
      <c r="BN111" s="451"/>
      <c r="BO111" s="451">
        <f>SUM(BO112:BO113)</f>
        <v>0</v>
      </c>
      <c r="BP111" s="451"/>
      <c r="BQ111" s="451"/>
      <c r="BR111" s="452"/>
      <c r="BS111" s="451"/>
      <c r="BT111" s="451">
        <f>SUM(BT112:BT113)</f>
        <v>0</v>
      </c>
      <c r="BU111" s="451"/>
      <c r="BV111" s="451"/>
      <c r="BW111" s="452"/>
      <c r="BX111" s="451"/>
      <c r="BY111" s="451">
        <f>SUM(BY112:BY113)</f>
        <v>12630</v>
      </c>
      <c r="BZ111" s="451"/>
      <c r="CA111" s="451"/>
      <c r="CB111" s="452"/>
      <c r="CC111" s="451"/>
      <c r="CD111" s="451">
        <f>SUM(CD112:CD113)</f>
        <v>0</v>
      </c>
      <c r="CE111" s="451"/>
      <c r="CF111" s="451"/>
      <c r="CG111" s="452"/>
      <c r="CH111" s="451"/>
      <c r="CI111" s="451">
        <f>SUM(CI112:CI113)</f>
        <v>6265</v>
      </c>
      <c r="CJ111" s="451"/>
      <c r="CK111" s="451"/>
      <c r="CL111" s="452"/>
      <c r="CM111" s="451"/>
      <c r="CN111" s="451">
        <f>SUM(CN112:CN113)</f>
        <v>0</v>
      </c>
      <c r="CO111" s="451"/>
      <c r="CP111" s="451"/>
      <c r="CQ111" s="452"/>
      <c r="CR111" s="451"/>
      <c r="CS111" s="451">
        <f>SUM(CS112:CS113)</f>
        <v>0</v>
      </c>
      <c r="CT111" s="451"/>
      <c r="CU111" s="451"/>
      <c r="CV111" s="452"/>
      <c r="CW111" s="451"/>
      <c r="CX111" s="451">
        <f>SUM(CX112:CX113)</f>
        <v>0</v>
      </c>
      <c r="CY111" s="451"/>
      <c r="CZ111" s="451"/>
      <c r="DA111" s="452"/>
      <c r="DB111" s="451"/>
      <c r="DC111" s="451">
        <f>SUM(DC112:DC113)</f>
        <v>0</v>
      </c>
      <c r="DD111" s="451"/>
      <c r="DE111" s="451"/>
      <c r="DF111" s="452"/>
      <c r="DG111" s="451"/>
      <c r="DH111" s="451">
        <f>SUM(DH112:DH113)</f>
        <v>0</v>
      </c>
      <c r="DI111" s="451"/>
      <c r="DJ111" s="451"/>
      <c r="DK111" s="452"/>
      <c r="DL111" s="451"/>
      <c r="DM111" s="451">
        <f>SUM(DM112:DM113)</f>
        <v>6365</v>
      </c>
      <c r="DN111" s="451"/>
      <c r="DO111" s="451"/>
      <c r="DP111" s="452"/>
      <c r="DQ111" s="451"/>
      <c r="DR111" s="451">
        <f>SUM(DR112:DR113)</f>
        <v>0</v>
      </c>
      <c r="DS111" s="451"/>
      <c r="DT111" s="451"/>
      <c r="DU111" s="452"/>
      <c r="DV111" s="451"/>
      <c r="DW111" s="451">
        <f>SUM(DW112:DW113)</f>
        <v>0</v>
      </c>
      <c r="DX111" s="451"/>
      <c r="DY111" s="451"/>
      <c r="DZ111" s="452"/>
      <c r="EA111" s="451"/>
      <c r="EB111" s="451">
        <f>SUM(EB112:EB113)</f>
        <v>0</v>
      </c>
      <c r="EC111" s="451"/>
      <c r="ED111" s="451"/>
      <c r="EE111" s="452"/>
      <c r="EF111" s="451"/>
      <c r="EG111" s="451">
        <f>SUM(EG112:EG113)</f>
        <v>0</v>
      </c>
      <c r="EH111" s="451"/>
      <c r="EI111" s="451"/>
      <c r="EJ111" s="452"/>
      <c r="EK111" s="451"/>
      <c r="EL111" s="451">
        <f>SUM(EL112:EL113)</f>
        <v>12630</v>
      </c>
      <c r="EM111" s="451"/>
      <c r="EN111" s="451"/>
      <c r="EO111" s="13"/>
    </row>
    <row r="112" spans="4:145" x14ac:dyDescent="0.2">
      <c r="D112" s="13" t="s">
        <v>470</v>
      </c>
      <c r="E112" s="198"/>
      <c r="F112" s="374"/>
      <c r="G112" s="449">
        <v>2000</v>
      </c>
      <c r="H112" s="450"/>
      <c r="I112" s="451"/>
      <c r="J112" s="452"/>
      <c r="K112" s="453"/>
      <c r="L112" s="449">
        <v>0</v>
      </c>
      <c r="M112" s="450"/>
      <c r="N112" s="451"/>
      <c r="O112" s="452"/>
      <c r="P112" s="453"/>
      <c r="Q112" s="449">
        <v>0</v>
      </c>
      <c r="R112" s="450"/>
      <c r="S112" s="451"/>
      <c r="T112" s="452"/>
      <c r="U112" s="453"/>
      <c r="V112" s="449">
        <v>0</v>
      </c>
      <c r="W112" s="450"/>
      <c r="X112" s="451"/>
      <c r="Y112" s="452"/>
      <c r="Z112" s="453"/>
      <c r="AA112" s="449">
        <v>0</v>
      </c>
      <c r="AB112" s="450"/>
      <c r="AC112" s="451"/>
      <c r="AD112" s="452"/>
      <c r="AE112" s="453"/>
      <c r="AF112" s="449">
        <v>0</v>
      </c>
      <c r="AG112" s="450"/>
      <c r="AH112" s="451"/>
      <c r="AI112" s="452"/>
      <c r="AJ112" s="453"/>
      <c r="AK112" s="449">
        <v>0</v>
      </c>
      <c r="AL112" s="450"/>
      <c r="AM112" s="451"/>
      <c r="AN112" s="452"/>
      <c r="AO112" s="453"/>
      <c r="AP112" s="449">
        <v>0</v>
      </c>
      <c r="AQ112" s="450"/>
      <c r="AR112" s="451"/>
      <c r="AS112" s="452"/>
      <c r="AT112" s="453"/>
      <c r="AU112" s="449">
        <v>0</v>
      </c>
      <c r="AV112" s="450"/>
      <c r="AW112" s="451"/>
      <c r="AX112" s="452"/>
      <c r="AY112" s="453"/>
      <c r="AZ112" s="449">
        <v>0</v>
      </c>
      <c r="BA112" s="450"/>
      <c r="BB112" s="451"/>
      <c r="BC112" s="452"/>
      <c r="BD112" s="453"/>
      <c r="BE112" s="449">
        <v>0</v>
      </c>
      <c r="BF112" s="450"/>
      <c r="BG112" s="451"/>
      <c r="BH112" s="452"/>
      <c r="BI112" s="453"/>
      <c r="BJ112" s="449">
        <v>0</v>
      </c>
      <c r="BK112" s="450"/>
      <c r="BL112" s="451"/>
      <c r="BM112" s="452"/>
      <c r="BN112" s="453"/>
      <c r="BO112" s="449">
        <v>0</v>
      </c>
      <c r="BP112" s="450"/>
      <c r="BQ112" s="451"/>
      <c r="BR112" s="452"/>
      <c r="BS112" s="453"/>
      <c r="BT112" s="449">
        <f>SUM(L112:BO112)</f>
        <v>0</v>
      </c>
      <c r="BU112" s="450"/>
      <c r="BV112" s="451"/>
      <c r="BW112" s="452"/>
      <c r="BX112" s="453"/>
      <c r="BY112" s="449">
        <v>3879</v>
      </c>
      <c r="BZ112" s="450"/>
      <c r="CA112" s="451"/>
      <c r="CB112" s="452"/>
      <c r="CC112" s="453"/>
      <c r="CD112" s="449">
        <v>0</v>
      </c>
      <c r="CE112" s="450"/>
      <c r="CF112" s="451"/>
      <c r="CG112" s="452"/>
      <c r="CH112" s="453"/>
      <c r="CI112" s="449">
        <v>1939</v>
      </c>
      <c r="CJ112" s="450"/>
      <c r="CK112" s="451"/>
      <c r="CL112" s="452"/>
      <c r="CM112" s="453"/>
      <c r="CN112" s="449">
        <v>0</v>
      </c>
      <c r="CO112" s="450"/>
      <c r="CP112" s="451"/>
      <c r="CQ112" s="452"/>
      <c r="CR112" s="453"/>
      <c r="CS112" s="449">
        <v>0</v>
      </c>
      <c r="CT112" s="450"/>
      <c r="CU112" s="451"/>
      <c r="CV112" s="452"/>
      <c r="CW112" s="453"/>
      <c r="CX112" s="449">
        <v>0</v>
      </c>
      <c r="CY112" s="450"/>
      <c r="CZ112" s="451"/>
      <c r="DA112" s="452"/>
      <c r="DB112" s="453"/>
      <c r="DC112" s="449">
        <v>0</v>
      </c>
      <c r="DD112" s="450"/>
      <c r="DE112" s="451"/>
      <c r="DF112" s="452"/>
      <c r="DG112" s="453"/>
      <c r="DH112" s="449">
        <v>0</v>
      </c>
      <c r="DI112" s="450"/>
      <c r="DJ112" s="451"/>
      <c r="DK112" s="452"/>
      <c r="DL112" s="453"/>
      <c r="DM112" s="449">
        <f>1940</f>
        <v>1940</v>
      </c>
      <c r="DN112" s="450"/>
      <c r="DO112" s="451"/>
      <c r="DP112" s="452"/>
      <c r="DQ112" s="453"/>
      <c r="DR112" s="449">
        <v>0</v>
      </c>
      <c r="DS112" s="450"/>
      <c r="DT112" s="451"/>
      <c r="DU112" s="452"/>
      <c r="DV112" s="453"/>
      <c r="DW112" s="449">
        <v>0</v>
      </c>
      <c r="DX112" s="450"/>
      <c r="DY112" s="451"/>
      <c r="DZ112" s="452"/>
      <c r="EA112" s="453"/>
      <c r="EB112" s="449">
        <v>0</v>
      </c>
      <c r="EC112" s="450"/>
      <c r="ED112" s="451"/>
      <c r="EE112" s="452"/>
      <c r="EF112" s="453"/>
      <c r="EG112" s="449">
        <v>0</v>
      </c>
      <c r="EH112" s="450"/>
      <c r="EI112" s="451"/>
      <c r="EJ112" s="452"/>
      <c r="EK112" s="453"/>
      <c r="EL112" s="449">
        <f>SUM(CD112:DW112)</f>
        <v>3879</v>
      </c>
      <c r="EM112" s="450"/>
      <c r="EN112" s="451"/>
      <c r="EO112" s="13"/>
    </row>
    <row r="113" spans="4:145" x14ac:dyDescent="0.2">
      <c r="D113" s="13" t="s">
        <v>471</v>
      </c>
      <c r="E113" s="198"/>
      <c r="F113" s="385"/>
      <c r="G113" s="463">
        <v>6000</v>
      </c>
      <c r="H113" s="464"/>
      <c r="I113" s="451"/>
      <c r="J113" s="452"/>
      <c r="K113" s="465"/>
      <c r="L113" s="463">
        <v>0</v>
      </c>
      <c r="M113" s="464"/>
      <c r="N113" s="451"/>
      <c r="O113" s="452"/>
      <c r="P113" s="465"/>
      <c r="Q113" s="463">
        <v>0</v>
      </c>
      <c r="R113" s="464"/>
      <c r="S113" s="451"/>
      <c r="T113" s="452"/>
      <c r="U113" s="465"/>
      <c r="V113" s="463">
        <v>0</v>
      </c>
      <c r="W113" s="464"/>
      <c r="X113" s="451"/>
      <c r="Y113" s="452"/>
      <c r="Z113" s="465"/>
      <c r="AA113" s="463">
        <v>0</v>
      </c>
      <c r="AB113" s="464"/>
      <c r="AC113" s="451"/>
      <c r="AD113" s="452"/>
      <c r="AE113" s="465"/>
      <c r="AF113" s="463">
        <v>0</v>
      </c>
      <c r="AG113" s="464"/>
      <c r="AH113" s="451"/>
      <c r="AI113" s="452"/>
      <c r="AJ113" s="465"/>
      <c r="AK113" s="463">
        <v>0</v>
      </c>
      <c r="AL113" s="464"/>
      <c r="AM113" s="451"/>
      <c r="AN113" s="452"/>
      <c r="AO113" s="465"/>
      <c r="AP113" s="463">
        <v>0</v>
      </c>
      <c r="AQ113" s="464"/>
      <c r="AR113" s="451"/>
      <c r="AS113" s="452"/>
      <c r="AT113" s="465"/>
      <c r="AU113" s="463">
        <v>0</v>
      </c>
      <c r="AV113" s="464"/>
      <c r="AW113" s="451"/>
      <c r="AX113" s="452"/>
      <c r="AY113" s="465"/>
      <c r="AZ113" s="463">
        <v>0</v>
      </c>
      <c r="BA113" s="464"/>
      <c r="BB113" s="451"/>
      <c r="BC113" s="452"/>
      <c r="BD113" s="465"/>
      <c r="BE113" s="463">
        <v>0</v>
      </c>
      <c r="BF113" s="464"/>
      <c r="BG113" s="451"/>
      <c r="BH113" s="452"/>
      <c r="BI113" s="465"/>
      <c r="BJ113" s="463">
        <v>0</v>
      </c>
      <c r="BK113" s="464"/>
      <c r="BL113" s="451"/>
      <c r="BM113" s="452"/>
      <c r="BN113" s="465"/>
      <c r="BO113" s="463">
        <v>0</v>
      </c>
      <c r="BP113" s="464"/>
      <c r="BQ113" s="451"/>
      <c r="BR113" s="452"/>
      <c r="BS113" s="465"/>
      <c r="BT113" s="463">
        <f>SUM(L113:BO113)</f>
        <v>0</v>
      </c>
      <c r="BU113" s="464"/>
      <c r="BV113" s="451"/>
      <c r="BW113" s="452"/>
      <c r="BX113" s="465"/>
      <c r="BY113" s="463">
        <v>8751</v>
      </c>
      <c r="BZ113" s="464"/>
      <c r="CA113" s="451"/>
      <c r="CB113" s="452"/>
      <c r="CC113" s="465"/>
      <c r="CD113" s="463">
        <v>0</v>
      </c>
      <c r="CE113" s="464"/>
      <c r="CF113" s="451"/>
      <c r="CG113" s="452"/>
      <c r="CH113" s="465"/>
      <c r="CI113" s="463">
        <v>4326</v>
      </c>
      <c r="CJ113" s="464"/>
      <c r="CK113" s="451"/>
      <c r="CL113" s="452"/>
      <c r="CM113" s="465"/>
      <c r="CN113" s="463">
        <v>0</v>
      </c>
      <c r="CO113" s="464"/>
      <c r="CP113" s="451"/>
      <c r="CQ113" s="452"/>
      <c r="CR113" s="465"/>
      <c r="CS113" s="463">
        <v>0</v>
      </c>
      <c r="CT113" s="464"/>
      <c r="CU113" s="451"/>
      <c r="CV113" s="452"/>
      <c r="CW113" s="465"/>
      <c r="CX113" s="463">
        <v>0</v>
      </c>
      <c r="CY113" s="464"/>
      <c r="CZ113" s="451"/>
      <c r="DA113" s="452"/>
      <c r="DB113" s="465"/>
      <c r="DC113" s="463">
        <v>0</v>
      </c>
      <c r="DD113" s="464"/>
      <c r="DE113" s="451"/>
      <c r="DF113" s="452"/>
      <c r="DG113" s="465"/>
      <c r="DH113" s="463">
        <v>0</v>
      </c>
      <c r="DI113" s="464"/>
      <c r="DJ113" s="451"/>
      <c r="DK113" s="452"/>
      <c r="DL113" s="465"/>
      <c r="DM113" s="463">
        <f>4425</f>
        <v>4425</v>
      </c>
      <c r="DN113" s="464"/>
      <c r="DO113" s="451"/>
      <c r="DP113" s="452"/>
      <c r="DQ113" s="465"/>
      <c r="DR113" s="463">
        <v>0</v>
      </c>
      <c r="DS113" s="464"/>
      <c r="DT113" s="451"/>
      <c r="DU113" s="452"/>
      <c r="DV113" s="465"/>
      <c r="DW113" s="463">
        <v>0</v>
      </c>
      <c r="DX113" s="464"/>
      <c r="DY113" s="451"/>
      <c r="DZ113" s="452"/>
      <c r="EA113" s="465"/>
      <c r="EB113" s="463">
        <v>0</v>
      </c>
      <c r="EC113" s="464"/>
      <c r="ED113" s="451"/>
      <c r="EE113" s="452"/>
      <c r="EF113" s="465"/>
      <c r="EG113" s="463">
        <v>0</v>
      </c>
      <c r="EH113" s="464"/>
      <c r="EI113" s="451"/>
      <c r="EJ113" s="452"/>
      <c r="EK113" s="465"/>
      <c r="EL113" s="463">
        <f>SUM(CD113:DW113)</f>
        <v>8751</v>
      </c>
      <c r="EM113" s="464"/>
      <c r="EN113" s="451"/>
      <c r="EO113" s="13"/>
    </row>
    <row r="114" spans="4:145" x14ac:dyDescent="0.2">
      <c r="D114" s="13"/>
      <c r="E114" s="198"/>
      <c r="G114" s="451"/>
      <c r="H114" s="451"/>
      <c r="I114" s="451"/>
      <c r="J114" s="452"/>
      <c r="K114" s="451"/>
      <c r="L114" s="451"/>
      <c r="M114" s="451"/>
      <c r="N114" s="451"/>
      <c r="O114" s="452"/>
      <c r="P114" s="451"/>
      <c r="Q114" s="451"/>
      <c r="R114" s="451"/>
      <c r="S114" s="451"/>
      <c r="T114" s="452"/>
      <c r="U114" s="451"/>
      <c r="V114" s="451"/>
      <c r="W114" s="451"/>
      <c r="X114" s="451"/>
      <c r="Y114" s="452"/>
      <c r="Z114" s="451"/>
      <c r="AA114" s="451"/>
      <c r="AB114" s="451"/>
      <c r="AC114" s="451"/>
      <c r="AD114" s="452"/>
      <c r="AE114" s="451"/>
      <c r="AF114" s="451"/>
      <c r="AG114" s="451"/>
      <c r="AH114" s="451"/>
      <c r="AI114" s="452"/>
      <c r="AJ114" s="451"/>
      <c r="AK114" s="451"/>
      <c r="AL114" s="451"/>
      <c r="AM114" s="451"/>
      <c r="AN114" s="452"/>
      <c r="AO114" s="451"/>
      <c r="AP114" s="451"/>
      <c r="AQ114" s="451"/>
      <c r="AR114" s="451"/>
      <c r="AS114" s="452"/>
      <c r="AT114" s="451"/>
      <c r="AU114" s="451"/>
      <c r="AV114" s="451"/>
      <c r="AW114" s="451"/>
      <c r="AX114" s="452"/>
      <c r="AY114" s="451"/>
      <c r="AZ114" s="451"/>
      <c r="BA114" s="451"/>
      <c r="BB114" s="451"/>
      <c r="BC114" s="452"/>
      <c r="BD114" s="451"/>
      <c r="BE114" s="451"/>
      <c r="BF114" s="451"/>
      <c r="BG114" s="451"/>
      <c r="BH114" s="452"/>
      <c r="BI114" s="451"/>
      <c r="BJ114" s="451"/>
      <c r="BK114" s="451"/>
      <c r="BL114" s="451"/>
      <c r="BM114" s="452"/>
      <c r="BN114" s="451"/>
      <c r="BO114" s="451"/>
      <c r="BP114" s="451"/>
      <c r="BQ114" s="451"/>
      <c r="BR114" s="452"/>
      <c r="BS114" s="451"/>
      <c r="BT114" s="451"/>
      <c r="BU114" s="451"/>
      <c r="BV114" s="451"/>
      <c r="BW114" s="452"/>
      <c r="BX114" s="451"/>
      <c r="BY114" s="451"/>
      <c r="BZ114" s="451"/>
      <c r="CA114" s="451"/>
      <c r="CB114" s="452"/>
      <c r="CC114" s="451"/>
      <c r="CD114" s="451"/>
      <c r="CE114" s="451"/>
      <c r="CF114" s="451"/>
      <c r="CG114" s="452"/>
      <c r="CH114" s="451"/>
      <c r="CI114" s="451"/>
      <c r="CJ114" s="451"/>
      <c r="CK114" s="451"/>
      <c r="CL114" s="452"/>
      <c r="CM114" s="451"/>
      <c r="CN114" s="451"/>
      <c r="CO114" s="451"/>
      <c r="CP114" s="451"/>
      <c r="CQ114" s="452"/>
      <c r="CR114" s="451"/>
      <c r="CS114" s="451"/>
      <c r="CT114" s="451"/>
      <c r="CU114" s="451"/>
      <c r="CV114" s="452"/>
      <c r="CW114" s="451"/>
      <c r="CX114" s="451"/>
      <c r="CY114" s="451"/>
      <c r="CZ114" s="451"/>
      <c r="DA114" s="452"/>
      <c r="DB114" s="451"/>
      <c r="DC114" s="451"/>
      <c r="DD114" s="451"/>
      <c r="DE114" s="451"/>
      <c r="DF114" s="452"/>
      <c r="DG114" s="451"/>
      <c r="DH114" s="451"/>
      <c r="DI114" s="451"/>
      <c r="DJ114" s="451"/>
      <c r="DK114" s="452"/>
      <c r="DL114" s="451"/>
      <c r="DM114" s="451"/>
      <c r="DN114" s="451"/>
      <c r="DO114" s="451"/>
      <c r="DP114" s="452"/>
      <c r="DQ114" s="451"/>
      <c r="DR114" s="451"/>
      <c r="DS114" s="451"/>
      <c r="DT114" s="451"/>
      <c r="DU114" s="452"/>
      <c r="DV114" s="451"/>
      <c r="DW114" s="451"/>
      <c r="DX114" s="451"/>
      <c r="DY114" s="451"/>
      <c r="DZ114" s="452"/>
      <c r="EA114" s="451"/>
      <c r="EB114" s="451"/>
      <c r="EC114" s="451"/>
      <c r="ED114" s="451"/>
      <c r="EE114" s="452"/>
      <c r="EF114" s="451"/>
      <c r="EG114" s="451"/>
      <c r="EH114" s="451"/>
      <c r="EI114" s="451"/>
      <c r="EJ114" s="452"/>
      <c r="EK114" s="451"/>
      <c r="EL114" s="451"/>
      <c r="EM114" s="451"/>
      <c r="EN114" s="451"/>
      <c r="EO114" s="13"/>
    </row>
    <row r="115" spans="4:145" x14ac:dyDescent="0.2">
      <c r="D115" s="13" t="s">
        <v>473</v>
      </c>
      <c r="E115" s="198"/>
      <c r="G115" s="451">
        <f>SUM(G116:G117)</f>
        <v>0</v>
      </c>
      <c r="H115" s="451"/>
      <c r="I115" s="451"/>
      <c r="J115" s="452"/>
      <c r="K115" s="451"/>
      <c r="L115" s="451">
        <f>SUM(L116:L117)</f>
        <v>0</v>
      </c>
      <c r="M115" s="451"/>
      <c r="N115" s="451"/>
      <c r="O115" s="452"/>
      <c r="P115" s="451"/>
      <c r="Q115" s="451">
        <f>SUM(Q116:Q117)</f>
        <v>0</v>
      </c>
      <c r="R115" s="451"/>
      <c r="S115" s="451"/>
      <c r="T115" s="452"/>
      <c r="U115" s="451"/>
      <c r="V115" s="451">
        <f>SUM(V116:V117)</f>
        <v>0</v>
      </c>
      <c r="W115" s="451"/>
      <c r="X115" s="451"/>
      <c r="Y115" s="452"/>
      <c r="Z115" s="451"/>
      <c r="AA115" s="451">
        <f>SUM(AA116:AA117)</f>
        <v>0</v>
      </c>
      <c r="AB115" s="451"/>
      <c r="AC115" s="451"/>
      <c r="AD115" s="452"/>
      <c r="AE115" s="451"/>
      <c r="AF115" s="451">
        <f>SUM(AF116:AF117)</f>
        <v>0</v>
      </c>
      <c r="AG115" s="451"/>
      <c r="AH115" s="451"/>
      <c r="AI115" s="452"/>
      <c r="AJ115" s="451"/>
      <c r="AK115" s="451">
        <f>SUM(AK116:AK117)</f>
        <v>0</v>
      </c>
      <c r="AL115" s="451"/>
      <c r="AM115" s="451"/>
      <c r="AN115" s="452"/>
      <c r="AO115" s="451"/>
      <c r="AP115" s="451">
        <f>SUM(AP116:AP117)</f>
        <v>0</v>
      </c>
      <c r="AQ115" s="451"/>
      <c r="AR115" s="451"/>
      <c r="AS115" s="452"/>
      <c r="AT115" s="451"/>
      <c r="AU115" s="451">
        <f>SUM(AU116:AU117)</f>
        <v>0</v>
      </c>
      <c r="AV115" s="451"/>
      <c r="AW115" s="451"/>
      <c r="AX115" s="452"/>
      <c r="AY115" s="451"/>
      <c r="AZ115" s="451">
        <f>SUM(AZ116:AZ117)</f>
        <v>0</v>
      </c>
      <c r="BA115" s="451"/>
      <c r="BB115" s="451"/>
      <c r="BC115" s="452"/>
      <c r="BD115" s="451"/>
      <c r="BE115" s="451">
        <f>SUM(BE116:BE117)</f>
        <v>0</v>
      </c>
      <c r="BF115" s="451"/>
      <c r="BG115" s="451"/>
      <c r="BH115" s="452"/>
      <c r="BI115" s="451"/>
      <c r="BJ115" s="451">
        <f>SUM(BJ116:BJ117)</f>
        <v>0</v>
      </c>
      <c r="BK115" s="451"/>
      <c r="BL115" s="451"/>
      <c r="BM115" s="452"/>
      <c r="BN115" s="451"/>
      <c r="BO115" s="451">
        <f>SUM(BO116:BO117)</f>
        <v>0</v>
      </c>
      <c r="BP115" s="451"/>
      <c r="BQ115" s="451"/>
      <c r="BR115" s="452"/>
      <c r="BS115" s="451"/>
      <c r="BT115" s="451">
        <f>SUM(BT116:BT117)</f>
        <v>0</v>
      </c>
      <c r="BU115" s="451"/>
      <c r="BV115" s="451"/>
      <c r="BW115" s="452"/>
      <c r="BX115" s="451"/>
      <c r="BY115" s="451">
        <f>SUM(BY116:BY117)</f>
        <v>25241120</v>
      </c>
      <c r="BZ115" s="451"/>
      <c r="CA115" s="451"/>
      <c r="CB115" s="452"/>
      <c r="CC115" s="451"/>
      <c r="CD115" s="451">
        <f>SUM(CD116:CD117)</f>
        <v>0</v>
      </c>
      <c r="CE115" s="451"/>
      <c r="CF115" s="451"/>
      <c r="CG115" s="452"/>
      <c r="CH115" s="451"/>
      <c r="CI115" s="451">
        <f>SUM(CI116:CI117)</f>
        <v>25241120</v>
      </c>
      <c r="CJ115" s="451"/>
      <c r="CK115" s="451"/>
      <c r="CL115" s="452"/>
      <c r="CM115" s="451"/>
      <c r="CN115" s="451">
        <f>SUM(CN116:CN117)</f>
        <v>0</v>
      </c>
      <c r="CO115" s="451"/>
      <c r="CP115" s="451"/>
      <c r="CQ115" s="452"/>
      <c r="CR115" s="451"/>
      <c r="CS115" s="451">
        <f>SUM(CS116:CS117)</f>
        <v>0</v>
      </c>
      <c r="CT115" s="451"/>
      <c r="CU115" s="451"/>
      <c r="CV115" s="452"/>
      <c r="CW115" s="451"/>
      <c r="CX115" s="451">
        <f>SUM(CX116:CX117)</f>
        <v>0</v>
      </c>
      <c r="CY115" s="451"/>
      <c r="CZ115" s="451"/>
      <c r="DA115" s="452"/>
      <c r="DB115" s="451"/>
      <c r="DC115" s="451">
        <f>SUM(DC116:DC117)</f>
        <v>0</v>
      </c>
      <c r="DD115" s="451"/>
      <c r="DE115" s="451"/>
      <c r="DF115" s="452"/>
      <c r="DG115" s="451"/>
      <c r="DH115" s="451">
        <f>SUM(DH116:DH117)</f>
        <v>0</v>
      </c>
      <c r="DI115" s="451"/>
      <c r="DJ115" s="451"/>
      <c r="DK115" s="452"/>
      <c r="DL115" s="451"/>
      <c r="DM115" s="451">
        <f>SUM(DM116:DM117)</f>
        <v>0</v>
      </c>
      <c r="DN115" s="451"/>
      <c r="DO115" s="451"/>
      <c r="DP115" s="452"/>
      <c r="DQ115" s="451"/>
      <c r="DR115" s="451">
        <f>SUM(DR116:DR117)</f>
        <v>0</v>
      </c>
      <c r="DS115" s="451"/>
      <c r="DT115" s="451"/>
      <c r="DU115" s="452"/>
      <c r="DV115" s="451"/>
      <c r="DW115" s="451">
        <f>SUM(DW116:DW117)</f>
        <v>0</v>
      </c>
      <c r="DX115" s="451"/>
      <c r="DY115" s="451"/>
      <c r="DZ115" s="452"/>
      <c r="EA115" s="451"/>
      <c r="EB115" s="451">
        <f>SUM(EB116:EB117)</f>
        <v>0</v>
      </c>
      <c r="EC115" s="451"/>
      <c r="ED115" s="451"/>
      <c r="EE115" s="452"/>
      <c r="EF115" s="451"/>
      <c r="EG115" s="451">
        <f>SUM(EG116:EG117)</f>
        <v>0</v>
      </c>
      <c r="EH115" s="451"/>
      <c r="EI115" s="451"/>
      <c r="EJ115" s="452"/>
      <c r="EK115" s="451"/>
      <c r="EL115" s="451">
        <f>SUM(EL116:EL117)</f>
        <v>25241120</v>
      </c>
      <c r="EM115" s="451"/>
      <c r="EN115" s="451"/>
      <c r="EO115" s="13"/>
    </row>
    <row r="116" spans="4:145" x14ac:dyDescent="0.2">
      <c r="D116" s="13" t="s">
        <v>470</v>
      </c>
      <c r="E116" s="198"/>
      <c r="F116" s="374"/>
      <c r="G116" s="449">
        <v>0</v>
      </c>
      <c r="H116" s="450"/>
      <c r="I116" s="451"/>
      <c r="J116" s="452"/>
      <c r="K116" s="453"/>
      <c r="L116" s="449">
        <v>0</v>
      </c>
      <c r="M116" s="450"/>
      <c r="N116" s="451"/>
      <c r="O116" s="452"/>
      <c r="P116" s="453"/>
      <c r="Q116" s="449">
        <v>0</v>
      </c>
      <c r="R116" s="450"/>
      <c r="S116" s="451"/>
      <c r="T116" s="452"/>
      <c r="U116" s="453"/>
      <c r="V116" s="449">
        <v>0</v>
      </c>
      <c r="W116" s="450"/>
      <c r="X116" s="451"/>
      <c r="Y116" s="452"/>
      <c r="Z116" s="453"/>
      <c r="AA116" s="449">
        <v>0</v>
      </c>
      <c r="AB116" s="450"/>
      <c r="AC116" s="451"/>
      <c r="AD116" s="452"/>
      <c r="AE116" s="453"/>
      <c r="AF116" s="449">
        <v>0</v>
      </c>
      <c r="AG116" s="450"/>
      <c r="AH116" s="451"/>
      <c r="AI116" s="452"/>
      <c r="AJ116" s="453"/>
      <c r="AK116" s="449">
        <v>0</v>
      </c>
      <c r="AL116" s="450"/>
      <c r="AM116" s="451"/>
      <c r="AN116" s="452"/>
      <c r="AO116" s="453"/>
      <c r="AP116" s="449">
        <v>0</v>
      </c>
      <c r="AQ116" s="450"/>
      <c r="AR116" s="451"/>
      <c r="AS116" s="452"/>
      <c r="AT116" s="453"/>
      <c r="AU116" s="449">
        <v>0</v>
      </c>
      <c r="AV116" s="450"/>
      <c r="AW116" s="451"/>
      <c r="AX116" s="452"/>
      <c r="AY116" s="453"/>
      <c r="AZ116" s="449">
        <v>0</v>
      </c>
      <c r="BA116" s="450"/>
      <c r="BB116" s="451"/>
      <c r="BC116" s="452"/>
      <c r="BD116" s="453"/>
      <c r="BE116" s="449">
        <v>0</v>
      </c>
      <c r="BF116" s="450"/>
      <c r="BG116" s="451"/>
      <c r="BH116" s="452"/>
      <c r="BI116" s="453"/>
      <c r="BJ116" s="449">
        <v>0</v>
      </c>
      <c r="BK116" s="450"/>
      <c r="BL116" s="451"/>
      <c r="BM116" s="452"/>
      <c r="BN116" s="453"/>
      <c r="BO116" s="449">
        <v>0</v>
      </c>
      <c r="BP116" s="450"/>
      <c r="BQ116" s="451"/>
      <c r="BR116" s="452"/>
      <c r="BS116" s="453"/>
      <c r="BT116" s="449">
        <f>SUM(L116:BO116)</f>
        <v>0</v>
      </c>
      <c r="BU116" s="450"/>
      <c r="BV116" s="451"/>
      <c r="BW116" s="452"/>
      <c r="BX116" s="453"/>
      <c r="BY116" s="449">
        <v>14118925</v>
      </c>
      <c r="BZ116" s="450"/>
      <c r="CA116" s="451"/>
      <c r="CB116" s="452"/>
      <c r="CC116" s="453"/>
      <c r="CD116" s="449">
        <v>0</v>
      </c>
      <c r="CE116" s="450"/>
      <c r="CF116" s="451"/>
      <c r="CG116" s="452"/>
      <c r="CH116" s="453"/>
      <c r="CI116" s="449">
        <v>14118925</v>
      </c>
      <c r="CJ116" s="450"/>
      <c r="CK116" s="451"/>
      <c r="CL116" s="452"/>
      <c r="CM116" s="453"/>
      <c r="CN116" s="449">
        <v>0</v>
      </c>
      <c r="CO116" s="450"/>
      <c r="CP116" s="451"/>
      <c r="CQ116" s="452"/>
      <c r="CR116" s="453"/>
      <c r="CS116" s="449">
        <v>0</v>
      </c>
      <c r="CT116" s="450"/>
      <c r="CU116" s="451"/>
      <c r="CV116" s="452"/>
      <c r="CW116" s="453"/>
      <c r="CX116" s="449">
        <v>0</v>
      </c>
      <c r="CY116" s="450"/>
      <c r="CZ116" s="451"/>
      <c r="DA116" s="452"/>
      <c r="DB116" s="453"/>
      <c r="DC116" s="449">
        <v>0</v>
      </c>
      <c r="DD116" s="450"/>
      <c r="DE116" s="451"/>
      <c r="DF116" s="452"/>
      <c r="DG116" s="453"/>
      <c r="DH116" s="449">
        <v>0</v>
      </c>
      <c r="DI116" s="450"/>
      <c r="DJ116" s="451"/>
      <c r="DK116" s="452"/>
      <c r="DL116" s="453"/>
      <c r="DM116" s="449">
        <v>0</v>
      </c>
      <c r="DN116" s="450"/>
      <c r="DO116" s="451"/>
      <c r="DP116" s="452"/>
      <c r="DQ116" s="453"/>
      <c r="DR116" s="449">
        <v>0</v>
      </c>
      <c r="DS116" s="450"/>
      <c r="DT116" s="451"/>
      <c r="DU116" s="452"/>
      <c r="DV116" s="453"/>
      <c r="DW116" s="449">
        <v>0</v>
      </c>
      <c r="DX116" s="450"/>
      <c r="DY116" s="451"/>
      <c r="DZ116" s="452"/>
      <c r="EA116" s="453"/>
      <c r="EB116" s="449">
        <v>0</v>
      </c>
      <c r="EC116" s="450"/>
      <c r="ED116" s="451"/>
      <c r="EE116" s="452"/>
      <c r="EF116" s="453"/>
      <c r="EG116" s="449">
        <v>0</v>
      </c>
      <c r="EH116" s="450"/>
      <c r="EI116" s="451"/>
      <c r="EJ116" s="452"/>
      <c r="EK116" s="453"/>
      <c r="EL116" s="449">
        <f>SUM(CD116:DW116)</f>
        <v>14118925</v>
      </c>
      <c r="EM116" s="450"/>
      <c r="EN116" s="451"/>
      <c r="EO116" s="13"/>
    </row>
    <row r="117" spans="4:145" x14ac:dyDescent="0.2">
      <c r="D117" s="13" t="s">
        <v>471</v>
      </c>
      <c r="E117" s="198"/>
      <c r="F117" s="385"/>
      <c r="G117" s="463">
        <v>0</v>
      </c>
      <c r="H117" s="464"/>
      <c r="I117" s="451"/>
      <c r="J117" s="452"/>
      <c r="K117" s="465"/>
      <c r="L117" s="463">
        <v>0</v>
      </c>
      <c r="M117" s="464"/>
      <c r="N117" s="451"/>
      <c r="O117" s="452"/>
      <c r="P117" s="465"/>
      <c r="Q117" s="463">
        <v>0</v>
      </c>
      <c r="R117" s="464"/>
      <c r="S117" s="451"/>
      <c r="T117" s="452"/>
      <c r="U117" s="465"/>
      <c r="V117" s="463">
        <v>0</v>
      </c>
      <c r="W117" s="464"/>
      <c r="X117" s="451"/>
      <c r="Y117" s="452"/>
      <c r="Z117" s="465"/>
      <c r="AA117" s="463">
        <v>0</v>
      </c>
      <c r="AB117" s="464"/>
      <c r="AC117" s="451"/>
      <c r="AD117" s="452"/>
      <c r="AE117" s="465"/>
      <c r="AF117" s="463">
        <v>0</v>
      </c>
      <c r="AG117" s="464"/>
      <c r="AH117" s="451"/>
      <c r="AI117" s="452"/>
      <c r="AJ117" s="465"/>
      <c r="AK117" s="463">
        <v>0</v>
      </c>
      <c r="AL117" s="464"/>
      <c r="AM117" s="451"/>
      <c r="AN117" s="452"/>
      <c r="AO117" s="465"/>
      <c r="AP117" s="463">
        <v>0</v>
      </c>
      <c r="AQ117" s="464"/>
      <c r="AR117" s="451"/>
      <c r="AS117" s="452"/>
      <c r="AT117" s="465"/>
      <c r="AU117" s="463">
        <v>0</v>
      </c>
      <c r="AV117" s="464"/>
      <c r="AW117" s="451"/>
      <c r="AX117" s="452"/>
      <c r="AY117" s="465"/>
      <c r="AZ117" s="463">
        <v>0</v>
      </c>
      <c r="BA117" s="464"/>
      <c r="BB117" s="451"/>
      <c r="BC117" s="452"/>
      <c r="BD117" s="465"/>
      <c r="BE117" s="463">
        <v>0</v>
      </c>
      <c r="BF117" s="464"/>
      <c r="BG117" s="451"/>
      <c r="BH117" s="452"/>
      <c r="BI117" s="465"/>
      <c r="BJ117" s="463">
        <v>0</v>
      </c>
      <c r="BK117" s="464"/>
      <c r="BL117" s="451"/>
      <c r="BM117" s="452"/>
      <c r="BN117" s="465"/>
      <c r="BO117" s="463">
        <v>0</v>
      </c>
      <c r="BP117" s="464"/>
      <c r="BQ117" s="451"/>
      <c r="BR117" s="452"/>
      <c r="BS117" s="465"/>
      <c r="BT117" s="463">
        <f>SUM(L117:BO117)</f>
        <v>0</v>
      </c>
      <c r="BU117" s="464"/>
      <c r="BV117" s="451"/>
      <c r="BW117" s="452"/>
      <c r="BX117" s="465"/>
      <c r="BY117" s="463">
        <v>11122195</v>
      </c>
      <c r="BZ117" s="464"/>
      <c r="CA117" s="451"/>
      <c r="CB117" s="452"/>
      <c r="CC117" s="465"/>
      <c r="CD117" s="463">
        <v>0</v>
      </c>
      <c r="CE117" s="464"/>
      <c r="CF117" s="451"/>
      <c r="CG117" s="452"/>
      <c r="CH117" s="465"/>
      <c r="CI117" s="463">
        <v>11122195</v>
      </c>
      <c r="CJ117" s="464"/>
      <c r="CK117" s="451"/>
      <c r="CL117" s="452"/>
      <c r="CM117" s="465"/>
      <c r="CN117" s="463">
        <v>0</v>
      </c>
      <c r="CO117" s="464"/>
      <c r="CP117" s="451"/>
      <c r="CQ117" s="452"/>
      <c r="CR117" s="465"/>
      <c r="CS117" s="463">
        <v>0</v>
      </c>
      <c r="CT117" s="464"/>
      <c r="CU117" s="451"/>
      <c r="CV117" s="452"/>
      <c r="CW117" s="465"/>
      <c r="CX117" s="463">
        <v>0</v>
      </c>
      <c r="CY117" s="464"/>
      <c r="CZ117" s="451"/>
      <c r="DA117" s="452"/>
      <c r="DB117" s="465"/>
      <c r="DC117" s="463">
        <v>0</v>
      </c>
      <c r="DD117" s="464"/>
      <c r="DE117" s="451"/>
      <c r="DF117" s="452"/>
      <c r="DG117" s="465"/>
      <c r="DH117" s="463">
        <v>0</v>
      </c>
      <c r="DI117" s="464"/>
      <c r="DJ117" s="451"/>
      <c r="DK117" s="452"/>
      <c r="DL117" s="465"/>
      <c r="DM117" s="463">
        <v>0</v>
      </c>
      <c r="DN117" s="464"/>
      <c r="DO117" s="451"/>
      <c r="DP117" s="452"/>
      <c r="DQ117" s="465"/>
      <c r="DR117" s="463">
        <v>0</v>
      </c>
      <c r="DS117" s="464"/>
      <c r="DT117" s="451"/>
      <c r="DU117" s="452"/>
      <c r="DV117" s="465"/>
      <c r="DW117" s="463">
        <v>0</v>
      </c>
      <c r="DX117" s="464"/>
      <c r="DY117" s="451"/>
      <c r="DZ117" s="452"/>
      <c r="EA117" s="465"/>
      <c r="EB117" s="463">
        <v>0</v>
      </c>
      <c r="EC117" s="464"/>
      <c r="ED117" s="451"/>
      <c r="EE117" s="452"/>
      <c r="EF117" s="465"/>
      <c r="EG117" s="463">
        <v>0</v>
      </c>
      <c r="EH117" s="464"/>
      <c r="EI117" s="451"/>
      <c r="EJ117" s="452"/>
      <c r="EK117" s="465"/>
      <c r="EL117" s="463">
        <f>SUM(CD117:DW117)</f>
        <v>11122195</v>
      </c>
      <c r="EM117" s="464"/>
      <c r="EN117" s="451"/>
      <c r="EO117" s="13"/>
    </row>
    <row r="118" spans="4:145" x14ac:dyDescent="0.2">
      <c r="D118" s="13"/>
      <c r="E118" s="198"/>
      <c r="G118" s="451"/>
      <c r="H118" s="451"/>
      <c r="I118" s="451"/>
      <c r="J118" s="452"/>
      <c r="K118" s="451"/>
      <c r="L118" s="451"/>
      <c r="M118" s="451"/>
      <c r="N118" s="451"/>
      <c r="O118" s="452"/>
      <c r="P118" s="451"/>
      <c r="Q118" s="451"/>
      <c r="R118" s="451"/>
      <c r="S118" s="451"/>
      <c r="T118" s="452"/>
      <c r="U118" s="451"/>
      <c r="V118" s="451"/>
      <c r="W118" s="451"/>
      <c r="X118" s="451"/>
      <c r="Y118" s="452"/>
      <c r="Z118" s="451"/>
      <c r="AA118" s="451"/>
      <c r="AB118" s="451"/>
      <c r="AC118" s="451"/>
      <c r="AD118" s="452"/>
      <c r="AE118" s="451"/>
      <c r="AF118" s="451"/>
      <c r="AG118" s="451"/>
      <c r="AH118" s="451"/>
      <c r="AI118" s="452"/>
      <c r="AJ118" s="451"/>
      <c r="AK118" s="451"/>
      <c r="AL118" s="451"/>
      <c r="AM118" s="451"/>
      <c r="AN118" s="452"/>
      <c r="AO118" s="451"/>
      <c r="AP118" s="451"/>
      <c r="AQ118" s="451"/>
      <c r="AR118" s="451"/>
      <c r="AS118" s="452"/>
      <c r="AT118" s="451"/>
      <c r="AU118" s="451"/>
      <c r="AV118" s="451"/>
      <c r="AW118" s="451"/>
      <c r="AX118" s="452"/>
      <c r="AY118" s="451"/>
      <c r="AZ118" s="451"/>
      <c r="BA118" s="451"/>
      <c r="BB118" s="451"/>
      <c r="BC118" s="452"/>
      <c r="BD118" s="451"/>
      <c r="BE118" s="451"/>
      <c r="BF118" s="451"/>
      <c r="BG118" s="451"/>
      <c r="BH118" s="452"/>
      <c r="BI118" s="451"/>
      <c r="BJ118" s="451"/>
      <c r="BK118" s="451"/>
      <c r="BL118" s="451"/>
      <c r="BM118" s="452"/>
      <c r="BN118" s="451"/>
      <c r="BO118" s="451"/>
      <c r="BP118" s="451"/>
      <c r="BQ118" s="451"/>
      <c r="BR118" s="452"/>
      <c r="BS118" s="451"/>
      <c r="BT118" s="451"/>
      <c r="BU118" s="451"/>
      <c r="BV118" s="451"/>
      <c r="BW118" s="452"/>
      <c r="BX118" s="451"/>
      <c r="BY118" s="451"/>
      <c r="BZ118" s="451"/>
      <c r="CA118" s="451"/>
      <c r="CB118" s="452"/>
      <c r="CC118" s="451"/>
      <c r="CD118" s="451"/>
      <c r="CE118" s="451"/>
      <c r="CF118" s="451"/>
      <c r="CG118" s="452"/>
      <c r="CH118" s="451"/>
      <c r="CI118" s="451"/>
      <c r="CJ118" s="451"/>
      <c r="CK118" s="451"/>
      <c r="CL118" s="452"/>
      <c r="CM118" s="451"/>
      <c r="CN118" s="451"/>
      <c r="CO118" s="451"/>
      <c r="CP118" s="451"/>
      <c r="CQ118" s="452"/>
      <c r="CR118" s="451"/>
      <c r="CS118" s="451"/>
      <c r="CT118" s="451"/>
      <c r="CU118" s="451"/>
      <c r="CV118" s="452"/>
      <c r="CW118" s="451"/>
      <c r="CX118" s="451"/>
      <c r="CY118" s="451"/>
      <c r="CZ118" s="451"/>
      <c r="DA118" s="452"/>
      <c r="DB118" s="451"/>
      <c r="DC118" s="451"/>
      <c r="DD118" s="451"/>
      <c r="DE118" s="451"/>
      <c r="DF118" s="452"/>
      <c r="DG118" s="451"/>
      <c r="DH118" s="451"/>
      <c r="DI118" s="451"/>
      <c r="DJ118" s="451"/>
      <c r="DK118" s="452"/>
      <c r="DL118" s="451"/>
      <c r="DM118" s="451"/>
      <c r="DN118" s="451"/>
      <c r="DO118" s="451"/>
      <c r="DP118" s="452"/>
      <c r="DQ118" s="451"/>
      <c r="DR118" s="451"/>
      <c r="DS118" s="451"/>
      <c r="DT118" s="451"/>
      <c r="DU118" s="452"/>
      <c r="DV118" s="451"/>
      <c r="DW118" s="451"/>
      <c r="DX118" s="451"/>
      <c r="DY118" s="451"/>
      <c r="DZ118" s="452"/>
      <c r="EA118" s="451"/>
      <c r="EB118" s="451"/>
      <c r="EC118" s="451"/>
      <c r="ED118" s="451"/>
      <c r="EE118" s="452"/>
      <c r="EF118" s="451"/>
      <c r="EG118" s="451"/>
      <c r="EH118" s="451"/>
      <c r="EI118" s="451"/>
      <c r="EJ118" s="452"/>
      <c r="EK118" s="451"/>
      <c r="EL118" s="451"/>
      <c r="EM118" s="451"/>
      <c r="EN118" s="451"/>
      <c r="EO118" s="13"/>
    </row>
    <row r="119" spans="4:145" x14ac:dyDescent="0.2">
      <c r="D119" s="13" t="s">
        <v>474</v>
      </c>
      <c r="E119" s="198"/>
      <c r="G119" s="451">
        <f>SUM(G120:G121)</f>
        <v>0</v>
      </c>
      <c r="H119" s="451"/>
      <c r="I119" s="451"/>
      <c r="J119" s="452"/>
      <c r="K119" s="451"/>
      <c r="L119" s="451">
        <f>SUM(L120:L121)</f>
        <v>0</v>
      </c>
      <c r="M119" s="451"/>
      <c r="N119" s="451"/>
      <c r="O119" s="452"/>
      <c r="P119" s="451"/>
      <c r="Q119" s="451">
        <f>SUM(Q120:Q121)</f>
        <v>0</v>
      </c>
      <c r="R119" s="451"/>
      <c r="S119" s="451"/>
      <c r="T119" s="452"/>
      <c r="U119" s="451"/>
      <c r="V119" s="451">
        <f>SUM(V120:V121)</f>
        <v>0</v>
      </c>
      <c r="W119" s="451"/>
      <c r="X119" s="451"/>
      <c r="Y119" s="452"/>
      <c r="Z119" s="451"/>
      <c r="AA119" s="451">
        <f>SUM(AA120:AA121)</f>
        <v>0</v>
      </c>
      <c r="AB119" s="451"/>
      <c r="AC119" s="451"/>
      <c r="AD119" s="452"/>
      <c r="AE119" s="451"/>
      <c r="AF119" s="451">
        <f>SUM(AF120:AF121)</f>
        <v>0</v>
      </c>
      <c r="AG119" s="451"/>
      <c r="AH119" s="451"/>
      <c r="AI119" s="452"/>
      <c r="AJ119" s="451"/>
      <c r="AK119" s="451">
        <f>SUM(AK120:AK121)</f>
        <v>0</v>
      </c>
      <c r="AL119" s="451"/>
      <c r="AM119" s="451"/>
      <c r="AN119" s="452"/>
      <c r="AO119" s="451"/>
      <c r="AP119" s="451">
        <f>SUM(AP120:AP121)</f>
        <v>0</v>
      </c>
      <c r="AQ119" s="451"/>
      <c r="AR119" s="451"/>
      <c r="AS119" s="452"/>
      <c r="AT119" s="451"/>
      <c r="AU119" s="451">
        <f>SUM(AU120:AU121)</f>
        <v>0</v>
      </c>
      <c r="AV119" s="451"/>
      <c r="AW119" s="451"/>
      <c r="AX119" s="452"/>
      <c r="AY119" s="451"/>
      <c r="AZ119" s="451">
        <f>SUM(AZ120:AZ121)</f>
        <v>0</v>
      </c>
      <c r="BA119" s="451"/>
      <c r="BB119" s="451"/>
      <c r="BC119" s="452"/>
      <c r="BD119" s="451"/>
      <c r="BE119" s="451">
        <f>SUM(BE120:BE121)</f>
        <v>0</v>
      </c>
      <c r="BF119" s="451"/>
      <c r="BG119" s="451"/>
      <c r="BH119" s="452"/>
      <c r="BI119" s="451"/>
      <c r="BJ119" s="451">
        <f>SUM(BJ120:BJ121)</f>
        <v>0</v>
      </c>
      <c r="BK119" s="451"/>
      <c r="BL119" s="451"/>
      <c r="BM119" s="452"/>
      <c r="BN119" s="451"/>
      <c r="BO119" s="451">
        <f>SUM(BO120:BO121)</f>
        <v>0</v>
      </c>
      <c r="BP119" s="451"/>
      <c r="BQ119" s="451"/>
      <c r="BR119" s="452"/>
      <c r="BS119" s="451"/>
      <c r="BT119" s="451">
        <f>SUM(BT120:BT121)</f>
        <v>0</v>
      </c>
      <c r="BU119" s="451"/>
      <c r="BV119" s="451"/>
      <c r="BW119" s="452"/>
      <c r="BX119" s="451"/>
      <c r="BY119" s="451">
        <f>SUM(BY120:BY121)</f>
        <v>24692267</v>
      </c>
      <c r="BZ119" s="451"/>
      <c r="CA119" s="451"/>
      <c r="CB119" s="452"/>
      <c r="CC119" s="451"/>
      <c r="CD119" s="451">
        <f>SUM(CD120:CD121)</f>
        <v>0</v>
      </c>
      <c r="CE119" s="451"/>
      <c r="CF119" s="451"/>
      <c r="CG119" s="452"/>
      <c r="CH119" s="451"/>
      <c r="CI119" s="451">
        <f>SUM(CI120:CI121)</f>
        <v>0</v>
      </c>
      <c r="CJ119" s="451"/>
      <c r="CK119" s="451"/>
      <c r="CL119" s="452"/>
      <c r="CM119" s="451"/>
      <c r="CN119" s="451">
        <f>SUM(CN120:CN121)</f>
        <v>0</v>
      </c>
      <c r="CO119" s="451"/>
      <c r="CP119" s="451"/>
      <c r="CQ119" s="452"/>
      <c r="CR119" s="451"/>
      <c r="CS119" s="451">
        <f>SUM(CS120:CS121)</f>
        <v>0</v>
      </c>
      <c r="CT119" s="451"/>
      <c r="CU119" s="451"/>
      <c r="CV119" s="452"/>
      <c r="CW119" s="451"/>
      <c r="CX119" s="451">
        <f>SUM(CX120:CX121)</f>
        <v>0</v>
      </c>
      <c r="CY119" s="451"/>
      <c r="CZ119" s="451"/>
      <c r="DA119" s="452"/>
      <c r="DB119" s="451"/>
      <c r="DC119" s="451">
        <f>SUM(DC120:DC121)</f>
        <v>0</v>
      </c>
      <c r="DD119" s="451"/>
      <c r="DE119" s="451"/>
      <c r="DF119" s="452"/>
      <c r="DG119" s="451"/>
      <c r="DH119" s="451">
        <f>SUM(DH120:DH121)</f>
        <v>0</v>
      </c>
      <c r="DI119" s="451"/>
      <c r="DJ119" s="451"/>
      <c r="DK119" s="452"/>
      <c r="DL119" s="451"/>
      <c r="DM119" s="451">
        <f>SUM(DM120:DM121)</f>
        <v>0</v>
      </c>
      <c r="DN119" s="451"/>
      <c r="DO119" s="451"/>
      <c r="DP119" s="452"/>
      <c r="DQ119" s="451"/>
      <c r="DR119" s="451">
        <f>SUM(DR120:DR121)</f>
        <v>0</v>
      </c>
      <c r="DS119" s="451"/>
      <c r="DT119" s="451"/>
      <c r="DU119" s="452"/>
      <c r="DV119" s="451"/>
      <c r="DW119" s="451">
        <f>SUM(DW120:DW121)</f>
        <v>0</v>
      </c>
      <c r="DX119" s="451"/>
      <c r="DY119" s="451"/>
      <c r="DZ119" s="452"/>
      <c r="EA119" s="451"/>
      <c r="EB119" s="451">
        <f>SUM(EB120:EB121)</f>
        <v>0</v>
      </c>
      <c r="EC119" s="451"/>
      <c r="ED119" s="451"/>
      <c r="EE119" s="452"/>
      <c r="EF119" s="451"/>
      <c r="EG119" s="451">
        <f>SUM(EG120:EG121)</f>
        <v>24692267</v>
      </c>
      <c r="EH119" s="451"/>
      <c r="EI119" s="451"/>
      <c r="EJ119" s="452"/>
      <c r="EK119" s="451"/>
      <c r="EL119" s="451">
        <f>SUM(EL120:EL121)</f>
        <v>0</v>
      </c>
      <c r="EM119" s="451"/>
      <c r="EN119" s="451"/>
      <c r="EO119" s="13"/>
    </row>
    <row r="120" spans="4:145" x14ac:dyDescent="0.2">
      <c r="D120" s="13" t="s">
        <v>470</v>
      </c>
      <c r="E120" s="198"/>
      <c r="F120" s="374"/>
      <c r="G120" s="449">
        <v>0</v>
      </c>
      <c r="H120" s="450"/>
      <c r="I120" s="451"/>
      <c r="J120" s="452"/>
      <c r="K120" s="453"/>
      <c r="L120" s="449">
        <v>0</v>
      </c>
      <c r="M120" s="450"/>
      <c r="N120" s="451"/>
      <c r="O120" s="452"/>
      <c r="P120" s="453"/>
      <c r="Q120" s="449">
        <v>0</v>
      </c>
      <c r="R120" s="450"/>
      <c r="S120" s="451"/>
      <c r="T120" s="452"/>
      <c r="U120" s="453"/>
      <c r="V120" s="449">
        <v>0</v>
      </c>
      <c r="W120" s="450"/>
      <c r="X120" s="451"/>
      <c r="Y120" s="452"/>
      <c r="Z120" s="453"/>
      <c r="AA120" s="449">
        <v>0</v>
      </c>
      <c r="AB120" s="450"/>
      <c r="AC120" s="451"/>
      <c r="AD120" s="452"/>
      <c r="AE120" s="453"/>
      <c r="AF120" s="449">
        <v>0</v>
      </c>
      <c r="AG120" s="450"/>
      <c r="AH120" s="451"/>
      <c r="AI120" s="452"/>
      <c r="AJ120" s="453"/>
      <c r="AK120" s="449">
        <v>0</v>
      </c>
      <c r="AL120" s="450"/>
      <c r="AM120" s="451"/>
      <c r="AN120" s="452"/>
      <c r="AO120" s="453"/>
      <c r="AP120" s="449">
        <v>0</v>
      </c>
      <c r="AQ120" s="450"/>
      <c r="AR120" s="451"/>
      <c r="AS120" s="452"/>
      <c r="AT120" s="453"/>
      <c r="AU120" s="449">
        <v>0</v>
      </c>
      <c r="AV120" s="450"/>
      <c r="AW120" s="451"/>
      <c r="AX120" s="452"/>
      <c r="AY120" s="453"/>
      <c r="AZ120" s="449">
        <v>0</v>
      </c>
      <c r="BA120" s="450"/>
      <c r="BB120" s="451"/>
      <c r="BC120" s="452"/>
      <c r="BD120" s="453"/>
      <c r="BE120" s="449">
        <v>0</v>
      </c>
      <c r="BF120" s="450"/>
      <c r="BG120" s="451"/>
      <c r="BH120" s="452"/>
      <c r="BI120" s="453"/>
      <c r="BJ120" s="449">
        <v>0</v>
      </c>
      <c r="BK120" s="450"/>
      <c r="BL120" s="451"/>
      <c r="BM120" s="452"/>
      <c r="BN120" s="453"/>
      <c r="BO120" s="449">
        <v>0</v>
      </c>
      <c r="BP120" s="450"/>
      <c r="BQ120" s="451"/>
      <c r="BR120" s="452"/>
      <c r="BS120" s="453"/>
      <c r="BT120" s="449">
        <f>SUM(L120:BO120)</f>
        <v>0</v>
      </c>
      <c r="BU120" s="450"/>
      <c r="BV120" s="451"/>
      <c r="BW120" s="452"/>
      <c r="BX120" s="453"/>
      <c r="BY120" s="449">
        <v>12046193</v>
      </c>
      <c r="BZ120" s="450"/>
      <c r="CA120" s="451"/>
      <c r="CB120" s="452"/>
      <c r="CC120" s="453"/>
      <c r="CD120" s="449">
        <v>0</v>
      </c>
      <c r="CE120" s="450"/>
      <c r="CF120" s="451"/>
      <c r="CG120" s="452"/>
      <c r="CH120" s="453"/>
      <c r="CI120" s="449">
        <v>0</v>
      </c>
      <c r="CJ120" s="450"/>
      <c r="CK120" s="451"/>
      <c r="CL120" s="452"/>
      <c r="CM120" s="453"/>
      <c r="CN120" s="449">
        <v>0</v>
      </c>
      <c r="CO120" s="450"/>
      <c r="CP120" s="451"/>
      <c r="CQ120" s="452"/>
      <c r="CR120" s="453"/>
      <c r="CS120" s="449">
        <v>0</v>
      </c>
      <c r="CT120" s="450"/>
      <c r="CU120" s="451"/>
      <c r="CV120" s="452"/>
      <c r="CW120" s="453"/>
      <c r="CX120" s="449">
        <v>0</v>
      </c>
      <c r="CY120" s="450"/>
      <c r="CZ120" s="451"/>
      <c r="DA120" s="452"/>
      <c r="DB120" s="453"/>
      <c r="DC120" s="449">
        <v>0</v>
      </c>
      <c r="DD120" s="450"/>
      <c r="DE120" s="451"/>
      <c r="DF120" s="452"/>
      <c r="DG120" s="453"/>
      <c r="DH120" s="449">
        <v>0</v>
      </c>
      <c r="DI120" s="450"/>
      <c r="DJ120" s="451"/>
      <c r="DK120" s="452"/>
      <c r="DL120" s="453"/>
      <c r="DM120" s="449">
        <v>0</v>
      </c>
      <c r="DN120" s="450"/>
      <c r="DO120" s="451"/>
      <c r="DP120" s="452"/>
      <c r="DQ120" s="453"/>
      <c r="DR120" s="449">
        <v>0</v>
      </c>
      <c r="DS120" s="450"/>
      <c r="DT120" s="451"/>
      <c r="DU120" s="452"/>
      <c r="DV120" s="453"/>
      <c r="DW120" s="449">
        <v>0</v>
      </c>
      <c r="DX120" s="450"/>
      <c r="DY120" s="451"/>
      <c r="DZ120" s="452"/>
      <c r="EA120" s="453"/>
      <c r="EB120" s="449">
        <v>0</v>
      </c>
      <c r="EC120" s="450"/>
      <c r="ED120" s="451"/>
      <c r="EE120" s="452"/>
      <c r="EF120" s="453"/>
      <c r="EG120" s="449">
        <v>12046193</v>
      </c>
      <c r="EH120" s="450"/>
      <c r="EI120" s="451"/>
      <c r="EJ120" s="452"/>
      <c r="EK120" s="453"/>
      <c r="EL120" s="449">
        <f>SUM(CD120:DW120)</f>
        <v>0</v>
      </c>
      <c r="EM120" s="450"/>
      <c r="EN120" s="451"/>
      <c r="EO120" s="13"/>
    </row>
    <row r="121" spans="4:145" x14ac:dyDescent="0.2">
      <c r="D121" s="13" t="s">
        <v>471</v>
      </c>
      <c r="E121" s="198"/>
      <c r="F121" s="385"/>
      <c r="G121" s="463">
        <v>0</v>
      </c>
      <c r="H121" s="464"/>
      <c r="I121" s="451"/>
      <c r="J121" s="452"/>
      <c r="K121" s="465"/>
      <c r="L121" s="463">
        <v>0</v>
      </c>
      <c r="M121" s="464"/>
      <c r="N121" s="451"/>
      <c r="O121" s="452"/>
      <c r="P121" s="465"/>
      <c r="Q121" s="463">
        <v>0</v>
      </c>
      <c r="R121" s="464"/>
      <c r="S121" s="451"/>
      <c r="T121" s="452"/>
      <c r="U121" s="465"/>
      <c r="V121" s="463">
        <v>0</v>
      </c>
      <c r="W121" s="464"/>
      <c r="X121" s="451"/>
      <c r="Y121" s="452"/>
      <c r="Z121" s="465"/>
      <c r="AA121" s="463">
        <v>0</v>
      </c>
      <c r="AB121" s="464"/>
      <c r="AC121" s="451"/>
      <c r="AD121" s="452"/>
      <c r="AE121" s="465"/>
      <c r="AF121" s="463">
        <v>0</v>
      </c>
      <c r="AG121" s="464"/>
      <c r="AH121" s="451"/>
      <c r="AI121" s="452"/>
      <c r="AJ121" s="465"/>
      <c r="AK121" s="463">
        <v>0</v>
      </c>
      <c r="AL121" s="464"/>
      <c r="AM121" s="451"/>
      <c r="AN121" s="452"/>
      <c r="AO121" s="465"/>
      <c r="AP121" s="463">
        <v>0</v>
      </c>
      <c r="AQ121" s="464"/>
      <c r="AR121" s="451"/>
      <c r="AS121" s="452"/>
      <c r="AT121" s="465"/>
      <c r="AU121" s="463">
        <v>0</v>
      </c>
      <c r="AV121" s="464"/>
      <c r="AW121" s="451"/>
      <c r="AX121" s="452"/>
      <c r="AY121" s="465"/>
      <c r="AZ121" s="463">
        <v>0</v>
      </c>
      <c r="BA121" s="464"/>
      <c r="BB121" s="451"/>
      <c r="BC121" s="452"/>
      <c r="BD121" s="465"/>
      <c r="BE121" s="463">
        <v>0</v>
      </c>
      <c r="BF121" s="464"/>
      <c r="BG121" s="451"/>
      <c r="BH121" s="452"/>
      <c r="BI121" s="465"/>
      <c r="BJ121" s="463">
        <v>0</v>
      </c>
      <c r="BK121" s="464"/>
      <c r="BL121" s="451"/>
      <c r="BM121" s="452"/>
      <c r="BN121" s="465"/>
      <c r="BO121" s="463">
        <v>0</v>
      </c>
      <c r="BP121" s="464"/>
      <c r="BQ121" s="451"/>
      <c r="BR121" s="452"/>
      <c r="BS121" s="465"/>
      <c r="BT121" s="463">
        <f>SUM(L121:BO121)</f>
        <v>0</v>
      </c>
      <c r="BU121" s="464"/>
      <c r="BV121" s="451"/>
      <c r="BW121" s="452"/>
      <c r="BX121" s="465"/>
      <c r="BY121" s="463">
        <v>12646074</v>
      </c>
      <c r="BZ121" s="464"/>
      <c r="CA121" s="451"/>
      <c r="CB121" s="452"/>
      <c r="CC121" s="465"/>
      <c r="CD121" s="463">
        <v>0</v>
      </c>
      <c r="CE121" s="464"/>
      <c r="CF121" s="451"/>
      <c r="CG121" s="452"/>
      <c r="CH121" s="465"/>
      <c r="CI121" s="463">
        <v>0</v>
      </c>
      <c r="CJ121" s="464"/>
      <c r="CK121" s="451"/>
      <c r="CL121" s="452"/>
      <c r="CM121" s="465"/>
      <c r="CN121" s="463">
        <v>0</v>
      </c>
      <c r="CO121" s="464"/>
      <c r="CP121" s="451"/>
      <c r="CQ121" s="452"/>
      <c r="CR121" s="465"/>
      <c r="CS121" s="463">
        <v>0</v>
      </c>
      <c r="CT121" s="464"/>
      <c r="CU121" s="451"/>
      <c r="CV121" s="452"/>
      <c r="CW121" s="465"/>
      <c r="CX121" s="463">
        <v>0</v>
      </c>
      <c r="CY121" s="464"/>
      <c r="CZ121" s="451"/>
      <c r="DA121" s="452"/>
      <c r="DB121" s="465"/>
      <c r="DC121" s="463">
        <v>0</v>
      </c>
      <c r="DD121" s="464"/>
      <c r="DE121" s="451"/>
      <c r="DF121" s="452"/>
      <c r="DG121" s="465"/>
      <c r="DH121" s="463">
        <v>0</v>
      </c>
      <c r="DI121" s="464"/>
      <c r="DJ121" s="451"/>
      <c r="DK121" s="452"/>
      <c r="DL121" s="465"/>
      <c r="DM121" s="463">
        <v>0</v>
      </c>
      <c r="DN121" s="464"/>
      <c r="DO121" s="451"/>
      <c r="DP121" s="452"/>
      <c r="DQ121" s="465"/>
      <c r="DR121" s="463">
        <v>0</v>
      </c>
      <c r="DS121" s="464"/>
      <c r="DT121" s="451"/>
      <c r="DU121" s="452"/>
      <c r="DV121" s="465"/>
      <c r="DW121" s="463">
        <v>0</v>
      </c>
      <c r="DX121" s="464"/>
      <c r="DY121" s="451"/>
      <c r="DZ121" s="452"/>
      <c r="EA121" s="465"/>
      <c r="EB121" s="463">
        <v>0</v>
      </c>
      <c r="EC121" s="464"/>
      <c r="ED121" s="451"/>
      <c r="EE121" s="452"/>
      <c r="EF121" s="465"/>
      <c r="EG121" s="463">
        <v>12646074</v>
      </c>
      <c r="EH121" s="464"/>
      <c r="EI121" s="451"/>
      <c r="EJ121" s="452"/>
      <c r="EK121" s="465"/>
      <c r="EL121" s="463">
        <f>SUM(CD121:DW121)</f>
        <v>0</v>
      </c>
      <c r="EM121" s="464"/>
      <c r="EN121" s="451"/>
      <c r="EO121" s="13"/>
    </row>
    <row r="122" spans="4:145" hidden="1" x14ac:dyDescent="0.2">
      <c r="D122" s="13"/>
      <c r="E122" s="198"/>
      <c r="G122" s="451"/>
      <c r="H122" s="451"/>
      <c r="I122" s="451"/>
      <c r="J122" s="452"/>
      <c r="K122" s="451"/>
      <c r="L122" s="451"/>
      <c r="M122" s="451"/>
      <c r="N122" s="451"/>
      <c r="O122" s="452"/>
      <c r="P122" s="451"/>
      <c r="Q122" s="451"/>
      <c r="R122" s="451"/>
      <c r="S122" s="451"/>
      <c r="T122" s="452"/>
      <c r="U122" s="451"/>
      <c r="V122" s="451"/>
      <c r="W122" s="451"/>
      <c r="X122" s="451"/>
      <c r="Y122" s="452"/>
      <c r="Z122" s="451"/>
      <c r="AA122" s="451"/>
      <c r="AB122" s="451"/>
      <c r="AC122" s="451"/>
      <c r="AD122" s="452"/>
      <c r="AE122" s="451"/>
      <c r="AF122" s="451"/>
      <c r="AG122" s="451"/>
      <c r="AH122" s="451"/>
      <c r="AI122" s="452"/>
      <c r="AJ122" s="451"/>
      <c r="AK122" s="451"/>
      <c r="AL122" s="451"/>
      <c r="AM122" s="451"/>
      <c r="AN122" s="452"/>
      <c r="AO122" s="451"/>
      <c r="AP122" s="451"/>
      <c r="AQ122" s="451"/>
      <c r="AR122" s="451"/>
      <c r="AS122" s="452"/>
      <c r="AT122" s="451"/>
      <c r="AU122" s="451"/>
      <c r="AV122" s="451"/>
      <c r="AW122" s="451"/>
      <c r="AX122" s="452"/>
      <c r="AY122" s="451"/>
      <c r="AZ122" s="451"/>
      <c r="BA122" s="451"/>
      <c r="BB122" s="451"/>
      <c r="BC122" s="452"/>
      <c r="BD122" s="451"/>
      <c r="BE122" s="451"/>
      <c r="BF122" s="451"/>
      <c r="BG122" s="451"/>
      <c r="BH122" s="452"/>
      <c r="BI122" s="451"/>
      <c r="BJ122" s="451"/>
      <c r="BK122" s="451"/>
      <c r="BL122" s="451"/>
      <c r="BM122" s="452"/>
      <c r="BN122" s="451"/>
      <c r="BO122" s="451"/>
      <c r="BP122" s="451"/>
      <c r="BQ122" s="451"/>
      <c r="BR122" s="452"/>
      <c r="BS122" s="451"/>
      <c r="BT122" s="451"/>
      <c r="BU122" s="451"/>
      <c r="BV122" s="451"/>
      <c r="BW122" s="452"/>
      <c r="BX122" s="451"/>
      <c r="BY122" s="451"/>
      <c r="BZ122" s="451"/>
      <c r="CA122" s="451"/>
      <c r="CB122" s="452"/>
      <c r="CC122" s="451"/>
      <c r="CD122" s="451"/>
      <c r="CE122" s="451"/>
      <c r="CF122" s="451"/>
      <c r="CG122" s="452"/>
      <c r="CH122" s="451"/>
      <c r="CI122" s="451"/>
      <c r="CJ122" s="451"/>
      <c r="CK122" s="451"/>
      <c r="CL122" s="452"/>
      <c r="CM122" s="451"/>
      <c r="CN122" s="451"/>
      <c r="CO122" s="451"/>
      <c r="CP122" s="451"/>
      <c r="CQ122" s="452"/>
      <c r="CR122" s="451"/>
      <c r="CS122" s="451"/>
      <c r="CT122" s="451"/>
      <c r="CU122" s="451"/>
      <c r="CV122" s="452"/>
      <c r="CW122" s="451"/>
      <c r="CX122" s="451"/>
      <c r="CY122" s="451"/>
      <c r="CZ122" s="451"/>
      <c r="DA122" s="452"/>
      <c r="DB122" s="451"/>
      <c r="DC122" s="451"/>
      <c r="DD122" s="451"/>
      <c r="DE122" s="451"/>
      <c r="DF122" s="452"/>
      <c r="DG122" s="451"/>
      <c r="DH122" s="451"/>
      <c r="DI122" s="451"/>
      <c r="DJ122" s="451"/>
      <c r="DK122" s="452"/>
      <c r="DL122" s="451"/>
      <c r="DM122" s="451"/>
      <c r="DN122" s="451"/>
      <c r="DO122" s="451"/>
      <c r="DP122" s="452"/>
      <c r="DQ122" s="451"/>
      <c r="DR122" s="451"/>
      <c r="DS122" s="451"/>
      <c r="DT122" s="451"/>
      <c r="DU122" s="452"/>
      <c r="DV122" s="451"/>
      <c r="DW122" s="451"/>
      <c r="DX122" s="451"/>
      <c r="DY122" s="451"/>
      <c r="DZ122" s="452"/>
      <c r="EA122" s="451"/>
      <c r="EB122" s="451"/>
      <c r="EC122" s="451"/>
      <c r="ED122" s="451"/>
      <c r="EE122" s="452"/>
      <c r="EF122" s="451"/>
      <c r="EG122" s="451"/>
      <c r="EH122" s="451"/>
      <c r="EI122" s="451"/>
      <c r="EJ122" s="452"/>
      <c r="EK122" s="451"/>
      <c r="EL122" s="451"/>
      <c r="EM122" s="451"/>
      <c r="EN122" s="451"/>
      <c r="EO122" s="13"/>
    </row>
    <row r="123" spans="4:145" hidden="1" x14ac:dyDescent="0.2">
      <c r="D123" s="13" t="s">
        <v>475</v>
      </c>
      <c r="E123" s="198"/>
      <c r="G123" s="451">
        <v>0</v>
      </c>
      <c r="H123" s="451"/>
      <c r="I123" s="451"/>
      <c r="J123" s="452"/>
      <c r="K123" s="451"/>
      <c r="L123" s="451">
        <f>SUM(L124:L125)</f>
        <v>0</v>
      </c>
      <c r="M123" s="451"/>
      <c r="N123" s="451"/>
      <c r="O123" s="452"/>
      <c r="P123" s="451"/>
      <c r="Q123" s="451">
        <f>SUM(Q124:Q125)</f>
        <v>0</v>
      </c>
      <c r="R123" s="451"/>
      <c r="S123" s="451"/>
      <c r="T123" s="452"/>
      <c r="U123" s="451"/>
      <c r="V123" s="451">
        <f>SUM(V124:V125)</f>
        <v>0</v>
      </c>
      <c r="W123" s="451"/>
      <c r="X123" s="451"/>
      <c r="Y123" s="452"/>
      <c r="Z123" s="451"/>
      <c r="AA123" s="451">
        <f>SUM(AA124:AA125)</f>
        <v>0</v>
      </c>
      <c r="AB123" s="451"/>
      <c r="AC123" s="451"/>
      <c r="AD123" s="452"/>
      <c r="AE123" s="451"/>
      <c r="AF123" s="451">
        <f>SUM(AF124:AF125)</f>
        <v>0</v>
      </c>
      <c r="AG123" s="451"/>
      <c r="AH123" s="451"/>
      <c r="AI123" s="452"/>
      <c r="AJ123" s="451"/>
      <c r="AK123" s="451">
        <f>SUM(AK124:AK125)</f>
        <v>0</v>
      </c>
      <c r="AL123" s="451"/>
      <c r="AM123" s="451"/>
      <c r="AN123" s="452"/>
      <c r="AO123" s="451"/>
      <c r="AP123" s="451">
        <f>SUM(AP124:AP125)</f>
        <v>0</v>
      </c>
      <c r="AQ123" s="451"/>
      <c r="AR123" s="451"/>
      <c r="AS123" s="452"/>
      <c r="AT123" s="451"/>
      <c r="AU123" s="451">
        <f>SUM(AU124:AU125)</f>
        <v>0</v>
      </c>
      <c r="AV123" s="451"/>
      <c r="AW123" s="451"/>
      <c r="AX123" s="452"/>
      <c r="AY123" s="451"/>
      <c r="AZ123" s="451">
        <f>SUM(AZ124:AZ125)</f>
        <v>0</v>
      </c>
      <c r="BA123" s="451"/>
      <c r="BB123" s="451"/>
      <c r="BC123" s="452"/>
      <c r="BD123" s="451"/>
      <c r="BE123" s="451">
        <f>SUM(BE124:BE125)</f>
        <v>0</v>
      </c>
      <c r="BF123" s="451"/>
      <c r="BG123" s="451"/>
      <c r="BH123" s="452"/>
      <c r="BI123" s="451"/>
      <c r="BJ123" s="451">
        <f>SUM(BJ124:BJ125)</f>
        <v>0</v>
      </c>
      <c r="BK123" s="451"/>
      <c r="BL123" s="451"/>
      <c r="BM123" s="452"/>
      <c r="BN123" s="451"/>
      <c r="BO123" s="451">
        <f>SUM(BO124:BO125)</f>
        <v>0</v>
      </c>
      <c r="BP123" s="451"/>
      <c r="BQ123" s="451"/>
      <c r="BR123" s="452"/>
      <c r="BS123" s="451"/>
      <c r="BT123" s="451">
        <f>SUM(BT124:BT125)</f>
        <v>0</v>
      </c>
      <c r="BU123" s="451"/>
      <c r="BV123" s="451"/>
      <c r="BW123" s="452"/>
      <c r="BX123" s="451"/>
      <c r="BY123" s="451">
        <f>SUM(BY124:BY125)</f>
        <v>0</v>
      </c>
      <c r="BZ123" s="451"/>
      <c r="CA123" s="451"/>
      <c r="CB123" s="452"/>
      <c r="CC123" s="451"/>
      <c r="CD123" s="451">
        <f>SUM(CD124:CD125)</f>
        <v>0</v>
      </c>
      <c r="CE123" s="451"/>
      <c r="CF123" s="451"/>
      <c r="CG123" s="452"/>
      <c r="CH123" s="451"/>
      <c r="CI123" s="451">
        <f>SUM(CI124:CI125)</f>
        <v>0</v>
      </c>
      <c r="CJ123" s="451"/>
      <c r="CK123" s="451"/>
      <c r="CL123" s="452"/>
      <c r="CM123" s="451"/>
      <c r="CN123" s="451">
        <f>SUM(CN124:CN125)</f>
        <v>0</v>
      </c>
      <c r="CO123" s="451"/>
      <c r="CP123" s="451"/>
      <c r="CQ123" s="452"/>
      <c r="CR123" s="451"/>
      <c r="CS123" s="451">
        <f>SUM(CS124:CS125)</f>
        <v>0</v>
      </c>
      <c r="CT123" s="451"/>
      <c r="CU123" s="451"/>
      <c r="CV123" s="452"/>
      <c r="CW123" s="451"/>
      <c r="CX123" s="451">
        <f>SUM(CX124:CX125)</f>
        <v>0</v>
      </c>
      <c r="CY123" s="451"/>
      <c r="CZ123" s="451"/>
      <c r="DA123" s="452"/>
      <c r="DB123" s="451"/>
      <c r="DC123" s="451">
        <f>SUM(DC124:DC125)</f>
        <v>0</v>
      </c>
      <c r="DD123" s="451"/>
      <c r="DE123" s="451"/>
      <c r="DF123" s="452"/>
      <c r="DG123" s="451"/>
      <c r="DH123" s="451">
        <f>SUM(DH124:DH125)</f>
        <v>0</v>
      </c>
      <c r="DI123" s="451"/>
      <c r="DJ123" s="451"/>
      <c r="DK123" s="452"/>
      <c r="DL123" s="451"/>
      <c r="DM123" s="451">
        <f>SUM(DM124:DM125)</f>
        <v>0</v>
      </c>
      <c r="DN123" s="451"/>
      <c r="DO123" s="451"/>
      <c r="DP123" s="452"/>
      <c r="DQ123" s="451"/>
      <c r="DR123" s="451">
        <f>SUM(DR124:DR125)</f>
        <v>0</v>
      </c>
      <c r="DS123" s="451"/>
      <c r="DT123" s="451"/>
      <c r="DU123" s="452"/>
      <c r="DV123" s="451"/>
      <c r="DW123" s="451">
        <f>SUM(DW124:DW125)</f>
        <v>0</v>
      </c>
      <c r="DX123" s="451"/>
      <c r="DY123" s="451"/>
      <c r="DZ123" s="452"/>
      <c r="EA123" s="451"/>
      <c r="EB123" s="451">
        <f>SUM(EB124:EB125)</f>
        <v>0</v>
      </c>
      <c r="EC123" s="451"/>
      <c r="ED123" s="451"/>
      <c r="EE123" s="452"/>
      <c r="EF123" s="451"/>
      <c r="EG123" s="451">
        <f>SUM(EG124:EG125)</f>
        <v>0</v>
      </c>
      <c r="EH123" s="451"/>
      <c r="EI123" s="451"/>
      <c r="EJ123" s="452"/>
      <c r="EK123" s="451"/>
      <c r="EL123" s="451">
        <f>SUM(EL124:EL125)</f>
        <v>0</v>
      </c>
      <c r="EM123" s="451"/>
      <c r="EN123" s="451"/>
      <c r="EO123" s="13"/>
    </row>
    <row r="124" spans="4:145" hidden="1" x14ac:dyDescent="0.2">
      <c r="D124" s="13" t="s">
        <v>470</v>
      </c>
      <c r="E124" s="198"/>
      <c r="F124" s="374"/>
      <c r="G124" s="449">
        <v>0</v>
      </c>
      <c r="H124" s="450"/>
      <c r="I124" s="451"/>
      <c r="J124" s="452"/>
      <c r="K124" s="453"/>
      <c r="L124" s="449">
        <v>0</v>
      </c>
      <c r="M124" s="450"/>
      <c r="N124" s="451"/>
      <c r="O124" s="452"/>
      <c r="P124" s="453"/>
      <c r="Q124" s="449">
        <v>0</v>
      </c>
      <c r="R124" s="450"/>
      <c r="S124" s="451"/>
      <c r="T124" s="452"/>
      <c r="U124" s="453"/>
      <c r="V124" s="449">
        <v>0</v>
      </c>
      <c r="W124" s="450"/>
      <c r="X124" s="451"/>
      <c r="Y124" s="452"/>
      <c r="Z124" s="453"/>
      <c r="AA124" s="449">
        <v>0</v>
      </c>
      <c r="AB124" s="450"/>
      <c r="AC124" s="451"/>
      <c r="AD124" s="452"/>
      <c r="AE124" s="453"/>
      <c r="AF124" s="449">
        <v>0</v>
      </c>
      <c r="AG124" s="450"/>
      <c r="AH124" s="451"/>
      <c r="AI124" s="452"/>
      <c r="AJ124" s="453"/>
      <c r="AK124" s="449">
        <v>0</v>
      </c>
      <c r="AL124" s="450"/>
      <c r="AM124" s="451"/>
      <c r="AN124" s="452"/>
      <c r="AO124" s="453"/>
      <c r="AP124" s="449">
        <v>0</v>
      </c>
      <c r="AQ124" s="450"/>
      <c r="AR124" s="451"/>
      <c r="AS124" s="452"/>
      <c r="AT124" s="453"/>
      <c r="AU124" s="449">
        <v>0</v>
      </c>
      <c r="AV124" s="450"/>
      <c r="AW124" s="451"/>
      <c r="AX124" s="452"/>
      <c r="AY124" s="453"/>
      <c r="AZ124" s="449">
        <v>0</v>
      </c>
      <c r="BA124" s="450"/>
      <c r="BB124" s="451"/>
      <c r="BC124" s="452"/>
      <c r="BD124" s="453"/>
      <c r="BE124" s="449">
        <v>0</v>
      </c>
      <c r="BF124" s="450"/>
      <c r="BG124" s="451"/>
      <c r="BH124" s="452"/>
      <c r="BI124" s="453"/>
      <c r="BJ124" s="449">
        <v>0</v>
      </c>
      <c r="BK124" s="450"/>
      <c r="BL124" s="451"/>
      <c r="BM124" s="452"/>
      <c r="BN124" s="453"/>
      <c r="BO124" s="449">
        <v>0</v>
      </c>
      <c r="BP124" s="450"/>
      <c r="BQ124" s="451"/>
      <c r="BR124" s="452"/>
      <c r="BS124" s="453"/>
      <c r="BT124" s="449">
        <f>SUM(L124:BO124)</f>
        <v>0</v>
      </c>
      <c r="BU124" s="450"/>
      <c r="BV124" s="451"/>
      <c r="BW124" s="452"/>
      <c r="BX124" s="453"/>
      <c r="BY124" s="449">
        <f>SUM(Q124:BT124)</f>
        <v>0</v>
      </c>
      <c r="BZ124" s="450"/>
      <c r="CA124" s="451"/>
      <c r="CB124" s="452"/>
      <c r="CC124" s="453"/>
      <c r="CD124" s="449">
        <v>0</v>
      </c>
      <c r="CE124" s="450"/>
      <c r="CF124" s="451"/>
      <c r="CG124" s="452"/>
      <c r="CH124" s="453"/>
      <c r="CI124" s="449">
        <v>0</v>
      </c>
      <c r="CJ124" s="450"/>
      <c r="CK124" s="451"/>
      <c r="CL124" s="452"/>
      <c r="CM124" s="453"/>
      <c r="CN124" s="449">
        <v>0</v>
      </c>
      <c r="CO124" s="450"/>
      <c r="CP124" s="451"/>
      <c r="CQ124" s="452"/>
      <c r="CR124" s="453"/>
      <c r="CS124" s="449">
        <v>0</v>
      </c>
      <c r="CT124" s="450"/>
      <c r="CU124" s="451"/>
      <c r="CV124" s="452"/>
      <c r="CW124" s="453"/>
      <c r="CX124" s="449">
        <v>0</v>
      </c>
      <c r="CY124" s="450"/>
      <c r="CZ124" s="451"/>
      <c r="DA124" s="452"/>
      <c r="DB124" s="453"/>
      <c r="DC124" s="449">
        <v>0</v>
      </c>
      <c r="DD124" s="450"/>
      <c r="DE124" s="451"/>
      <c r="DF124" s="452"/>
      <c r="DG124" s="453"/>
      <c r="DH124" s="449">
        <v>0</v>
      </c>
      <c r="DI124" s="450"/>
      <c r="DJ124" s="451"/>
      <c r="DK124" s="452"/>
      <c r="DL124" s="453"/>
      <c r="DM124" s="449">
        <v>0</v>
      </c>
      <c r="DN124" s="450"/>
      <c r="DO124" s="451"/>
      <c r="DP124" s="452"/>
      <c r="DQ124" s="453"/>
      <c r="DR124" s="449">
        <v>0</v>
      </c>
      <c r="DS124" s="450"/>
      <c r="DT124" s="451"/>
      <c r="DU124" s="452"/>
      <c r="DV124" s="453"/>
      <c r="DW124" s="449">
        <v>0</v>
      </c>
      <c r="DX124" s="450"/>
      <c r="DY124" s="451"/>
      <c r="DZ124" s="452"/>
      <c r="EA124" s="453"/>
      <c r="EB124" s="449">
        <v>0</v>
      </c>
      <c r="EC124" s="450"/>
      <c r="ED124" s="451"/>
      <c r="EE124" s="452"/>
      <c r="EF124" s="453"/>
      <c r="EG124" s="449">
        <v>0</v>
      </c>
      <c r="EH124" s="450"/>
      <c r="EI124" s="451"/>
      <c r="EJ124" s="452"/>
      <c r="EK124" s="453"/>
      <c r="EL124" s="449">
        <f>SUM(CD124:EG124)</f>
        <v>0</v>
      </c>
      <c r="EM124" s="450"/>
      <c r="EN124" s="451"/>
      <c r="EO124" s="13"/>
    </row>
    <row r="125" spans="4:145" hidden="1" x14ac:dyDescent="0.2">
      <c r="D125" s="13" t="s">
        <v>471</v>
      </c>
      <c r="E125" s="198"/>
      <c r="F125" s="385"/>
      <c r="G125" s="463">
        <v>0</v>
      </c>
      <c r="H125" s="464"/>
      <c r="I125" s="451"/>
      <c r="J125" s="452"/>
      <c r="K125" s="465"/>
      <c r="L125" s="463">
        <v>0</v>
      </c>
      <c r="M125" s="464"/>
      <c r="N125" s="451"/>
      <c r="O125" s="452"/>
      <c r="P125" s="465"/>
      <c r="Q125" s="463">
        <v>0</v>
      </c>
      <c r="R125" s="464"/>
      <c r="S125" s="451"/>
      <c r="T125" s="452"/>
      <c r="U125" s="465"/>
      <c r="V125" s="463">
        <v>0</v>
      </c>
      <c r="W125" s="464"/>
      <c r="X125" s="451"/>
      <c r="Y125" s="452"/>
      <c r="Z125" s="465"/>
      <c r="AA125" s="463">
        <v>0</v>
      </c>
      <c r="AB125" s="464"/>
      <c r="AC125" s="451"/>
      <c r="AD125" s="452"/>
      <c r="AE125" s="465"/>
      <c r="AF125" s="463">
        <v>0</v>
      </c>
      <c r="AG125" s="464"/>
      <c r="AH125" s="451"/>
      <c r="AI125" s="452"/>
      <c r="AJ125" s="465"/>
      <c r="AK125" s="463">
        <v>0</v>
      </c>
      <c r="AL125" s="464"/>
      <c r="AM125" s="451"/>
      <c r="AN125" s="452"/>
      <c r="AO125" s="465"/>
      <c r="AP125" s="463">
        <v>0</v>
      </c>
      <c r="AQ125" s="464"/>
      <c r="AR125" s="451"/>
      <c r="AS125" s="452"/>
      <c r="AT125" s="465"/>
      <c r="AU125" s="463">
        <v>0</v>
      </c>
      <c r="AV125" s="464"/>
      <c r="AW125" s="451"/>
      <c r="AX125" s="452"/>
      <c r="AY125" s="465"/>
      <c r="AZ125" s="463">
        <v>0</v>
      </c>
      <c r="BA125" s="464"/>
      <c r="BB125" s="451"/>
      <c r="BC125" s="452"/>
      <c r="BD125" s="465"/>
      <c r="BE125" s="463">
        <v>0</v>
      </c>
      <c r="BF125" s="464"/>
      <c r="BG125" s="451"/>
      <c r="BH125" s="452"/>
      <c r="BI125" s="465"/>
      <c r="BJ125" s="463">
        <v>0</v>
      </c>
      <c r="BK125" s="464"/>
      <c r="BL125" s="451"/>
      <c r="BM125" s="452"/>
      <c r="BN125" s="465"/>
      <c r="BO125" s="463">
        <v>0</v>
      </c>
      <c r="BP125" s="464"/>
      <c r="BQ125" s="451"/>
      <c r="BR125" s="452"/>
      <c r="BS125" s="465"/>
      <c r="BT125" s="463">
        <f>SUM(L125:BO125)</f>
        <v>0</v>
      </c>
      <c r="BU125" s="464"/>
      <c r="BV125" s="451"/>
      <c r="BW125" s="452"/>
      <c r="BX125" s="465"/>
      <c r="BY125" s="463">
        <f>SUM(Q125:BT125)</f>
        <v>0</v>
      </c>
      <c r="BZ125" s="464"/>
      <c r="CA125" s="451"/>
      <c r="CB125" s="452"/>
      <c r="CC125" s="465"/>
      <c r="CD125" s="463">
        <v>0</v>
      </c>
      <c r="CE125" s="464"/>
      <c r="CF125" s="451"/>
      <c r="CG125" s="452"/>
      <c r="CH125" s="465"/>
      <c r="CI125" s="463">
        <v>0</v>
      </c>
      <c r="CJ125" s="464"/>
      <c r="CK125" s="451"/>
      <c r="CL125" s="452"/>
      <c r="CM125" s="465"/>
      <c r="CN125" s="463">
        <v>0</v>
      </c>
      <c r="CO125" s="464"/>
      <c r="CP125" s="451"/>
      <c r="CQ125" s="452"/>
      <c r="CR125" s="465"/>
      <c r="CS125" s="463">
        <v>0</v>
      </c>
      <c r="CT125" s="464"/>
      <c r="CU125" s="451"/>
      <c r="CV125" s="452"/>
      <c r="CW125" s="465"/>
      <c r="CX125" s="463">
        <v>0</v>
      </c>
      <c r="CY125" s="464"/>
      <c r="CZ125" s="451"/>
      <c r="DA125" s="452"/>
      <c r="DB125" s="465"/>
      <c r="DC125" s="463">
        <v>0</v>
      </c>
      <c r="DD125" s="464"/>
      <c r="DE125" s="451"/>
      <c r="DF125" s="452"/>
      <c r="DG125" s="465"/>
      <c r="DH125" s="463">
        <v>0</v>
      </c>
      <c r="DI125" s="464"/>
      <c r="DJ125" s="451"/>
      <c r="DK125" s="452"/>
      <c r="DL125" s="465"/>
      <c r="DM125" s="463">
        <v>0</v>
      </c>
      <c r="DN125" s="464"/>
      <c r="DO125" s="451"/>
      <c r="DP125" s="452"/>
      <c r="DQ125" s="465"/>
      <c r="DR125" s="463">
        <v>0</v>
      </c>
      <c r="DS125" s="464"/>
      <c r="DT125" s="451"/>
      <c r="DU125" s="452"/>
      <c r="DV125" s="465"/>
      <c r="DW125" s="463">
        <v>0</v>
      </c>
      <c r="DX125" s="464"/>
      <c r="DY125" s="451"/>
      <c r="DZ125" s="452"/>
      <c r="EA125" s="465"/>
      <c r="EB125" s="463">
        <v>0</v>
      </c>
      <c r="EC125" s="464"/>
      <c r="ED125" s="451"/>
      <c r="EE125" s="452"/>
      <c r="EF125" s="465"/>
      <c r="EG125" s="463">
        <v>0</v>
      </c>
      <c r="EH125" s="464"/>
      <c r="EI125" s="451"/>
      <c r="EJ125" s="452"/>
      <c r="EK125" s="465"/>
      <c r="EL125" s="463">
        <f>SUM(CD125:EG125)</f>
        <v>0</v>
      </c>
      <c r="EM125" s="464"/>
      <c r="EN125" s="451"/>
      <c r="EO125" s="13"/>
    </row>
    <row r="126" spans="4:145" hidden="1" x14ac:dyDescent="0.2">
      <c r="D126" s="13"/>
      <c r="E126" s="198"/>
      <c r="G126" s="451"/>
      <c r="H126" s="451"/>
      <c r="I126" s="451"/>
      <c r="J126" s="452"/>
      <c r="K126" s="451"/>
      <c r="L126" s="451"/>
      <c r="M126" s="451"/>
      <c r="N126" s="451"/>
      <c r="O126" s="452"/>
      <c r="P126" s="451"/>
      <c r="Q126" s="451"/>
      <c r="R126" s="451"/>
      <c r="S126" s="451"/>
      <c r="T126" s="452"/>
      <c r="U126" s="451"/>
      <c r="V126" s="451"/>
      <c r="W126" s="451"/>
      <c r="X126" s="451"/>
      <c r="Y126" s="452"/>
      <c r="Z126" s="451"/>
      <c r="AA126" s="451"/>
      <c r="AB126" s="451"/>
      <c r="AC126" s="451"/>
      <c r="AD126" s="452"/>
      <c r="AE126" s="451"/>
      <c r="AF126" s="451"/>
      <c r="AG126" s="451"/>
      <c r="AH126" s="451"/>
      <c r="AI126" s="452"/>
      <c r="AJ126" s="451"/>
      <c r="AK126" s="451"/>
      <c r="AL126" s="451"/>
      <c r="AM126" s="451"/>
      <c r="AN126" s="452"/>
      <c r="AO126" s="451"/>
      <c r="AP126" s="451"/>
      <c r="AQ126" s="451"/>
      <c r="AR126" s="451"/>
      <c r="AS126" s="452"/>
      <c r="AT126" s="451"/>
      <c r="AU126" s="451"/>
      <c r="AV126" s="451"/>
      <c r="AW126" s="451"/>
      <c r="AX126" s="452"/>
      <c r="AY126" s="451"/>
      <c r="AZ126" s="451"/>
      <c r="BA126" s="451"/>
      <c r="BB126" s="451"/>
      <c r="BC126" s="452"/>
      <c r="BD126" s="451"/>
      <c r="BE126" s="451"/>
      <c r="BF126" s="451"/>
      <c r="BG126" s="451"/>
      <c r="BH126" s="452"/>
      <c r="BI126" s="451"/>
      <c r="BJ126" s="451"/>
      <c r="BK126" s="451"/>
      <c r="BL126" s="451"/>
      <c r="BM126" s="452"/>
      <c r="BN126" s="451"/>
      <c r="BO126" s="451"/>
      <c r="BP126" s="451"/>
      <c r="BQ126" s="451"/>
      <c r="BR126" s="452"/>
      <c r="BS126" s="451"/>
      <c r="BT126" s="451"/>
      <c r="BU126" s="451"/>
      <c r="BV126" s="451"/>
      <c r="BW126" s="452"/>
      <c r="BX126" s="451"/>
      <c r="BY126" s="451"/>
      <c r="BZ126" s="451"/>
      <c r="CA126" s="451"/>
      <c r="CB126" s="452"/>
      <c r="CC126" s="451"/>
      <c r="CD126" s="451"/>
      <c r="CE126" s="451"/>
      <c r="CF126" s="451"/>
      <c r="CG126" s="452"/>
      <c r="CH126" s="451"/>
      <c r="CI126" s="451"/>
      <c r="CJ126" s="451"/>
      <c r="CK126" s="451"/>
      <c r="CL126" s="452"/>
      <c r="CM126" s="451"/>
      <c r="CN126" s="451"/>
      <c r="CO126" s="451"/>
      <c r="CP126" s="451"/>
      <c r="CQ126" s="452"/>
      <c r="CR126" s="451"/>
      <c r="CS126" s="451"/>
      <c r="CT126" s="451"/>
      <c r="CU126" s="451"/>
      <c r="CV126" s="452"/>
      <c r="CW126" s="451"/>
      <c r="CX126" s="451"/>
      <c r="CY126" s="451"/>
      <c r="CZ126" s="451"/>
      <c r="DA126" s="452"/>
      <c r="DB126" s="451"/>
      <c r="DC126" s="451"/>
      <c r="DD126" s="451"/>
      <c r="DE126" s="451"/>
      <c r="DF126" s="452"/>
      <c r="DG126" s="451"/>
      <c r="DH126" s="451"/>
      <c r="DI126" s="451"/>
      <c r="DJ126" s="451"/>
      <c r="DK126" s="452"/>
      <c r="DL126" s="451"/>
      <c r="DM126" s="451"/>
      <c r="DN126" s="451"/>
      <c r="DO126" s="451"/>
      <c r="DP126" s="452"/>
      <c r="DQ126" s="451"/>
      <c r="DR126" s="451"/>
      <c r="DS126" s="451"/>
      <c r="DT126" s="451"/>
      <c r="DU126" s="452"/>
      <c r="DV126" s="451"/>
      <c r="DW126" s="451"/>
      <c r="DX126" s="451"/>
      <c r="DY126" s="451"/>
      <c r="DZ126" s="452"/>
      <c r="EA126" s="451"/>
      <c r="EB126" s="451"/>
      <c r="EC126" s="451"/>
      <c r="ED126" s="451"/>
      <c r="EE126" s="452"/>
      <c r="EF126" s="451"/>
      <c r="EG126" s="451"/>
      <c r="EH126" s="451"/>
      <c r="EI126" s="451"/>
      <c r="EJ126" s="452"/>
      <c r="EK126" s="451"/>
      <c r="EL126" s="451"/>
      <c r="EM126" s="451"/>
      <c r="EN126" s="451"/>
      <c r="EO126" s="13"/>
    </row>
    <row r="127" spans="4:145" hidden="1" x14ac:dyDescent="0.2">
      <c r="D127" s="13" t="s">
        <v>476</v>
      </c>
      <c r="E127" s="198"/>
      <c r="G127" s="451">
        <v>0</v>
      </c>
      <c r="H127" s="451"/>
      <c r="I127" s="451"/>
      <c r="J127" s="452"/>
      <c r="K127" s="451"/>
      <c r="L127" s="451">
        <f>SUM(L128:L129)</f>
        <v>0</v>
      </c>
      <c r="M127" s="451"/>
      <c r="N127" s="451"/>
      <c r="O127" s="452"/>
      <c r="P127" s="451"/>
      <c r="Q127" s="451">
        <f>SUM(Q128:Q129)</f>
        <v>0</v>
      </c>
      <c r="R127" s="451"/>
      <c r="S127" s="451"/>
      <c r="T127" s="452"/>
      <c r="U127" s="451"/>
      <c r="V127" s="451">
        <f>SUM(V128:V129)</f>
        <v>0</v>
      </c>
      <c r="W127" s="451"/>
      <c r="X127" s="451"/>
      <c r="Y127" s="452"/>
      <c r="Z127" s="451"/>
      <c r="AA127" s="451">
        <f>SUM(AA128:AA129)</f>
        <v>0</v>
      </c>
      <c r="AB127" s="451"/>
      <c r="AC127" s="451"/>
      <c r="AD127" s="452"/>
      <c r="AE127" s="451"/>
      <c r="AF127" s="451">
        <f>SUM(AF128:AF129)</f>
        <v>0</v>
      </c>
      <c r="AG127" s="451"/>
      <c r="AH127" s="451"/>
      <c r="AI127" s="452"/>
      <c r="AJ127" s="451"/>
      <c r="AK127" s="451">
        <f>SUM(AK128:AK129)</f>
        <v>0</v>
      </c>
      <c r="AL127" s="451"/>
      <c r="AM127" s="451"/>
      <c r="AN127" s="452"/>
      <c r="AO127" s="451"/>
      <c r="AP127" s="451">
        <f>SUM(AP128:AP129)</f>
        <v>0</v>
      </c>
      <c r="AQ127" s="451"/>
      <c r="AR127" s="451"/>
      <c r="AS127" s="452"/>
      <c r="AT127" s="451"/>
      <c r="AU127" s="451">
        <f>SUM(AU128:AU129)</f>
        <v>0</v>
      </c>
      <c r="AV127" s="451"/>
      <c r="AW127" s="451"/>
      <c r="AX127" s="452"/>
      <c r="AY127" s="451"/>
      <c r="AZ127" s="451">
        <f>SUM(AZ128:AZ129)</f>
        <v>0</v>
      </c>
      <c r="BA127" s="451"/>
      <c r="BB127" s="451"/>
      <c r="BC127" s="452"/>
      <c r="BD127" s="451"/>
      <c r="BE127" s="451">
        <f>SUM(BE128:BE129)</f>
        <v>0</v>
      </c>
      <c r="BF127" s="451"/>
      <c r="BG127" s="451"/>
      <c r="BH127" s="452"/>
      <c r="BI127" s="451"/>
      <c r="BJ127" s="451">
        <f>SUM(BJ128:BJ129)</f>
        <v>0</v>
      </c>
      <c r="BK127" s="451"/>
      <c r="BL127" s="451"/>
      <c r="BM127" s="452"/>
      <c r="BN127" s="451"/>
      <c r="BO127" s="451">
        <f>SUM(BO128:BO129)</f>
        <v>0</v>
      </c>
      <c r="BP127" s="451"/>
      <c r="BQ127" s="451"/>
      <c r="BR127" s="452"/>
      <c r="BS127" s="451"/>
      <c r="BT127" s="451">
        <f>SUM(BT128:BT129)</f>
        <v>0</v>
      </c>
      <c r="BU127" s="451"/>
      <c r="BV127" s="451"/>
      <c r="BW127" s="452"/>
      <c r="BX127" s="451"/>
      <c r="BY127" s="451">
        <f>SUM(BY128:BY129)</f>
        <v>0</v>
      </c>
      <c r="BZ127" s="451"/>
      <c r="CA127" s="451"/>
      <c r="CB127" s="452"/>
      <c r="CC127" s="451"/>
      <c r="CD127" s="451">
        <f>SUM(CD128:CD129)</f>
        <v>0</v>
      </c>
      <c r="CE127" s="451"/>
      <c r="CF127" s="451"/>
      <c r="CG127" s="452"/>
      <c r="CH127" s="451"/>
      <c r="CI127" s="451">
        <f>SUM(CI128:CI129)</f>
        <v>0</v>
      </c>
      <c r="CJ127" s="451"/>
      <c r="CK127" s="451"/>
      <c r="CL127" s="452"/>
      <c r="CM127" s="451"/>
      <c r="CN127" s="451">
        <f>SUM(CN128:CN129)</f>
        <v>0</v>
      </c>
      <c r="CO127" s="451"/>
      <c r="CP127" s="451"/>
      <c r="CQ127" s="452"/>
      <c r="CR127" s="451"/>
      <c r="CS127" s="451">
        <f>SUM(CS128:CS129)</f>
        <v>0</v>
      </c>
      <c r="CT127" s="451"/>
      <c r="CU127" s="451"/>
      <c r="CV127" s="452"/>
      <c r="CW127" s="451"/>
      <c r="CX127" s="451">
        <f>SUM(CX128:CX129)</f>
        <v>0</v>
      </c>
      <c r="CY127" s="451"/>
      <c r="CZ127" s="451"/>
      <c r="DA127" s="452"/>
      <c r="DB127" s="451"/>
      <c r="DC127" s="451">
        <f>SUM(DC128:DC129)</f>
        <v>0</v>
      </c>
      <c r="DD127" s="451"/>
      <c r="DE127" s="451"/>
      <c r="DF127" s="452"/>
      <c r="DG127" s="451"/>
      <c r="DH127" s="451">
        <f>SUM(DH128:DH129)</f>
        <v>0</v>
      </c>
      <c r="DI127" s="451"/>
      <c r="DJ127" s="451"/>
      <c r="DK127" s="452"/>
      <c r="DL127" s="451"/>
      <c r="DM127" s="451">
        <f>SUM(DM128:DM129)</f>
        <v>0</v>
      </c>
      <c r="DN127" s="451"/>
      <c r="DO127" s="451"/>
      <c r="DP127" s="452"/>
      <c r="DQ127" s="451"/>
      <c r="DR127" s="451">
        <f>SUM(DR128:DR129)</f>
        <v>0</v>
      </c>
      <c r="DS127" s="451"/>
      <c r="DT127" s="451"/>
      <c r="DU127" s="452"/>
      <c r="DV127" s="451"/>
      <c r="DW127" s="451">
        <f>SUM(DW128:DW129)</f>
        <v>0</v>
      </c>
      <c r="DX127" s="451"/>
      <c r="DY127" s="451"/>
      <c r="DZ127" s="452"/>
      <c r="EA127" s="451"/>
      <c r="EB127" s="451">
        <f>SUM(EB128:EB129)</f>
        <v>0</v>
      </c>
      <c r="EC127" s="451"/>
      <c r="ED127" s="451"/>
      <c r="EE127" s="452"/>
      <c r="EF127" s="451"/>
      <c r="EG127" s="451">
        <f>SUM(EG128:EG129)</f>
        <v>0</v>
      </c>
      <c r="EH127" s="451"/>
      <c r="EI127" s="451"/>
      <c r="EJ127" s="452"/>
      <c r="EK127" s="451"/>
      <c r="EL127" s="451">
        <f>SUM(EL128:EL129)</f>
        <v>0</v>
      </c>
      <c r="EM127" s="451"/>
      <c r="EN127" s="451"/>
      <c r="EO127" s="13"/>
    </row>
    <row r="128" spans="4:145" hidden="1" x14ac:dyDescent="0.2">
      <c r="D128" s="13" t="s">
        <v>470</v>
      </c>
      <c r="E128" s="198"/>
      <c r="F128" s="374"/>
      <c r="G128" s="449">
        <v>0</v>
      </c>
      <c r="H128" s="450"/>
      <c r="I128" s="451"/>
      <c r="J128" s="452"/>
      <c r="K128" s="453"/>
      <c r="L128" s="449">
        <v>0</v>
      </c>
      <c r="M128" s="450"/>
      <c r="N128" s="451"/>
      <c r="O128" s="452"/>
      <c r="P128" s="453"/>
      <c r="Q128" s="449">
        <v>0</v>
      </c>
      <c r="R128" s="450"/>
      <c r="S128" s="451"/>
      <c r="T128" s="452"/>
      <c r="U128" s="453"/>
      <c r="V128" s="449">
        <v>0</v>
      </c>
      <c r="W128" s="450"/>
      <c r="X128" s="451"/>
      <c r="Y128" s="452"/>
      <c r="Z128" s="453"/>
      <c r="AA128" s="449">
        <v>0</v>
      </c>
      <c r="AB128" s="450"/>
      <c r="AC128" s="451"/>
      <c r="AD128" s="452"/>
      <c r="AE128" s="453"/>
      <c r="AF128" s="449">
        <v>0</v>
      </c>
      <c r="AG128" s="450"/>
      <c r="AH128" s="451"/>
      <c r="AI128" s="452"/>
      <c r="AJ128" s="453"/>
      <c r="AK128" s="449">
        <v>0</v>
      </c>
      <c r="AL128" s="450"/>
      <c r="AM128" s="451"/>
      <c r="AN128" s="452"/>
      <c r="AO128" s="453"/>
      <c r="AP128" s="449">
        <v>0</v>
      </c>
      <c r="AQ128" s="450"/>
      <c r="AR128" s="451"/>
      <c r="AS128" s="452"/>
      <c r="AT128" s="453"/>
      <c r="AU128" s="449">
        <v>0</v>
      </c>
      <c r="AV128" s="450"/>
      <c r="AW128" s="451"/>
      <c r="AX128" s="452"/>
      <c r="AY128" s="453"/>
      <c r="AZ128" s="449">
        <v>0</v>
      </c>
      <c r="BA128" s="450"/>
      <c r="BB128" s="451"/>
      <c r="BC128" s="452"/>
      <c r="BD128" s="453"/>
      <c r="BE128" s="449">
        <v>0</v>
      </c>
      <c r="BF128" s="450"/>
      <c r="BG128" s="451"/>
      <c r="BH128" s="452"/>
      <c r="BI128" s="453"/>
      <c r="BJ128" s="449">
        <v>0</v>
      </c>
      <c r="BK128" s="450"/>
      <c r="BL128" s="451"/>
      <c r="BM128" s="452"/>
      <c r="BN128" s="453"/>
      <c r="BO128" s="449">
        <v>0</v>
      </c>
      <c r="BP128" s="450"/>
      <c r="BQ128" s="451"/>
      <c r="BR128" s="452"/>
      <c r="BS128" s="453"/>
      <c r="BT128" s="449">
        <f>SUM(L128:BO128)</f>
        <v>0</v>
      </c>
      <c r="BU128" s="450"/>
      <c r="BV128" s="451"/>
      <c r="BW128" s="452"/>
      <c r="BX128" s="453"/>
      <c r="BY128" s="449">
        <f>SUM(Q128:BT128)</f>
        <v>0</v>
      </c>
      <c r="BZ128" s="450"/>
      <c r="CA128" s="451"/>
      <c r="CB128" s="452"/>
      <c r="CC128" s="453"/>
      <c r="CD128" s="449">
        <v>0</v>
      </c>
      <c r="CE128" s="450"/>
      <c r="CF128" s="451"/>
      <c r="CG128" s="452"/>
      <c r="CH128" s="453"/>
      <c r="CI128" s="449">
        <v>0</v>
      </c>
      <c r="CJ128" s="450"/>
      <c r="CK128" s="451"/>
      <c r="CL128" s="452"/>
      <c r="CM128" s="453"/>
      <c r="CN128" s="449">
        <v>0</v>
      </c>
      <c r="CO128" s="450"/>
      <c r="CP128" s="451"/>
      <c r="CQ128" s="452"/>
      <c r="CR128" s="453"/>
      <c r="CS128" s="449">
        <v>0</v>
      </c>
      <c r="CT128" s="450"/>
      <c r="CU128" s="451"/>
      <c r="CV128" s="452"/>
      <c r="CW128" s="453"/>
      <c r="CX128" s="449">
        <v>0</v>
      </c>
      <c r="CY128" s="450"/>
      <c r="CZ128" s="451"/>
      <c r="DA128" s="452"/>
      <c r="DB128" s="453"/>
      <c r="DC128" s="449">
        <v>0</v>
      </c>
      <c r="DD128" s="450"/>
      <c r="DE128" s="451"/>
      <c r="DF128" s="452"/>
      <c r="DG128" s="453"/>
      <c r="DH128" s="449">
        <v>0</v>
      </c>
      <c r="DI128" s="450"/>
      <c r="DJ128" s="451"/>
      <c r="DK128" s="452"/>
      <c r="DL128" s="453"/>
      <c r="DM128" s="449">
        <v>0</v>
      </c>
      <c r="DN128" s="450"/>
      <c r="DO128" s="451"/>
      <c r="DP128" s="452"/>
      <c r="DQ128" s="453"/>
      <c r="DR128" s="449">
        <v>0</v>
      </c>
      <c r="DS128" s="450"/>
      <c r="DT128" s="451"/>
      <c r="DU128" s="452"/>
      <c r="DV128" s="453"/>
      <c r="DW128" s="449">
        <v>0</v>
      </c>
      <c r="DX128" s="450"/>
      <c r="DY128" s="451"/>
      <c r="DZ128" s="452"/>
      <c r="EA128" s="453"/>
      <c r="EB128" s="449">
        <v>0</v>
      </c>
      <c r="EC128" s="450"/>
      <c r="ED128" s="451"/>
      <c r="EE128" s="452"/>
      <c r="EF128" s="453"/>
      <c r="EG128" s="449">
        <v>0</v>
      </c>
      <c r="EH128" s="450"/>
      <c r="EI128" s="451"/>
      <c r="EJ128" s="452"/>
      <c r="EK128" s="453"/>
      <c r="EL128" s="449">
        <f>SUM(CD128:EG128)</f>
        <v>0</v>
      </c>
      <c r="EM128" s="450"/>
      <c r="EN128" s="451"/>
      <c r="EO128" s="13"/>
    </row>
    <row r="129" spans="4:145" hidden="1" x14ac:dyDescent="0.2">
      <c r="D129" s="13" t="s">
        <v>471</v>
      </c>
      <c r="E129" s="198"/>
      <c r="F129" s="385"/>
      <c r="G129" s="463">
        <v>0</v>
      </c>
      <c r="H129" s="464"/>
      <c r="I129" s="451"/>
      <c r="J129" s="452"/>
      <c r="K129" s="465"/>
      <c r="L129" s="463">
        <v>0</v>
      </c>
      <c r="M129" s="464"/>
      <c r="N129" s="451"/>
      <c r="O129" s="452"/>
      <c r="P129" s="465"/>
      <c r="Q129" s="463">
        <v>0</v>
      </c>
      <c r="R129" s="464"/>
      <c r="S129" s="451"/>
      <c r="T129" s="452"/>
      <c r="U129" s="465"/>
      <c r="V129" s="463">
        <v>0</v>
      </c>
      <c r="W129" s="464"/>
      <c r="X129" s="451"/>
      <c r="Y129" s="452"/>
      <c r="Z129" s="465"/>
      <c r="AA129" s="463">
        <v>0</v>
      </c>
      <c r="AB129" s="464"/>
      <c r="AC129" s="451"/>
      <c r="AD129" s="452"/>
      <c r="AE129" s="465"/>
      <c r="AF129" s="463">
        <v>0</v>
      </c>
      <c r="AG129" s="464"/>
      <c r="AH129" s="451"/>
      <c r="AI129" s="452"/>
      <c r="AJ129" s="465"/>
      <c r="AK129" s="463">
        <v>0</v>
      </c>
      <c r="AL129" s="464"/>
      <c r="AM129" s="451"/>
      <c r="AN129" s="452"/>
      <c r="AO129" s="465"/>
      <c r="AP129" s="463">
        <v>0</v>
      </c>
      <c r="AQ129" s="464"/>
      <c r="AR129" s="451"/>
      <c r="AS129" s="452"/>
      <c r="AT129" s="465"/>
      <c r="AU129" s="463">
        <v>0</v>
      </c>
      <c r="AV129" s="464"/>
      <c r="AW129" s="451"/>
      <c r="AX129" s="452"/>
      <c r="AY129" s="465"/>
      <c r="AZ129" s="463">
        <v>0</v>
      </c>
      <c r="BA129" s="464"/>
      <c r="BB129" s="451"/>
      <c r="BC129" s="452"/>
      <c r="BD129" s="465"/>
      <c r="BE129" s="463">
        <v>0</v>
      </c>
      <c r="BF129" s="464"/>
      <c r="BG129" s="451"/>
      <c r="BH129" s="452"/>
      <c r="BI129" s="465"/>
      <c r="BJ129" s="463">
        <v>0</v>
      </c>
      <c r="BK129" s="464"/>
      <c r="BL129" s="451"/>
      <c r="BM129" s="452"/>
      <c r="BN129" s="465"/>
      <c r="BO129" s="463">
        <v>0</v>
      </c>
      <c r="BP129" s="464"/>
      <c r="BQ129" s="451"/>
      <c r="BR129" s="452"/>
      <c r="BS129" s="465"/>
      <c r="BT129" s="463">
        <f>SUM(L129:BO129)</f>
        <v>0</v>
      </c>
      <c r="BU129" s="464"/>
      <c r="BV129" s="451"/>
      <c r="BW129" s="452"/>
      <c r="BX129" s="465"/>
      <c r="BY129" s="463">
        <f>SUM(Q129:BT129)</f>
        <v>0</v>
      </c>
      <c r="BZ129" s="464"/>
      <c r="CA129" s="451"/>
      <c r="CB129" s="452"/>
      <c r="CC129" s="465"/>
      <c r="CD129" s="463">
        <v>0</v>
      </c>
      <c r="CE129" s="464"/>
      <c r="CF129" s="451"/>
      <c r="CG129" s="452"/>
      <c r="CH129" s="465"/>
      <c r="CI129" s="463">
        <v>0</v>
      </c>
      <c r="CJ129" s="464"/>
      <c r="CK129" s="451"/>
      <c r="CL129" s="452"/>
      <c r="CM129" s="465"/>
      <c r="CN129" s="463">
        <v>0</v>
      </c>
      <c r="CO129" s="464"/>
      <c r="CP129" s="451"/>
      <c r="CQ129" s="452"/>
      <c r="CR129" s="465"/>
      <c r="CS129" s="463">
        <v>0</v>
      </c>
      <c r="CT129" s="464"/>
      <c r="CU129" s="451"/>
      <c r="CV129" s="452"/>
      <c r="CW129" s="465"/>
      <c r="CX129" s="463">
        <v>0</v>
      </c>
      <c r="CY129" s="464"/>
      <c r="CZ129" s="451"/>
      <c r="DA129" s="452"/>
      <c r="DB129" s="465"/>
      <c r="DC129" s="463">
        <v>0</v>
      </c>
      <c r="DD129" s="464"/>
      <c r="DE129" s="451"/>
      <c r="DF129" s="452"/>
      <c r="DG129" s="465"/>
      <c r="DH129" s="463">
        <v>0</v>
      </c>
      <c r="DI129" s="464"/>
      <c r="DJ129" s="451"/>
      <c r="DK129" s="452"/>
      <c r="DL129" s="465"/>
      <c r="DM129" s="463">
        <v>0</v>
      </c>
      <c r="DN129" s="464"/>
      <c r="DO129" s="451"/>
      <c r="DP129" s="452"/>
      <c r="DQ129" s="465"/>
      <c r="DR129" s="463">
        <v>0</v>
      </c>
      <c r="DS129" s="464"/>
      <c r="DT129" s="451"/>
      <c r="DU129" s="452"/>
      <c r="DV129" s="465"/>
      <c r="DW129" s="463">
        <v>0</v>
      </c>
      <c r="DX129" s="464"/>
      <c r="DY129" s="451"/>
      <c r="DZ129" s="452"/>
      <c r="EA129" s="465"/>
      <c r="EB129" s="463">
        <v>0</v>
      </c>
      <c r="EC129" s="464"/>
      <c r="ED129" s="451"/>
      <c r="EE129" s="452"/>
      <c r="EF129" s="465"/>
      <c r="EG129" s="463">
        <v>0</v>
      </c>
      <c r="EH129" s="464"/>
      <c r="EI129" s="451"/>
      <c r="EJ129" s="452"/>
      <c r="EK129" s="465"/>
      <c r="EL129" s="463">
        <f>SUM(CD129:EG129)</f>
        <v>0</v>
      </c>
      <c r="EM129" s="464"/>
      <c r="EN129" s="451"/>
      <c r="EO129" s="13"/>
    </row>
    <row r="130" spans="4:145" x14ac:dyDescent="0.2">
      <c r="D130" s="13"/>
      <c r="E130" s="198"/>
      <c r="G130" s="451"/>
      <c r="H130" s="451"/>
      <c r="I130" s="451"/>
      <c r="J130" s="452"/>
      <c r="K130" s="451"/>
      <c r="L130" s="451"/>
      <c r="M130" s="451"/>
      <c r="N130" s="451"/>
      <c r="O130" s="452"/>
      <c r="P130" s="451"/>
      <c r="Q130" s="451"/>
      <c r="R130" s="451"/>
      <c r="S130" s="451"/>
      <c r="T130" s="452"/>
      <c r="U130" s="451"/>
      <c r="V130" s="451"/>
      <c r="W130" s="451"/>
      <c r="X130" s="451"/>
      <c r="Y130" s="452"/>
      <c r="Z130" s="451"/>
      <c r="AA130" s="451"/>
      <c r="AB130" s="451"/>
      <c r="AC130" s="451"/>
      <c r="AD130" s="452"/>
      <c r="AE130" s="451"/>
      <c r="AF130" s="451"/>
      <c r="AG130" s="451"/>
      <c r="AH130" s="451"/>
      <c r="AI130" s="452"/>
      <c r="AJ130" s="451"/>
      <c r="AK130" s="451"/>
      <c r="AL130" s="451"/>
      <c r="AM130" s="451"/>
      <c r="AN130" s="452"/>
      <c r="AO130" s="451"/>
      <c r="AP130" s="451"/>
      <c r="AQ130" s="451"/>
      <c r="AR130" s="451"/>
      <c r="AS130" s="452"/>
      <c r="AT130" s="451"/>
      <c r="AU130" s="451"/>
      <c r="AV130" s="451"/>
      <c r="AW130" s="451"/>
      <c r="AX130" s="452"/>
      <c r="AY130" s="451"/>
      <c r="AZ130" s="451"/>
      <c r="BA130" s="451"/>
      <c r="BB130" s="451"/>
      <c r="BC130" s="452"/>
      <c r="BD130" s="451"/>
      <c r="BE130" s="451"/>
      <c r="BF130" s="451"/>
      <c r="BG130" s="451"/>
      <c r="BH130" s="452"/>
      <c r="BI130" s="451"/>
      <c r="BJ130" s="451"/>
      <c r="BK130" s="451"/>
      <c r="BL130" s="451"/>
      <c r="BM130" s="452"/>
      <c r="BN130" s="451"/>
      <c r="BO130" s="451"/>
      <c r="BP130" s="451"/>
      <c r="BQ130" s="451"/>
      <c r="BR130" s="452"/>
      <c r="BS130" s="451"/>
      <c r="BT130" s="451"/>
      <c r="BU130" s="451"/>
      <c r="BV130" s="451"/>
      <c r="BW130" s="452"/>
      <c r="BX130" s="451"/>
      <c r="BY130" s="451"/>
      <c r="BZ130" s="451"/>
      <c r="CA130" s="451"/>
      <c r="CB130" s="452"/>
      <c r="CC130" s="451"/>
      <c r="CD130" s="451"/>
      <c r="CE130" s="451"/>
      <c r="CF130" s="451"/>
      <c r="CG130" s="452"/>
      <c r="CH130" s="451"/>
      <c r="CI130" s="451"/>
      <c r="CJ130" s="451"/>
      <c r="CK130" s="451"/>
      <c r="CL130" s="452"/>
      <c r="CM130" s="451"/>
      <c r="CN130" s="451"/>
      <c r="CO130" s="451"/>
      <c r="CP130" s="451"/>
      <c r="CQ130" s="452"/>
      <c r="CR130" s="451"/>
      <c r="CS130" s="451"/>
      <c r="CT130" s="451"/>
      <c r="CU130" s="451"/>
      <c r="CV130" s="452"/>
      <c r="CW130" s="451"/>
      <c r="CX130" s="451"/>
      <c r="CY130" s="451"/>
      <c r="CZ130" s="451"/>
      <c r="DA130" s="452"/>
      <c r="DB130" s="451"/>
      <c r="DC130" s="451"/>
      <c r="DD130" s="451"/>
      <c r="DE130" s="451"/>
      <c r="DF130" s="452"/>
      <c r="DG130" s="451"/>
      <c r="DH130" s="451"/>
      <c r="DI130" s="451"/>
      <c r="DJ130" s="451"/>
      <c r="DK130" s="452"/>
      <c r="DL130" s="451"/>
      <c r="DM130" s="451"/>
      <c r="DN130" s="451"/>
      <c r="DO130" s="451"/>
      <c r="DP130" s="452"/>
      <c r="DQ130" s="451"/>
      <c r="DR130" s="451"/>
      <c r="DS130" s="451"/>
      <c r="DT130" s="451"/>
      <c r="DU130" s="452"/>
      <c r="DV130" s="451"/>
      <c r="DW130" s="451"/>
      <c r="DX130" s="451"/>
      <c r="DY130" s="451"/>
      <c r="DZ130" s="452"/>
      <c r="EA130" s="451"/>
      <c r="EB130" s="451"/>
      <c r="EC130" s="451"/>
      <c r="ED130" s="451"/>
      <c r="EE130" s="452"/>
      <c r="EF130" s="451"/>
      <c r="EG130" s="451"/>
      <c r="EH130" s="451"/>
      <c r="EI130" s="451"/>
      <c r="EJ130" s="452"/>
      <c r="EK130" s="451"/>
      <c r="EL130" s="451"/>
      <c r="EM130" s="451"/>
      <c r="EN130" s="451"/>
      <c r="EO130" s="13"/>
    </row>
    <row r="131" spans="4:145" x14ac:dyDescent="0.2">
      <c r="D131" s="13" t="s">
        <v>477</v>
      </c>
      <c r="E131" s="198"/>
      <c r="G131" s="451">
        <f>SUM(G132:G133)</f>
        <v>778000</v>
      </c>
      <c r="H131" s="451"/>
      <c r="I131" s="451"/>
      <c r="J131" s="452"/>
      <c r="K131" s="451"/>
      <c r="L131" s="451">
        <f>SUM(L132:L133)</f>
        <v>777665</v>
      </c>
      <c r="M131" s="451"/>
      <c r="N131" s="451"/>
      <c r="O131" s="452"/>
      <c r="P131" s="451"/>
      <c r="Q131" s="451">
        <f>SUM(Q132:Q133)</f>
        <v>0</v>
      </c>
      <c r="R131" s="451"/>
      <c r="S131" s="451"/>
      <c r="T131" s="452"/>
      <c r="U131" s="451"/>
      <c r="V131" s="451">
        <f>SUM(V132:V133)</f>
        <v>0</v>
      </c>
      <c r="W131" s="451"/>
      <c r="X131" s="451"/>
      <c r="Y131" s="452"/>
      <c r="Z131" s="451"/>
      <c r="AA131" s="451">
        <f>SUM(AA132:AA133)</f>
        <v>0</v>
      </c>
      <c r="AB131" s="451"/>
      <c r="AC131" s="451"/>
      <c r="AD131" s="452"/>
      <c r="AE131" s="451"/>
      <c r="AF131" s="451">
        <f>SUM(AF132:AF133)</f>
        <v>0</v>
      </c>
      <c r="AG131" s="451"/>
      <c r="AH131" s="451"/>
      <c r="AI131" s="452"/>
      <c r="AJ131" s="451"/>
      <c r="AK131" s="451">
        <f>SUM(AK132:AK133)</f>
        <v>0</v>
      </c>
      <c r="AL131" s="451"/>
      <c r="AM131" s="451"/>
      <c r="AN131" s="452"/>
      <c r="AO131" s="451"/>
      <c r="AP131" s="451">
        <f>SUM(AP132:AP133)</f>
        <v>0</v>
      </c>
      <c r="AQ131" s="451"/>
      <c r="AR131" s="451"/>
      <c r="AS131" s="452"/>
      <c r="AT131" s="451"/>
      <c r="AU131" s="451">
        <f>SUM(AU132:AU133)</f>
        <v>0</v>
      </c>
      <c r="AV131" s="451"/>
      <c r="AW131" s="451"/>
      <c r="AX131" s="452"/>
      <c r="AY131" s="451"/>
      <c r="AZ131" s="451">
        <f>SUM(AZ132:AZ133)</f>
        <v>0</v>
      </c>
      <c r="BA131" s="451"/>
      <c r="BB131" s="451"/>
      <c r="BC131" s="452"/>
      <c r="BD131" s="451"/>
      <c r="BE131" s="451">
        <f>SUM(BE132:BE133)</f>
        <v>0</v>
      </c>
      <c r="BF131" s="451"/>
      <c r="BG131" s="451"/>
      <c r="BH131" s="452"/>
      <c r="BI131" s="451"/>
      <c r="BJ131" s="451">
        <f>SUM(BJ132:BJ133)</f>
        <v>0</v>
      </c>
      <c r="BK131" s="451"/>
      <c r="BL131" s="451"/>
      <c r="BM131" s="452"/>
      <c r="BN131" s="451"/>
      <c r="BO131" s="451">
        <f>SUM(BO132:BO133)</f>
        <v>0</v>
      </c>
      <c r="BP131" s="451"/>
      <c r="BQ131" s="451"/>
      <c r="BR131" s="452"/>
      <c r="BS131" s="451"/>
      <c r="BT131" s="451">
        <f>SUM(BT132:BT133)</f>
        <v>777665</v>
      </c>
      <c r="BU131" s="451"/>
      <c r="BV131" s="451"/>
      <c r="BW131" s="452"/>
      <c r="BX131" s="451"/>
      <c r="BY131" s="451">
        <f>SUM(BY132:BY133)</f>
        <v>1282940</v>
      </c>
      <c r="BZ131" s="451"/>
      <c r="CA131" s="451"/>
      <c r="CB131" s="452"/>
      <c r="CC131" s="451"/>
      <c r="CD131" s="451">
        <f>SUM(CD132:CD133)</f>
        <v>628449</v>
      </c>
      <c r="CE131" s="451"/>
      <c r="CF131" s="451"/>
      <c r="CG131" s="452"/>
      <c r="CH131" s="451"/>
      <c r="CI131" s="451">
        <f>SUM(CI132:CI133)</f>
        <v>0</v>
      </c>
      <c r="CJ131" s="451"/>
      <c r="CK131" s="451"/>
      <c r="CL131" s="452"/>
      <c r="CM131" s="451"/>
      <c r="CN131" s="451">
        <f>SUM(CN132:CN133)</f>
        <v>0</v>
      </c>
      <c r="CO131" s="451"/>
      <c r="CP131" s="451"/>
      <c r="CQ131" s="452"/>
      <c r="CR131" s="451"/>
      <c r="CS131" s="451">
        <f>SUM(CS132:CS133)</f>
        <v>0</v>
      </c>
      <c r="CT131" s="451"/>
      <c r="CU131" s="451"/>
      <c r="CV131" s="452"/>
      <c r="CW131" s="451"/>
      <c r="CX131" s="451">
        <f>SUM(CX132:CX133)</f>
        <v>0</v>
      </c>
      <c r="CY131" s="451"/>
      <c r="CZ131" s="451"/>
      <c r="DA131" s="452"/>
      <c r="DB131" s="451"/>
      <c r="DC131" s="451">
        <f>SUM(DC132:DC133)</f>
        <v>0</v>
      </c>
      <c r="DD131" s="451"/>
      <c r="DE131" s="451"/>
      <c r="DF131" s="452"/>
      <c r="DG131" s="451"/>
      <c r="DH131" s="451">
        <f>SUM(DH132:DH133)</f>
        <v>654491</v>
      </c>
      <c r="DI131" s="451"/>
      <c r="DJ131" s="451"/>
      <c r="DK131" s="452"/>
      <c r="DL131" s="451"/>
      <c r="DM131" s="451">
        <f>SUM(DM132:DM133)</f>
        <v>0</v>
      </c>
      <c r="DN131" s="451"/>
      <c r="DO131" s="451"/>
      <c r="DP131" s="452"/>
      <c r="DQ131" s="451"/>
      <c r="DR131" s="451">
        <f>SUM(DR132:DR133)</f>
        <v>0</v>
      </c>
      <c r="DS131" s="451"/>
      <c r="DT131" s="451"/>
      <c r="DU131" s="452"/>
      <c r="DV131" s="451"/>
      <c r="DW131" s="451">
        <f>SUM(DW132:DW133)</f>
        <v>0</v>
      </c>
      <c r="DX131" s="451"/>
      <c r="DY131" s="451"/>
      <c r="DZ131" s="452"/>
      <c r="EA131" s="451"/>
      <c r="EB131" s="451">
        <f>SUM(EB132:EB133)</f>
        <v>0</v>
      </c>
      <c r="EC131" s="451"/>
      <c r="ED131" s="451"/>
      <c r="EE131" s="452"/>
      <c r="EF131" s="451"/>
      <c r="EG131" s="451">
        <f>SUM(EG132:EG133)</f>
        <v>0</v>
      </c>
      <c r="EH131" s="451"/>
      <c r="EI131" s="451"/>
      <c r="EJ131" s="452"/>
      <c r="EK131" s="451"/>
      <c r="EL131" s="451">
        <f>SUM(EL132:EL133)</f>
        <v>1282940</v>
      </c>
      <c r="EM131" s="451"/>
      <c r="EN131" s="451"/>
      <c r="EO131" s="13"/>
    </row>
    <row r="132" spans="4:145" x14ac:dyDescent="0.2">
      <c r="D132" s="13" t="s">
        <v>470</v>
      </c>
      <c r="E132" s="198"/>
      <c r="F132" s="374"/>
      <c r="G132" s="449">
        <v>392000</v>
      </c>
      <c r="H132" s="450"/>
      <c r="I132" s="451"/>
      <c r="J132" s="452"/>
      <c r="K132" s="453"/>
      <c r="L132" s="449">
        <v>391647</v>
      </c>
      <c r="M132" s="450"/>
      <c r="N132" s="451"/>
      <c r="O132" s="452"/>
      <c r="P132" s="453"/>
      <c r="Q132" s="449">
        <v>0</v>
      </c>
      <c r="R132" s="450"/>
      <c r="S132" s="451"/>
      <c r="T132" s="452"/>
      <c r="U132" s="453"/>
      <c r="V132" s="449">
        <v>0</v>
      </c>
      <c r="W132" s="450"/>
      <c r="X132" s="451"/>
      <c r="Y132" s="452"/>
      <c r="Z132" s="453"/>
      <c r="AA132" s="449">
        <v>0</v>
      </c>
      <c r="AB132" s="450"/>
      <c r="AC132" s="451"/>
      <c r="AD132" s="452"/>
      <c r="AE132" s="453"/>
      <c r="AF132" s="449">
        <v>0</v>
      </c>
      <c r="AG132" s="450"/>
      <c r="AH132" s="451"/>
      <c r="AI132" s="452"/>
      <c r="AJ132" s="453"/>
      <c r="AK132" s="449">
        <v>0</v>
      </c>
      <c r="AL132" s="450"/>
      <c r="AM132" s="451"/>
      <c r="AN132" s="452"/>
      <c r="AO132" s="453"/>
      <c r="AP132" s="449">
        <v>0</v>
      </c>
      <c r="AQ132" s="450"/>
      <c r="AR132" s="451"/>
      <c r="AS132" s="452"/>
      <c r="AT132" s="453"/>
      <c r="AU132" s="449">
        <v>0</v>
      </c>
      <c r="AV132" s="450"/>
      <c r="AW132" s="451"/>
      <c r="AX132" s="452"/>
      <c r="AY132" s="453"/>
      <c r="AZ132" s="449">
        <v>0</v>
      </c>
      <c r="BA132" s="450"/>
      <c r="BB132" s="451"/>
      <c r="BC132" s="452"/>
      <c r="BD132" s="453"/>
      <c r="BE132" s="449">
        <v>0</v>
      </c>
      <c r="BF132" s="450"/>
      <c r="BG132" s="451"/>
      <c r="BH132" s="452"/>
      <c r="BI132" s="453"/>
      <c r="BJ132" s="449">
        <v>0</v>
      </c>
      <c r="BK132" s="450"/>
      <c r="BL132" s="451"/>
      <c r="BM132" s="452"/>
      <c r="BN132" s="453"/>
      <c r="BO132" s="449">
        <v>0</v>
      </c>
      <c r="BP132" s="450"/>
      <c r="BQ132" s="451"/>
      <c r="BR132" s="452"/>
      <c r="BS132" s="453"/>
      <c r="BT132" s="449">
        <f>SUM(L132:BO132)</f>
        <v>391647</v>
      </c>
      <c r="BU132" s="450"/>
      <c r="BV132" s="451"/>
      <c r="BW132" s="452"/>
      <c r="BX132" s="453"/>
      <c r="BY132" s="449">
        <v>783294</v>
      </c>
      <c r="BZ132" s="450"/>
      <c r="CA132" s="451"/>
      <c r="CB132" s="452"/>
      <c r="CC132" s="453"/>
      <c r="CD132" s="449">
        <v>391647</v>
      </c>
      <c r="CE132" s="450"/>
      <c r="CF132" s="451"/>
      <c r="CG132" s="452"/>
      <c r="CH132" s="453"/>
      <c r="CI132" s="449">
        <v>0</v>
      </c>
      <c r="CJ132" s="450"/>
      <c r="CK132" s="451"/>
      <c r="CL132" s="452"/>
      <c r="CM132" s="453"/>
      <c r="CN132" s="449">
        <v>0</v>
      </c>
      <c r="CO132" s="450"/>
      <c r="CP132" s="451"/>
      <c r="CQ132" s="452"/>
      <c r="CR132" s="453"/>
      <c r="CS132" s="449">
        <v>0</v>
      </c>
      <c r="CT132" s="450"/>
      <c r="CU132" s="451"/>
      <c r="CV132" s="452"/>
      <c r="CW132" s="453"/>
      <c r="CX132" s="449">
        <v>0</v>
      </c>
      <c r="CY132" s="450"/>
      <c r="CZ132" s="451"/>
      <c r="DA132" s="452"/>
      <c r="DB132" s="453"/>
      <c r="DC132" s="449">
        <v>0</v>
      </c>
      <c r="DD132" s="450"/>
      <c r="DE132" s="451"/>
      <c r="DF132" s="452"/>
      <c r="DG132" s="453"/>
      <c r="DH132" s="449">
        <v>391647</v>
      </c>
      <c r="DI132" s="450"/>
      <c r="DJ132" s="451"/>
      <c r="DK132" s="452"/>
      <c r="DL132" s="453"/>
      <c r="DM132" s="449">
        <v>0</v>
      </c>
      <c r="DN132" s="450"/>
      <c r="DO132" s="451"/>
      <c r="DP132" s="452"/>
      <c r="DQ132" s="453"/>
      <c r="DR132" s="449">
        <v>0</v>
      </c>
      <c r="DS132" s="450"/>
      <c r="DT132" s="451"/>
      <c r="DU132" s="452"/>
      <c r="DV132" s="453"/>
      <c r="DW132" s="449">
        <v>0</v>
      </c>
      <c r="DX132" s="450"/>
      <c r="DY132" s="451"/>
      <c r="DZ132" s="452"/>
      <c r="EA132" s="453"/>
      <c r="EB132" s="449">
        <v>0</v>
      </c>
      <c r="EC132" s="450"/>
      <c r="ED132" s="451"/>
      <c r="EE132" s="452"/>
      <c r="EF132" s="453"/>
      <c r="EG132" s="449">
        <v>0</v>
      </c>
      <c r="EH132" s="450"/>
      <c r="EI132" s="451"/>
      <c r="EJ132" s="452"/>
      <c r="EK132" s="453"/>
      <c r="EL132" s="449">
        <f>SUM(CD132:DW132)</f>
        <v>783294</v>
      </c>
      <c r="EM132" s="450"/>
      <c r="EN132" s="451"/>
      <c r="EO132" s="13"/>
    </row>
    <row r="133" spans="4:145" x14ac:dyDescent="0.2">
      <c r="D133" s="13" t="s">
        <v>471</v>
      </c>
      <c r="E133" s="198"/>
      <c r="F133" s="385"/>
      <c r="G133" s="463">
        <v>386000</v>
      </c>
      <c r="H133" s="464"/>
      <c r="I133" s="451"/>
      <c r="J133" s="452"/>
      <c r="K133" s="465"/>
      <c r="L133" s="463">
        <v>386018</v>
      </c>
      <c r="M133" s="464"/>
      <c r="N133" s="451"/>
      <c r="O133" s="452"/>
      <c r="P133" s="465"/>
      <c r="Q133" s="463">
        <v>0</v>
      </c>
      <c r="R133" s="464"/>
      <c r="S133" s="451"/>
      <c r="T133" s="452"/>
      <c r="U133" s="465"/>
      <c r="V133" s="463">
        <v>0</v>
      </c>
      <c r="W133" s="464"/>
      <c r="X133" s="451"/>
      <c r="Y133" s="452"/>
      <c r="Z133" s="465"/>
      <c r="AA133" s="463">
        <v>0</v>
      </c>
      <c r="AB133" s="464"/>
      <c r="AC133" s="451"/>
      <c r="AD133" s="452"/>
      <c r="AE133" s="465"/>
      <c r="AF133" s="463">
        <v>0</v>
      </c>
      <c r="AG133" s="464"/>
      <c r="AH133" s="451"/>
      <c r="AI133" s="452"/>
      <c r="AJ133" s="465"/>
      <c r="AK133" s="463">
        <v>0</v>
      </c>
      <c r="AL133" s="464"/>
      <c r="AM133" s="451"/>
      <c r="AN133" s="452"/>
      <c r="AO133" s="465"/>
      <c r="AP133" s="463">
        <v>0</v>
      </c>
      <c r="AQ133" s="464"/>
      <c r="AR133" s="451"/>
      <c r="AS133" s="452"/>
      <c r="AT133" s="465"/>
      <c r="AU133" s="463">
        <v>0</v>
      </c>
      <c r="AV133" s="464"/>
      <c r="AW133" s="451"/>
      <c r="AX133" s="452"/>
      <c r="AY133" s="465"/>
      <c r="AZ133" s="463">
        <v>0</v>
      </c>
      <c r="BA133" s="464"/>
      <c r="BB133" s="451"/>
      <c r="BC133" s="452"/>
      <c r="BD133" s="465"/>
      <c r="BE133" s="463">
        <v>0</v>
      </c>
      <c r="BF133" s="464"/>
      <c r="BG133" s="451"/>
      <c r="BH133" s="452"/>
      <c r="BI133" s="465"/>
      <c r="BJ133" s="463">
        <v>0</v>
      </c>
      <c r="BK133" s="464"/>
      <c r="BL133" s="451"/>
      <c r="BM133" s="452"/>
      <c r="BN133" s="465"/>
      <c r="BO133" s="463">
        <v>0</v>
      </c>
      <c r="BP133" s="464"/>
      <c r="BQ133" s="451"/>
      <c r="BR133" s="452"/>
      <c r="BS133" s="465"/>
      <c r="BT133" s="463">
        <f>SUM(L133:BO133)</f>
        <v>386018</v>
      </c>
      <c r="BU133" s="464"/>
      <c r="BV133" s="451"/>
      <c r="BW133" s="452"/>
      <c r="BX133" s="465"/>
      <c r="BY133" s="463">
        <v>499646</v>
      </c>
      <c r="BZ133" s="464"/>
      <c r="CA133" s="451"/>
      <c r="CB133" s="452"/>
      <c r="CC133" s="465"/>
      <c r="CD133" s="463">
        <v>236802</v>
      </c>
      <c r="CE133" s="464"/>
      <c r="CF133" s="451"/>
      <c r="CG133" s="452"/>
      <c r="CH133" s="465"/>
      <c r="CI133" s="463">
        <v>0</v>
      </c>
      <c r="CJ133" s="464"/>
      <c r="CK133" s="451"/>
      <c r="CL133" s="452"/>
      <c r="CM133" s="465"/>
      <c r="CN133" s="463">
        <v>0</v>
      </c>
      <c r="CO133" s="464"/>
      <c r="CP133" s="451"/>
      <c r="CQ133" s="452"/>
      <c r="CR133" s="465"/>
      <c r="CS133" s="463">
        <v>0</v>
      </c>
      <c r="CT133" s="464"/>
      <c r="CU133" s="451"/>
      <c r="CV133" s="452"/>
      <c r="CW133" s="465"/>
      <c r="CX133" s="463">
        <v>0</v>
      </c>
      <c r="CY133" s="464"/>
      <c r="CZ133" s="451"/>
      <c r="DA133" s="452"/>
      <c r="DB133" s="465"/>
      <c r="DC133" s="463">
        <v>0</v>
      </c>
      <c r="DD133" s="464"/>
      <c r="DE133" s="451"/>
      <c r="DF133" s="452"/>
      <c r="DG133" s="465"/>
      <c r="DH133" s="463">
        <v>262844</v>
      </c>
      <c r="DI133" s="464"/>
      <c r="DJ133" s="451"/>
      <c r="DK133" s="452"/>
      <c r="DL133" s="465"/>
      <c r="DM133" s="463">
        <v>0</v>
      </c>
      <c r="DN133" s="464"/>
      <c r="DO133" s="451"/>
      <c r="DP133" s="452"/>
      <c r="DQ133" s="465"/>
      <c r="DR133" s="463">
        <v>0</v>
      </c>
      <c r="DS133" s="464"/>
      <c r="DT133" s="451"/>
      <c r="DU133" s="452"/>
      <c r="DV133" s="465"/>
      <c r="DW133" s="463">
        <v>0</v>
      </c>
      <c r="DX133" s="464"/>
      <c r="DY133" s="451"/>
      <c r="DZ133" s="452"/>
      <c r="EA133" s="465"/>
      <c r="EB133" s="463">
        <v>0</v>
      </c>
      <c r="EC133" s="464"/>
      <c r="ED133" s="451"/>
      <c r="EE133" s="452"/>
      <c r="EF133" s="465"/>
      <c r="EG133" s="463">
        <v>0</v>
      </c>
      <c r="EH133" s="464"/>
      <c r="EI133" s="451"/>
      <c r="EJ133" s="452"/>
      <c r="EK133" s="465"/>
      <c r="EL133" s="463">
        <f>SUM(CD133:DW133)</f>
        <v>499646</v>
      </c>
      <c r="EM133" s="464"/>
      <c r="EN133" s="451"/>
      <c r="EO133" s="13"/>
    </row>
    <row r="134" spans="4:145" ht="12.75" customHeight="1" x14ac:dyDescent="0.2">
      <c r="D134" s="13"/>
      <c r="E134" s="198"/>
      <c r="G134" s="451"/>
      <c r="H134" s="451"/>
      <c r="I134" s="451"/>
      <c r="J134" s="452"/>
      <c r="K134" s="451"/>
      <c r="L134" s="451"/>
      <c r="M134" s="451"/>
      <c r="N134" s="451"/>
      <c r="O134" s="452"/>
      <c r="P134" s="451"/>
      <c r="Q134" s="451"/>
      <c r="R134" s="451"/>
      <c r="S134" s="451"/>
      <c r="T134" s="452"/>
      <c r="U134" s="451"/>
      <c r="V134" s="451"/>
      <c r="W134" s="451"/>
      <c r="X134" s="451"/>
      <c r="Y134" s="452"/>
      <c r="Z134" s="451"/>
      <c r="AA134" s="451"/>
      <c r="AB134" s="451"/>
      <c r="AC134" s="451"/>
      <c r="AD134" s="452"/>
      <c r="AE134" s="451"/>
      <c r="AF134" s="451"/>
      <c r="AG134" s="451"/>
      <c r="AH134" s="451"/>
      <c r="AI134" s="452"/>
      <c r="AJ134" s="451"/>
      <c r="AK134" s="451"/>
      <c r="AL134" s="451"/>
      <c r="AM134" s="451"/>
      <c r="AN134" s="452"/>
      <c r="AO134" s="451"/>
      <c r="AP134" s="451"/>
      <c r="AQ134" s="451"/>
      <c r="AR134" s="451"/>
      <c r="AS134" s="452"/>
      <c r="AT134" s="451"/>
      <c r="AU134" s="451"/>
      <c r="AV134" s="451"/>
      <c r="AW134" s="451"/>
      <c r="AX134" s="452"/>
      <c r="AY134" s="451"/>
      <c r="AZ134" s="451"/>
      <c r="BA134" s="451"/>
      <c r="BB134" s="451"/>
      <c r="BC134" s="452"/>
      <c r="BD134" s="451"/>
      <c r="BE134" s="451"/>
      <c r="BF134" s="451"/>
      <c r="BG134" s="451"/>
      <c r="BH134" s="452"/>
      <c r="BI134" s="451"/>
      <c r="BJ134" s="451"/>
      <c r="BK134" s="451"/>
      <c r="BL134" s="451"/>
      <c r="BM134" s="452"/>
      <c r="BN134" s="451"/>
      <c r="BO134" s="451"/>
      <c r="BP134" s="451"/>
      <c r="BQ134" s="451"/>
      <c r="BR134" s="452"/>
      <c r="BS134" s="451"/>
      <c r="BT134" s="451"/>
      <c r="BU134" s="451"/>
      <c r="BV134" s="451"/>
      <c r="BW134" s="452"/>
      <c r="BX134" s="451"/>
      <c r="BY134" s="451"/>
      <c r="BZ134" s="451"/>
      <c r="CA134" s="451"/>
      <c r="CB134" s="452"/>
      <c r="CC134" s="451"/>
      <c r="CD134" s="451"/>
      <c r="CE134" s="451"/>
      <c r="CF134" s="451"/>
      <c r="CG134" s="452"/>
      <c r="CH134" s="451"/>
      <c r="CI134" s="451"/>
      <c r="CJ134" s="451"/>
      <c r="CK134" s="451"/>
      <c r="CL134" s="452"/>
      <c r="CM134" s="451"/>
      <c r="CN134" s="451"/>
      <c r="CO134" s="451"/>
      <c r="CP134" s="451"/>
      <c r="CQ134" s="452"/>
      <c r="CR134" s="451"/>
      <c r="CS134" s="451"/>
      <c r="CT134" s="451"/>
      <c r="CU134" s="451"/>
      <c r="CV134" s="452"/>
      <c r="CW134" s="451"/>
      <c r="CX134" s="451"/>
      <c r="CY134" s="451"/>
      <c r="CZ134" s="451"/>
      <c r="DA134" s="452"/>
      <c r="DB134" s="451"/>
      <c r="DC134" s="451"/>
      <c r="DD134" s="451"/>
      <c r="DE134" s="451"/>
      <c r="DF134" s="452"/>
      <c r="DG134" s="451"/>
      <c r="DH134" s="451"/>
      <c r="DI134" s="451"/>
      <c r="DJ134" s="451"/>
      <c r="DK134" s="452"/>
      <c r="DL134" s="451"/>
      <c r="DM134" s="451"/>
      <c r="DN134" s="451"/>
      <c r="DO134" s="451"/>
      <c r="DP134" s="452"/>
      <c r="DQ134" s="451"/>
      <c r="DR134" s="451"/>
      <c r="DS134" s="451"/>
      <c r="DT134" s="451"/>
      <c r="DU134" s="452"/>
      <c r="DV134" s="451"/>
      <c r="DW134" s="451"/>
      <c r="DX134" s="451"/>
      <c r="DY134" s="451"/>
      <c r="DZ134" s="452"/>
      <c r="EA134" s="451"/>
      <c r="EB134" s="451"/>
      <c r="EC134" s="451"/>
      <c r="ED134" s="451"/>
      <c r="EE134" s="452"/>
      <c r="EF134" s="451"/>
      <c r="EG134" s="451"/>
      <c r="EH134" s="451"/>
      <c r="EI134" s="451"/>
      <c r="EJ134" s="452"/>
      <c r="EK134" s="451"/>
      <c r="EL134" s="451"/>
      <c r="EM134" s="451"/>
      <c r="EN134" s="451"/>
      <c r="EO134" s="13"/>
    </row>
    <row r="135" spans="4:145" ht="12.75" customHeight="1" x14ac:dyDescent="0.2">
      <c r="D135" s="13" t="s">
        <v>478</v>
      </c>
      <c r="E135" s="198"/>
      <c r="G135" s="451">
        <f>SUM(G136:G137)</f>
        <v>4924000</v>
      </c>
      <c r="H135" s="451"/>
      <c r="I135" s="451"/>
      <c r="J135" s="452"/>
      <c r="K135" s="451"/>
      <c r="L135" s="451">
        <f>SUM(L136:L137)</f>
        <v>0</v>
      </c>
      <c r="M135" s="451"/>
      <c r="N135" s="451"/>
      <c r="O135" s="452"/>
      <c r="P135" s="451"/>
      <c r="Q135" s="451">
        <f>SUM(Q136:Q137)</f>
        <v>4923900</v>
      </c>
      <c r="R135" s="451"/>
      <c r="S135" s="451"/>
      <c r="T135" s="452"/>
      <c r="U135" s="451"/>
      <c r="V135" s="451">
        <f>SUM(V136:V137)</f>
        <v>0</v>
      </c>
      <c r="W135" s="451"/>
      <c r="X135" s="451"/>
      <c r="Y135" s="452"/>
      <c r="Z135" s="451"/>
      <c r="AA135" s="451">
        <f>SUM(AA136:AA137)</f>
        <v>0</v>
      </c>
      <c r="AB135" s="451"/>
      <c r="AC135" s="451"/>
      <c r="AD135" s="452"/>
      <c r="AE135" s="451"/>
      <c r="AF135" s="451">
        <f>SUM(AF136:AF137)</f>
        <v>0</v>
      </c>
      <c r="AG135" s="451"/>
      <c r="AH135" s="451"/>
      <c r="AI135" s="452"/>
      <c r="AJ135" s="451"/>
      <c r="AK135" s="451">
        <f>SUM(AK136:AK137)</f>
        <v>0</v>
      </c>
      <c r="AL135" s="451"/>
      <c r="AM135" s="451"/>
      <c r="AN135" s="452"/>
      <c r="AO135" s="451"/>
      <c r="AP135" s="451">
        <f>SUM(AP136:AP137)</f>
        <v>0</v>
      </c>
      <c r="AQ135" s="451"/>
      <c r="AR135" s="451"/>
      <c r="AS135" s="452"/>
      <c r="AT135" s="451"/>
      <c r="AU135" s="451">
        <f>SUM(AU136:AU137)</f>
        <v>0</v>
      </c>
      <c r="AV135" s="451"/>
      <c r="AW135" s="451"/>
      <c r="AX135" s="452"/>
      <c r="AY135" s="451"/>
      <c r="AZ135" s="451">
        <f>SUM(AZ136:AZ137)</f>
        <v>0</v>
      </c>
      <c r="BA135" s="451"/>
      <c r="BB135" s="451"/>
      <c r="BC135" s="452"/>
      <c r="BD135" s="451"/>
      <c r="BE135" s="451">
        <f>SUM(BE136:BE137)</f>
        <v>0</v>
      </c>
      <c r="BF135" s="451"/>
      <c r="BG135" s="451"/>
      <c r="BH135" s="452"/>
      <c r="BI135" s="451"/>
      <c r="BJ135" s="451">
        <f>SUM(BJ136:BJ137)</f>
        <v>0</v>
      </c>
      <c r="BK135" s="451"/>
      <c r="BL135" s="451"/>
      <c r="BM135" s="452"/>
      <c r="BN135" s="451"/>
      <c r="BO135" s="451">
        <f>SUM(BO136:BO137)</f>
        <v>0</v>
      </c>
      <c r="BP135" s="451"/>
      <c r="BQ135" s="451"/>
      <c r="BR135" s="452"/>
      <c r="BS135" s="451"/>
      <c r="BT135" s="451">
        <f>SUM(BT136:BT137)</f>
        <v>4923900</v>
      </c>
      <c r="BU135" s="451"/>
      <c r="BV135" s="451"/>
      <c r="BW135" s="452"/>
      <c r="BX135" s="451"/>
      <c r="BY135" s="451">
        <v>0</v>
      </c>
      <c r="BZ135" s="451"/>
      <c r="CA135" s="451"/>
      <c r="CB135" s="452"/>
      <c r="CC135" s="451"/>
      <c r="CD135" s="451">
        <f>SUM(CD136:CD137)</f>
        <v>0</v>
      </c>
      <c r="CE135" s="451"/>
      <c r="CF135" s="451"/>
      <c r="CG135" s="452"/>
      <c r="CH135" s="451"/>
      <c r="CI135" s="451">
        <f>SUM(CI136:CI137)</f>
        <v>0</v>
      </c>
      <c r="CJ135" s="451"/>
      <c r="CK135" s="451"/>
      <c r="CL135" s="452"/>
      <c r="CM135" s="451"/>
      <c r="CN135" s="451">
        <f>SUM(CN136:CN137)</f>
        <v>0</v>
      </c>
      <c r="CO135" s="451"/>
      <c r="CP135" s="451"/>
      <c r="CQ135" s="452"/>
      <c r="CR135" s="451"/>
      <c r="CS135" s="451">
        <f>SUM(CS136:CS137)</f>
        <v>0</v>
      </c>
      <c r="CT135" s="451"/>
      <c r="CU135" s="451"/>
      <c r="CV135" s="452"/>
      <c r="CW135" s="451"/>
      <c r="CX135" s="451">
        <f>SUM(CX136:CX137)</f>
        <v>0</v>
      </c>
      <c r="CY135" s="451"/>
      <c r="CZ135" s="451"/>
      <c r="DA135" s="452"/>
      <c r="DB135" s="451"/>
      <c r="DC135" s="451">
        <f>SUM(DC136:DC137)</f>
        <v>0</v>
      </c>
      <c r="DD135" s="451"/>
      <c r="DE135" s="451"/>
      <c r="DF135" s="452"/>
      <c r="DG135" s="451"/>
      <c r="DH135" s="451">
        <f>SUM(DH136:DH137)</f>
        <v>0</v>
      </c>
      <c r="DI135" s="451"/>
      <c r="DJ135" s="451"/>
      <c r="DK135" s="452"/>
      <c r="DL135" s="451"/>
      <c r="DM135" s="451">
        <f>SUM(DM136:DM137)</f>
        <v>0</v>
      </c>
      <c r="DN135" s="451"/>
      <c r="DO135" s="451"/>
      <c r="DP135" s="452"/>
      <c r="DQ135" s="451"/>
      <c r="DR135" s="451">
        <f>SUM(DR136:DR137)</f>
        <v>0</v>
      </c>
      <c r="DS135" s="451"/>
      <c r="DT135" s="451"/>
      <c r="DU135" s="452"/>
      <c r="DV135" s="451"/>
      <c r="DW135" s="451">
        <f>SUM(DW136:DW137)</f>
        <v>0</v>
      </c>
      <c r="DX135" s="451"/>
      <c r="DY135" s="451"/>
      <c r="DZ135" s="452"/>
      <c r="EA135" s="451"/>
      <c r="EB135" s="451">
        <f>SUM(EB136:EB137)</f>
        <v>0</v>
      </c>
      <c r="EC135" s="451"/>
      <c r="ED135" s="451"/>
      <c r="EE135" s="452"/>
      <c r="EF135" s="451"/>
      <c r="EG135" s="451">
        <f>SUM(EG136:EG137)</f>
        <v>0</v>
      </c>
      <c r="EH135" s="451"/>
      <c r="EI135" s="451"/>
      <c r="EJ135" s="452"/>
      <c r="EK135" s="451"/>
      <c r="EL135" s="451">
        <f>SUM(EL136:EL137)</f>
        <v>0</v>
      </c>
      <c r="EM135" s="451"/>
      <c r="EN135" s="451"/>
      <c r="EO135" s="13"/>
    </row>
    <row r="136" spans="4:145" ht="12.75" customHeight="1" x14ac:dyDescent="0.2">
      <c r="D136" s="13" t="s">
        <v>470</v>
      </c>
      <c r="E136" s="198"/>
      <c r="F136" s="374"/>
      <c r="G136" s="449">
        <v>1961000</v>
      </c>
      <c r="H136" s="450"/>
      <c r="I136" s="451"/>
      <c r="J136" s="452"/>
      <c r="K136" s="374"/>
      <c r="L136" s="449">
        <v>0</v>
      </c>
      <c r="M136" s="450"/>
      <c r="N136" s="451"/>
      <c r="O136" s="452"/>
      <c r="P136" s="374"/>
      <c r="Q136" s="449">
        <v>1960784</v>
      </c>
      <c r="R136" s="450"/>
      <c r="S136" s="451"/>
      <c r="T136" s="452"/>
      <c r="U136" s="374"/>
      <c r="V136" s="449">
        <v>0</v>
      </c>
      <c r="W136" s="450"/>
      <c r="X136" s="451"/>
      <c r="Y136" s="452"/>
      <c r="Z136" s="374"/>
      <c r="AA136" s="449">
        <v>0</v>
      </c>
      <c r="AB136" s="450"/>
      <c r="AC136" s="451"/>
      <c r="AD136" s="452"/>
      <c r="AE136" s="374"/>
      <c r="AF136" s="449">
        <v>0</v>
      </c>
      <c r="AG136" s="450"/>
      <c r="AH136" s="451"/>
      <c r="AI136" s="452"/>
      <c r="AJ136" s="374"/>
      <c r="AK136" s="449">
        <v>0</v>
      </c>
      <c r="AL136" s="450"/>
      <c r="AM136" s="451"/>
      <c r="AN136" s="452"/>
      <c r="AO136" s="374"/>
      <c r="AP136" s="449">
        <v>0</v>
      </c>
      <c r="AQ136" s="450"/>
      <c r="AR136" s="451"/>
      <c r="AS136" s="452"/>
      <c r="AT136" s="374"/>
      <c r="AU136" s="449">
        <v>0</v>
      </c>
      <c r="AV136" s="450"/>
      <c r="AW136" s="451"/>
      <c r="AX136" s="452"/>
      <c r="AY136" s="374"/>
      <c r="AZ136" s="449">
        <v>0</v>
      </c>
      <c r="BA136" s="450"/>
      <c r="BB136" s="451"/>
      <c r="BC136" s="452"/>
      <c r="BD136" s="374"/>
      <c r="BE136" s="449">
        <v>0</v>
      </c>
      <c r="BF136" s="450"/>
      <c r="BG136" s="451"/>
      <c r="BH136" s="452"/>
      <c r="BI136" s="374"/>
      <c r="BJ136" s="449">
        <v>0</v>
      </c>
      <c r="BK136" s="450"/>
      <c r="BL136" s="451"/>
      <c r="BM136" s="452"/>
      <c r="BN136" s="374"/>
      <c r="BO136" s="449">
        <v>0</v>
      </c>
      <c r="BP136" s="450"/>
      <c r="BQ136" s="451"/>
      <c r="BR136" s="452"/>
      <c r="BS136" s="374"/>
      <c r="BT136" s="449">
        <f>SUM(L136:BO136)</f>
        <v>1960784</v>
      </c>
      <c r="BU136" s="450"/>
      <c r="BV136" s="451"/>
      <c r="BW136" s="452"/>
      <c r="BX136" s="374"/>
      <c r="BY136" s="449">
        <v>0</v>
      </c>
      <c r="BZ136" s="450"/>
      <c r="CA136" s="451"/>
      <c r="CB136" s="452"/>
      <c r="CC136" s="374"/>
      <c r="CD136" s="449">
        <v>0</v>
      </c>
      <c r="CE136" s="450"/>
      <c r="CF136" s="451"/>
      <c r="CG136" s="452"/>
      <c r="CH136" s="374"/>
      <c r="CI136" s="449">
        <v>0</v>
      </c>
      <c r="CJ136" s="450"/>
      <c r="CK136" s="451"/>
      <c r="CL136" s="452"/>
      <c r="CM136" s="374"/>
      <c r="CN136" s="449">
        <v>0</v>
      </c>
      <c r="CO136" s="450"/>
      <c r="CP136" s="451"/>
      <c r="CQ136" s="452"/>
      <c r="CR136" s="374"/>
      <c r="CS136" s="449">
        <v>0</v>
      </c>
      <c r="CT136" s="450"/>
      <c r="CU136" s="451"/>
      <c r="CV136" s="452"/>
      <c r="CW136" s="374"/>
      <c r="CX136" s="449">
        <v>0</v>
      </c>
      <c r="CY136" s="450"/>
      <c r="CZ136" s="451"/>
      <c r="DA136" s="452"/>
      <c r="DB136" s="374"/>
      <c r="DC136" s="449">
        <v>0</v>
      </c>
      <c r="DD136" s="450"/>
      <c r="DE136" s="451"/>
      <c r="DF136" s="452"/>
      <c r="DG136" s="374"/>
      <c r="DH136" s="449">
        <v>0</v>
      </c>
      <c r="DI136" s="450"/>
      <c r="DJ136" s="451"/>
      <c r="DK136" s="452"/>
      <c r="DL136" s="374"/>
      <c r="DM136" s="449">
        <v>0</v>
      </c>
      <c r="DN136" s="450"/>
      <c r="DO136" s="451"/>
      <c r="DP136" s="452"/>
      <c r="DQ136" s="374"/>
      <c r="DR136" s="449">
        <v>0</v>
      </c>
      <c r="DS136" s="450"/>
      <c r="DT136" s="451"/>
      <c r="DU136" s="452"/>
      <c r="DV136" s="374"/>
      <c r="DW136" s="449">
        <v>0</v>
      </c>
      <c r="DX136" s="450"/>
      <c r="DY136" s="451"/>
      <c r="DZ136" s="452"/>
      <c r="EA136" s="374"/>
      <c r="EB136" s="449">
        <v>0</v>
      </c>
      <c r="EC136" s="450"/>
      <c r="ED136" s="451"/>
      <c r="EE136" s="452"/>
      <c r="EF136" s="374"/>
      <c r="EG136" s="449">
        <v>0</v>
      </c>
      <c r="EH136" s="450"/>
      <c r="EI136" s="451"/>
      <c r="EJ136" s="452"/>
      <c r="EK136" s="374"/>
      <c r="EL136" s="449">
        <f>SUM(CD136:DW136)</f>
        <v>0</v>
      </c>
      <c r="EM136" s="450"/>
      <c r="EN136" s="451"/>
      <c r="EO136" s="13"/>
    </row>
    <row r="137" spans="4:145" ht="12.75" customHeight="1" x14ac:dyDescent="0.2">
      <c r="D137" s="13" t="s">
        <v>471</v>
      </c>
      <c r="E137" s="198"/>
      <c r="F137" s="385"/>
      <c r="G137" s="463">
        <v>2963000</v>
      </c>
      <c r="H137" s="464"/>
      <c r="I137" s="451"/>
      <c r="J137" s="452"/>
      <c r="K137" s="385"/>
      <c r="L137" s="463">
        <v>0</v>
      </c>
      <c r="M137" s="464"/>
      <c r="N137" s="451"/>
      <c r="O137" s="452"/>
      <c r="P137" s="385"/>
      <c r="Q137" s="463">
        <v>2963116</v>
      </c>
      <c r="R137" s="464"/>
      <c r="S137" s="451"/>
      <c r="T137" s="452"/>
      <c r="U137" s="385"/>
      <c r="V137" s="463">
        <v>0</v>
      </c>
      <c r="W137" s="464"/>
      <c r="X137" s="451"/>
      <c r="Y137" s="452"/>
      <c r="Z137" s="385"/>
      <c r="AA137" s="463">
        <v>0</v>
      </c>
      <c r="AB137" s="464"/>
      <c r="AC137" s="451"/>
      <c r="AD137" s="452"/>
      <c r="AE137" s="385"/>
      <c r="AF137" s="463">
        <v>0</v>
      </c>
      <c r="AG137" s="464"/>
      <c r="AH137" s="451"/>
      <c r="AI137" s="452"/>
      <c r="AJ137" s="385"/>
      <c r="AK137" s="463">
        <v>0</v>
      </c>
      <c r="AL137" s="464"/>
      <c r="AM137" s="451"/>
      <c r="AN137" s="452"/>
      <c r="AO137" s="385"/>
      <c r="AP137" s="463">
        <v>0</v>
      </c>
      <c r="AQ137" s="464"/>
      <c r="AR137" s="451"/>
      <c r="AS137" s="452"/>
      <c r="AT137" s="385"/>
      <c r="AU137" s="463">
        <v>0</v>
      </c>
      <c r="AV137" s="464"/>
      <c r="AW137" s="451"/>
      <c r="AX137" s="452"/>
      <c r="AY137" s="385"/>
      <c r="AZ137" s="463">
        <v>0</v>
      </c>
      <c r="BA137" s="464"/>
      <c r="BB137" s="451"/>
      <c r="BC137" s="452"/>
      <c r="BD137" s="385"/>
      <c r="BE137" s="463">
        <v>0</v>
      </c>
      <c r="BF137" s="464"/>
      <c r="BG137" s="451"/>
      <c r="BH137" s="452"/>
      <c r="BI137" s="385"/>
      <c r="BJ137" s="463">
        <v>0</v>
      </c>
      <c r="BK137" s="464"/>
      <c r="BL137" s="451"/>
      <c r="BM137" s="452"/>
      <c r="BN137" s="385"/>
      <c r="BO137" s="463">
        <v>0</v>
      </c>
      <c r="BP137" s="464"/>
      <c r="BQ137" s="451"/>
      <c r="BR137" s="452"/>
      <c r="BS137" s="385"/>
      <c r="BT137" s="463">
        <f>SUM(L137:BO137)</f>
        <v>2963116</v>
      </c>
      <c r="BU137" s="464"/>
      <c r="BV137" s="451"/>
      <c r="BW137" s="452"/>
      <c r="BX137" s="385"/>
      <c r="BY137" s="463">
        <v>0</v>
      </c>
      <c r="BZ137" s="464"/>
      <c r="CA137" s="451"/>
      <c r="CB137" s="452"/>
      <c r="CC137" s="385"/>
      <c r="CD137" s="463">
        <v>0</v>
      </c>
      <c r="CE137" s="464"/>
      <c r="CF137" s="451"/>
      <c r="CG137" s="452"/>
      <c r="CH137" s="385"/>
      <c r="CI137" s="463">
        <v>0</v>
      </c>
      <c r="CJ137" s="464"/>
      <c r="CK137" s="451"/>
      <c r="CL137" s="452"/>
      <c r="CM137" s="385"/>
      <c r="CN137" s="463">
        <v>0</v>
      </c>
      <c r="CO137" s="464"/>
      <c r="CP137" s="451"/>
      <c r="CQ137" s="452"/>
      <c r="CR137" s="385"/>
      <c r="CS137" s="463">
        <v>0</v>
      </c>
      <c r="CT137" s="464"/>
      <c r="CU137" s="451"/>
      <c r="CV137" s="452"/>
      <c r="CW137" s="385"/>
      <c r="CX137" s="463">
        <v>0</v>
      </c>
      <c r="CY137" s="464"/>
      <c r="CZ137" s="451"/>
      <c r="DA137" s="452"/>
      <c r="DB137" s="385"/>
      <c r="DC137" s="463">
        <v>0</v>
      </c>
      <c r="DD137" s="464"/>
      <c r="DE137" s="451"/>
      <c r="DF137" s="452"/>
      <c r="DG137" s="385"/>
      <c r="DH137" s="463">
        <v>0</v>
      </c>
      <c r="DI137" s="464"/>
      <c r="DJ137" s="451"/>
      <c r="DK137" s="452"/>
      <c r="DL137" s="385"/>
      <c r="DM137" s="463">
        <v>0</v>
      </c>
      <c r="DN137" s="464"/>
      <c r="DO137" s="451"/>
      <c r="DP137" s="452"/>
      <c r="DQ137" s="385"/>
      <c r="DR137" s="463">
        <v>0</v>
      </c>
      <c r="DS137" s="464"/>
      <c r="DT137" s="451"/>
      <c r="DU137" s="452"/>
      <c r="DV137" s="385"/>
      <c r="DW137" s="463">
        <v>0</v>
      </c>
      <c r="DX137" s="464"/>
      <c r="DY137" s="451"/>
      <c r="DZ137" s="452"/>
      <c r="EA137" s="385"/>
      <c r="EB137" s="463">
        <v>0</v>
      </c>
      <c r="EC137" s="464"/>
      <c r="ED137" s="451"/>
      <c r="EE137" s="452"/>
      <c r="EF137" s="385"/>
      <c r="EG137" s="463">
        <v>0</v>
      </c>
      <c r="EH137" s="464"/>
      <c r="EI137" s="451"/>
      <c r="EJ137" s="452"/>
      <c r="EK137" s="385"/>
      <c r="EL137" s="463">
        <f>SUM(CD137:DW137)</f>
        <v>0</v>
      </c>
      <c r="EM137" s="464"/>
      <c r="EN137" s="451"/>
      <c r="EO137" s="13"/>
    </row>
    <row r="138" spans="4:145" x14ac:dyDescent="0.2">
      <c r="D138" s="13"/>
      <c r="E138" s="198"/>
      <c r="G138" s="451"/>
      <c r="H138" s="451"/>
      <c r="I138" s="451"/>
      <c r="J138" s="452"/>
      <c r="K138" s="451"/>
      <c r="L138" s="451"/>
      <c r="M138" s="451"/>
      <c r="N138" s="451"/>
      <c r="O138" s="452"/>
      <c r="P138" s="451"/>
      <c r="Q138" s="451"/>
      <c r="R138" s="451"/>
      <c r="S138" s="451"/>
      <c r="T138" s="452"/>
      <c r="U138" s="451"/>
      <c r="V138" s="451"/>
      <c r="W138" s="451"/>
      <c r="X138" s="451"/>
      <c r="Y138" s="452"/>
      <c r="Z138" s="451"/>
      <c r="AA138" s="451"/>
      <c r="AB138" s="451"/>
      <c r="AC138" s="451"/>
      <c r="AD138" s="452"/>
      <c r="AE138" s="451"/>
      <c r="AF138" s="451"/>
      <c r="AG138" s="451"/>
      <c r="AH138" s="451"/>
      <c r="AI138" s="452"/>
      <c r="AJ138" s="451"/>
      <c r="AK138" s="451"/>
      <c r="AL138" s="451"/>
      <c r="AM138" s="451"/>
      <c r="AN138" s="452"/>
      <c r="AO138" s="451"/>
      <c r="AP138" s="451"/>
      <c r="AQ138" s="451"/>
      <c r="AR138" s="451"/>
      <c r="AS138" s="452"/>
      <c r="AT138" s="451"/>
      <c r="AU138" s="451"/>
      <c r="AV138" s="451"/>
      <c r="AW138" s="451"/>
      <c r="AX138" s="452"/>
      <c r="AY138" s="451"/>
      <c r="AZ138" s="451"/>
      <c r="BA138" s="451"/>
      <c r="BB138" s="451"/>
      <c r="BC138" s="452"/>
      <c r="BD138" s="451"/>
      <c r="BE138" s="451"/>
      <c r="BF138" s="451"/>
      <c r="BG138" s="451"/>
      <c r="BH138" s="452"/>
      <c r="BI138" s="451"/>
      <c r="BJ138" s="451"/>
      <c r="BK138" s="451"/>
      <c r="BL138" s="451"/>
      <c r="BM138" s="452"/>
      <c r="BN138" s="451"/>
      <c r="BO138" s="451"/>
      <c r="BP138" s="451"/>
      <c r="BQ138" s="451"/>
      <c r="BR138" s="452"/>
      <c r="BS138" s="451"/>
      <c r="BT138" s="451"/>
      <c r="BU138" s="451"/>
      <c r="BV138" s="451"/>
      <c r="BW138" s="452"/>
      <c r="BX138" s="451"/>
      <c r="BY138" s="451"/>
      <c r="BZ138" s="451"/>
      <c r="CA138" s="451"/>
      <c r="CB138" s="452"/>
      <c r="CC138" s="451"/>
      <c r="CD138" s="451"/>
      <c r="CE138" s="451"/>
      <c r="CF138" s="451"/>
      <c r="CG138" s="452"/>
      <c r="CH138" s="451"/>
      <c r="CI138" s="451"/>
      <c r="CJ138" s="451"/>
      <c r="CK138" s="451"/>
      <c r="CL138" s="452"/>
      <c r="CM138" s="451"/>
      <c r="CN138" s="451"/>
      <c r="CO138" s="451"/>
      <c r="CP138" s="451"/>
      <c r="CQ138" s="452"/>
      <c r="CR138" s="451"/>
      <c r="CS138" s="451"/>
      <c r="CT138" s="451"/>
      <c r="CU138" s="451"/>
      <c r="CV138" s="452"/>
      <c r="CW138" s="451"/>
      <c r="CX138" s="451"/>
      <c r="CY138" s="451"/>
      <c r="CZ138" s="451"/>
      <c r="DA138" s="452"/>
      <c r="DB138" s="451"/>
      <c r="DC138" s="451"/>
      <c r="DD138" s="451"/>
      <c r="DE138" s="451"/>
      <c r="DF138" s="452"/>
      <c r="DG138" s="451"/>
      <c r="DH138" s="451"/>
      <c r="DI138" s="451"/>
      <c r="DJ138" s="451"/>
      <c r="DK138" s="452"/>
      <c r="DL138" s="451"/>
      <c r="DM138" s="451"/>
      <c r="DN138" s="451"/>
      <c r="DO138" s="451"/>
      <c r="DP138" s="452"/>
      <c r="DQ138" s="451"/>
      <c r="DR138" s="451"/>
      <c r="DS138" s="451"/>
      <c r="DT138" s="451"/>
      <c r="DU138" s="452"/>
      <c r="DV138" s="451"/>
      <c r="DW138" s="451"/>
      <c r="DX138" s="451"/>
      <c r="DY138" s="451"/>
      <c r="DZ138" s="452"/>
      <c r="EA138" s="451"/>
      <c r="EB138" s="451"/>
      <c r="EC138" s="451"/>
      <c r="ED138" s="451"/>
      <c r="EE138" s="452"/>
      <c r="EF138" s="451"/>
      <c r="EG138" s="451"/>
      <c r="EH138" s="451"/>
      <c r="EI138" s="451"/>
      <c r="EJ138" s="452"/>
      <c r="EK138" s="451"/>
      <c r="EL138" s="451"/>
      <c r="EM138" s="451"/>
      <c r="EN138" s="451"/>
      <c r="EO138" s="13"/>
    </row>
    <row r="139" spans="4:145" x14ac:dyDescent="0.2">
      <c r="D139" s="13" t="s">
        <v>479</v>
      </c>
      <c r="E139" s="198"/>
      <c r="G139" s="451">
        <f>SUM(G140:G141)</f>
        <v>8700000</v>
      </c>
      <c r="H139" s="451"/>
      <c r="I139" s="451"/>
      <c r="J139" s="452"/>
      <c r="K139" s="451"/>
      <c r="L139" s="451">
        <f>SUM(L140:L141)</f>
        <v>0</v>
      </c>
      <c r="M139" s="451"/>
      <c r="N139" s="451"/>
      <c r="O139" s="452"/>
      <c r="P139" s="451"/>
      <c r="Q139" s="451">
        <f>SUM(Q140:Q141)</f>
        <v>0</v>
      </c>
      <c r="R139" s="451"/>
      <c r="S139" s="451"/>
      <c r="T139" s="452"/>
      <c r="U139" s="451"/>
      <c r="V139" s="451">
        <f>SUM(V140:V141)</f>
        <v>8699700</v>
      </c>
      <c r="W139" s="451"/>
      <c r="X139" s="451"/>
      <c r="Y139" s="452"/>
      <c r="Z139" s="451"/>
      <c r="AA139" s="451">
        <f>SUM(AA140:AA141)</f>
        <v>0</v>
      </c>
      <c r="AB139" s="451"/>
      <c r="AC139" s="451"/>
      <c r="AD139" s="452"/>
      <c r="AE139" s="451"/>
      <c r="AF139" s="451">
        <f>SUM(AF140:AF141)</f>
        <v>0</v>
      </c>
      <c r="AG139" s="451"/>
      <c r="AH139" s="451"/>
      <c r="AI139" s="452"/>
      <c r="AJ139" s="451"/>
      <c r="AK139" s="451">
        <f>SUM(AK140:AK141)</f>
        <v>0</v>
      </c>
      <c r="AL139" s="451"/>
      <c r="AM139" s="451"/>
      <c r="AN139" s="452"/>
      <c r="AO139" s="451"/>
      <c r="AP139" s="451">
        <f>SUM(AP140:AP141)</f>
        <v>0</v>
      </c>
      <c r="AQ139" s="451"/>
      <c r="AR139" s="451"/>
      <c r="AS139" s="452"/>
      <c r="AT139" s="451"/>
      <c r="AU139" s="451">
        <f>SUM(AU140:AU141)</f>
        <v>0</v>
      </c>
      <c r="AV139" s="451"/>
      <c r="AW139" s="451"/>
      <c r="AX139" s="452"/>
      <c r="AY139" s="451"/>
      <c r="AZ139" s="451">
        <f>SUM(AZ140:AZ141)</f>
        <v>0</v>
      </c>
      <c r="BA139" s="451"/>
      <c r="BB139" s="451"/>
      <c r="BC139" s="452"/>
      <c r="BD139" s="451"/>
      <c r="BE139" s="451">
        <f>SUM(BE140:BE141)</f>
        <v>0</v>
      </c>
      <c r="BF139" s="451"/>
      <c r="BG139" s="451"/>
      <c r="BH139" s="452"/>
      <c r="BI139" s="451"/>
      <c r="BJ139" s="451">
        <f>SUM(BJ140:BJ141)</f>
        <v>0</v>
      </c>
      <c r="BK139" s="451"/>
      <c r="BL139" s="451"/>
      <c r="BM139" s="452"/>
      <c r="BN139" s="451"/>
      <c r="BO139" s="451">
        <f>SUM(BO140:BO141)</f>
        <v>0</v>
      </c>
      <c r="BP139" s="451"/>
      <c r="BQ139" s="451"/>
      <c r="BR139" s="452"/>
      <c r="BS139" s="451"/>
      <c r="BT139" s="451">
        <f>SUM(BT140:BT141)</f>
        <v>8699700</v>
      </c>
      <c r="BU139" s="451"/>
      <c r="BV139" s="451"/>
      <c r="BW139" s="452"/>
      <c r="BX139" s="451"/>
      <c r="BY139" s="451">
        <v>0</v>
      </c>
      <c r="BZ139" s="451"/>
      <c r="CA139" s="451"/>
      <c r="CB139" s="452"/>
      <c r="CC139" s="451"/>
      <c r="CD139" s="451">
        <f>SUM(CD140:CD141)</f>
        <v>0</v>
      </c>
      <c r="CE139" s="451"/>
      <c r="CF139" s="451"/>
      <c r="CG139" s="452"/>
      <c r="CH139" s="451"/>
      <c r="CI139" s="451">
        <f>SUM(CI140:CI141)</f>
        <v>0</v>
      </c>
      <c r="CJ139" s="451"/>
      <c r="CK139" s="451"/>
      <c r="CL139" s="452"/>
      <c r="CM139" s="451"/>
      <c r="CN139" s="451">
        <f>SUM(CN140:CN141)</f>
        <v>0</v>
      </c>
      <c r="CO139" s="451"/>
      <c r="CP139" s="451"/>
      <c r="CQ139" s="452"/>
      <c r="CR139" s="451"/>
      <c r="CS139" s="451">
        <f>SUM(CS140:CS141)</f>
        <v>0</v>
      </c>
      <c r="CT139" s="451"/>
      <c r="CU139" s="451"/>
      <c r="CV139" s="452"/>
      <c r="CW139" s="451"/>
      <c r="CX139" s="451">
        <f>SUM(CX140:CX141)</f>
        <v>0</v>
      </c>
      <c r="CY139" s="451"/>
      <c r="CZ139" s="451"/>
      <c r="DA139" s="452"/>
      <c r="DB139" s="451"/>
      <c r="DC139" s="451">
        <f>SUM(DC140:DC141)</f>
        <v>0</v>
      </c>
      <c r="DD139" s="451"/>
      <c r="DE139" s="451"/>
      <c r="DF139" s="452"/>
      <c r="DG139" s="451"/>
      <c r="DH139" s="451">
        <f>SUM(DH140:DH141)</f>
        <v>0</v>
      </c>
      <c r="DI139" s="451"/>
      <c r="DJ139" s="451"/>
      <c r="DK139" s="452"/>
      <c r="DL139" s="451"/>
      <c r="DM139" s="451">
        <f>SUM(DM140:DM141)</f>
        <v>0</v>
      </c>
      <c r="DN139" s="451"/>
      <c r="DO139" s="451"/>
      <c r="DP139" s="452"/>
      <c r="DQ139" s="451"/>
      <c r="DR139" s="451">
        <f>SUM(DR140:DR141)</f>
        <v>0</v>
      </c>
      <c r="DS139" s="451"/>
      <c r="DT139" s="451"/>
      <c r="DU139" s="452"/>
      <c r="DV139" s="451"/>
      <c r="DW139" s="451">
        <f>SUM(DW140:DW141)</f>
        <v>0</v>
      </c>
      <c r="DX139" s="451"/>
      <c r="DY139" s="451"/>
      <c r="DZ139" s="452"/>
      <c r="EA139" s="451"/>
      <c r="EB139" s="451">
        <f>SUM(EB140:EB141)</f>
        <v>0</v>
      </c>
      <c r="EC139" s="451"/>
      <c r="ED139" s="451"/>
      <c r="EE139" s="452"/>
      <c r="EF139" s="451"/>
      <c r="EG139" s="451">
        <f>SUM(EG140:EG141)</f>
        <v>0</v>
      </c>
      <c r="EH139" s="451"/>
      <c r="EI139" s="451"/>
      <c r="EJ139" s="452"/>
      <c r="EK139" s="451"/>
      <c r="EL139" s="451">
        <f>SUM(EL140:EL141)</f>
        <v>0</v>
      </c>
      <c r="EM139" s="451"/>
      <c r="EN139" s="451"/>
      <c r="EO139" s="13"/>
    </row>
    <row r="140" spans="4:145" x14ac:dyDescent="0.2">
      <c r="D140" s="13" t="s">
        <v>470</v>
      </c>
      <c r="E140" s="198"/>
      <c r="F140" s="374"/>
      <c r="G140" s="449">
        <v>5604000</v>
      </c>
      <c r="H140" s="450"/>
      <c r="I140" s="451"/>
      <c r="J140" s="452"/>
      <c r="K140" s="374"/>
      <c r="L140" s="449">
        <v>0</v>
      </c>
      <c r="M140" s="450"/>
      <c r="N140" s="451"/>
      <c r="O140" s="452"/>
      <c r="P140" s="374"/>
      <c r="Q140" s="449">
        <v>0</v>
      </c>
      <c r="R140" s="450"/>
      <c r="S140" s="451"/>
      <c r="T140" s="452"/>
      <c r="U140" s="374"/>
      <c r="V140" s="449">
        <v>5604275</v>
      </c>
      <c r="W140" s="450"/>
      <c r="X140" s="451"/>
      <c r="Y140" s="452"/>
      <c r="Z140" s="374"/>
      <c r="AA140" s="449">
        <v>0</v>
      </c>
      <c r="AB140" s="450"/>
      <c r="AC140" s="451"/>
      <c r="AD140" s="452"/>
      <c r="AE140" s="374"/>
      <c r="AF140" s="449">
        <v>0</v>
      </c>
      <c r="AG140" s="450"/>
      <c r="AH140" s="451"/>
      <c r="AI140" s="452"/>
      <c r="AJ140" s="374"/>
      <c r="AK140" s="449">
        <v>0</v>
      </c>
      <c r="AL140" s="450"/>
      <c r="AM140" s="451"/>
      <c r="AN140" s="452"/>
      <c r="AO140" s="374"/>
      <c r="AP140" s="449">
        <v>0</v>
      </c>
      <c r="AQ140" s="450"/>
      <c r="AR140" s="451"/>
      <c r="AS140" s="452"/>
      <c r="AT140" s="374"/>
      <c r="AU140" s="449">
        <v>0</v>
      </c>
      <c r="AV140" s="450"/>
      <c r="AW140" s="451"/>
      <c r="AX140" s="452"/>
      <c r="AY140" s="374"/>
      <c r="AZ140" s="449">
        <v>0</v>
      </c>
      <c r="BA140" s="450"/>
      <c r="BB140" s="451"/>
      <c r="BC140" s="452"/>
      <c r="BD140" s="374"/>
      <c r="BE140" s="449">
        <v>0</v>
      </c>
      <c r="BF140" s="450"/>
      <c r="BG140" s="451"/>
      <c r="BH140" s="452"/>
      <c r="BI140" s="374"/>
      <c r="BJ140" s="449">
        <v>0</v>
      </c>
      <c r="BK140" s="450"/>
      <c r="BL140" s="451"/>
      <c r="BM140" s="452"/>
      <c r="BN140" s="374"/>
      <c r="BO140" s="449">
        <v>0</v>
      </c>
      <c r="BP140" s="450"/>
      <c r="BQ140" s="451"/>
      <c r="BR140" s="452"/>
      <c r="BS140" s="374"/>
      <c r="BT140" s="449">
        <f>SUM(L140:BO140)</f>
        <v>5604275</v>
      </c>
      <c r="BU140" s="450"/>
      <c r="BV140" s="451"/>
      <c r="BW140" s="452"/>
      <c r="BX140" s="374"/>
      <c r="BY140" s="449">
        <v>0</v>
      </c>
      <c r="BZ140" s="450"/>
      <c r="CA140" s="451"/>
      <c r="CB140" s="452"/>
      <c r="CC140" s="374"/>
      <c r="CD140" s="449">
        <v>0</v>
      </c>
      <c r="CE140" s="450"/>
      <c r="CF140" s="451"/>
      <c r="CG140" s="452"/>
      <c r="CH140" s="374"/>
      <c r="CI140" s="449">
        <v>0</v>
      </c>
      <c r="CJ140" s="450"/>
      <c r="CK140" s="451"/>
      <c r="CL140" s="452"/>
      <c r="CM140" s="374"/>
      <c r="CN140" s="449">
        <v>0</v>
      </c>
      <c r="CO140" s="450"/>
      <c r="CP140" s="451"/>
      <c r="CQ140" s="452"/>
      <c r="CR140" s="374"/>
      <c r="CS140" s="449">
        <v>0</v>
      </c>
      <c r="CT140" s="450"/>
      <c r="CU140" s="451"/>
      <c r="CV140" s="452"/>
      <c r="CW140" s="374"/>
      <c r="CX140" s="449">
        <v>0</v>
      </c>
      <c r="CY140" s="450"/>
      <c r="CZ140" s="451"/>
      <c r="DA140" s="452"/>
      <c r="DB140" s="374"/>
      <c r="DC140" s="449">
        <v>0</v>
      </c>
      <c r="DD140" s="450"/>
      <c r="DE140" s="451"/>
      <c r="DF140" s="452"/>
      <c r="DG140" s="374"/>
      <c r="DH140" s="449">
        <v>0</v>
      </c>
      <c r="DI140" s="450"/>
      <c r="DJ140" s="451"/>
      <c r="DK140" s="452"/>
      <c r="DL140" s="374"/>
      <c r="DM140" s="449">
        <v>0</v>
      </c>
      <c r="DN140" s="450"/>
      <c r="DO140" s="451"/>
      <c r="DP140" s="452"/>
      <c r="DQ140" s="374"/>
      <c r="DR140" s="449">
        <v>0</v>
      </c>
      <c r="DS140" s="450"/>
      <c r="DT140" s="451"/>
      <c r="DU140" s="452"/>
      <c r="DV140" s="374"/>
      <c r="DW140" s="449">
        <v>0</v>
      </c>
      <c r="DX140" s="450"/>
      <c r="DY140" s="451"/>
      <c r="DZ140" s="452"/>
      <c r="EA140" s="374"/>
      <c r="EB140" s="449">
        <v>0</v>
      </c>
      <c r="EC140" s="450"/>
      <c r="ED140" s="451"/>
      <c r="EE140" s="452"/>
      <c r="EF140" s="374"/>
      <c r="EG140" s="449">
        <v>0</v>
      </c>
      <c r="EH140" s="450"/>
      <c r="EI140" s="451"/>
      <c r="EJ140" s="452"/>
      <c r="EK140" s="374"/>
      <c r="EL140" s="449">
        <f>SUM(CD140:DW140)</f>
        <v>0</v>
      </c>
      <c r="EM140" s="450"/>
      <c r="EN140" s="451"/>
      <c r="EO140" s="13"/>
    </row>
    <row r="141" spans="4:145" x14ac:dyDescent="0.2">
      <c r="D141" s="13" t="s">
        <v>471</v>
      </c>
      <c r="E141" s="198"/>
      <c r="F141" s="385"/>
      <c r="G141" s="463">
        <v>3096000</v>
      </c>
      <c r="H141" s="464"/>
      <c r="I141" s="451"/>
      <c r="J141" s="452"/>
      <c r="K141" s="385"/>
      <c r="L141" s="463">
        <v>0</v>
      </c>
      <c r="M141" s="464"/>
      <c r="N141" s="451"/>
      <c r="O141" s="452"/>
      <c r="P141" s="385"/>
      <c r="Q141" s="463">
        <v>0</v>
      </c>
      <c r="R141" s="464"/>
      <c r="S141" s="451"/>
      <c r="T141" s="452"/>
      <c r="U141" s="385"/>
      <c r="V141" s="463">
        <v>3095425</v>
      </c>
      <c r="W141" s="464"/>
      <c r="X141" s="451"/>
      <c r="Y141" s="452"/>
      <c r="Z141" s="385"/>
      <c r="AA141" s="463">
        <v>0</v>
      </c>
      <c r="AB141" s="464"/>
      <c r="AC141" s="451"/>
      <c r="AD141" s="452"/>
      <c r="AE141" s="385"/>
      <c r="AF141" s="463">
        <v>0</v>
      </c>
      <c r="AG141" s="464"/>
      <c r="AH141" s="451"/>
      <c r="AI141" s="452"/>
      <c r="AJ141" s="385"/>
      <c r="AK141" s="463">
        <v>0</v>
      </c>
      <c r="AL141" s="464"/>
      <c r="AM141" s="451"/>
      <c r="AN141" s="452"/>
      <c r="AO141" s="385"/>
      <c r="AP141" s="463">
        <v>0</v>
      </c>
      <c r="AQ141" s="464"/>
      <c r="AR141" s="451"/>
      <c r="AS141" s="452"/>
      <c r="AT141" s="385"/>
      <c r="AU141" s="463">
        <v>0</v>
      </c>
      <c r="AV141" s="464"/>
      <c r="AW141" s="451"/>
      <c r="AX141" s="452"/>
      <c r="AY141" s="385"/>
      <c r="AZ141" s="463">
        <v>0</v>
      </c>
      <c r="BA141" s="464"/>
      <c r="BB141" s="451"/>
      <c r="BC141" s="452"/>
      <c r="BD141" s="385"/>
      <c r="BE141" s="463">
        <v>0</v>
      </c>
      <c r="BF141" s="464"/>
      <c r="BG141" s="451"/>
      <c r="BH141" s="452"/>
      <c r="BI141" s="385"/>
      <c r="BJ141" s="463">
        <v>0</v>
      </c>
      <c r="BK141" s="464"/>
      <c r="BL141" s="451"/>
      <c r="BM141" s="452"/>
      <c r="BN141" s="385"/>
      <c r="BO141" s="463">
        <v>0</v>
      </c>
      <c r="BP141" s="464"/>
      <c r="BQ141" s="451"/>
      <c r="BR141" s="452"/>
      <c r="BS141" s="385"/>
      <c r="BT141" s="463">
        <f>SUM(L141:BO141)</f>
        <v>3095425</v>
      </c>
      <c r="BU141" s="464"/>
      <c r="BV141" s="451"/>
      <c r="BW141" s="452"/>
      <c r="BX141" s="385"/>
      <c r="BY141" s="463">
        <v>0</v>
      </c>
      <c r="BZ141" s="464"/>
      <c r="CA141" s="451"/>
      <c r="CB141" s="452"/>
      <c r="CC141" s="385"/>
      <c r="CD141" s="463">
        <v>0</v>
      </c>
      <c r="CE141" s="464"/>
      <c r="CF141" s="451"/>
      <c r="CG141" s="452"/>
      <c r="CH141" s="385"/>
      <c r="CI141" s="463">
        <v>0</v>
      </c>
      <c r="CJ141" s="464"/>
      <c r="CK141" s="451"/>
      <c r="CL141" s="452"/>
      <c r="CM141" s="385"/>
      <c r="CN141" s="463">
        <v>0</v>
      </c>
      <c r="CO141" s="464"/>
      <c r="CP141" s="451"/>
      <c r="CQ141" s="452"/>
      <c r="CR141" s="385"/>
      <c r="CS141" s="463">
        <v>0</v>
      </c>
      <c r="CT141" s="464"/>
      <c r="CU141" s="451"/>
      <c r="CV141" s="452"/>
      <c r="CW141" s="385"/>
      <c r="CX141" s="463">
        <v>0</v>
      </c>
      <c r="CY141" s="464"/>
      <c r="CZ141" s="451"/>
      <c r="DA141" s="452"/>
      <c r="DB141" s="385"/>
      <c r="DC141" s="463">
        <v>0</v>
      </c>
      <c r="DD141" s="464"/>
      <c r="DE141" s="451"/>
      <c r="DF141" s="452"/>
      <c r="DG141" s="385"/>
      <c r="DH141" s="463">
        <v>0</v>
      </c>
      <c r="DI141" s="464"/>
      <c r="DJ141" s="451"/>
      <c r="DK141" s="452"/>
      <c r="DL141" s="385"/>
      <c r="DM141" s="463">
        <v>0</v>
      </c>
      <c r="DN141" s="464"/>
      <c r="DO141" s="451"/>
      <c r="DP141" s="452"/>
      <c r="DQ141" s="385"/>
      <c r="DR141" s="463">
        <v>0</v>
      </c>
      <c r="DS141" s="464"/>
      <c r="DT141" s="451"/>
      <c r="DU141" s="452"/>
      <c r="DV141" s="385"/>
      <c r="DW141" s="463">
        <v>0</v>
      </c>
      <c r="DX141" s="464"/>
      <c r="DY141" s="451"/>
      <c r="DZ141" s="452"/>
      <c r="EA141" s="385"/>
      <c r="EB141" s="463">
        <v>0</v>
      </c>
      <c r="EC141" s="464"/>
      <c r="ED141" s="451"/>
      <c r="EE141" s="452"/>
      <c r="EF141" s="385"/>
      <c r="EG141" s="463">
        <v>0</v>
      </c>
      <c r="EH141" s="464"/>
      <c r="EI141" s="451"/>
      <c r="EJ141" s="452"/>
      <c r="EK141" s="385"/>
      <c r="EL141" s="463">
        <f>SUM(CD141:DW141)</f>
        <v>0</v>
      </c>
      <c r="EM141" s="464"/>
      <c r="EN141" s="451"/>
      <c r="EO141" s="13"/>
    </row>
    <row r="142" spans="4:145" x14ac:dyDescent="0.2">
      <c r="D142" s="13"/>
      <c r="E142" s="198"/>
      <c r="G142" s="451"/>
      <c r="H142" s="451"/>
      <c r="I142" s="451"/>
      <c r="J142" s="452"/>
      <c r="L142" s="451"/>
      <c r="M142" s="451"/>
      <c r="N142" s="451"/>
      <c r="O142" s="452"/>
      <c r="Q142" s="451"/>
      <c r="R142" s="451"/>
      <c r="S142" s="451"/>
      <c r="T142" s="452"/>
      <c r="V142" s="451"/>
      <c r="W142" s="451"/>
      <c r="X142" s="451"/>
      <c r="Y142" s="452"/>
      <c r="AA142" s="451"/>
      <c r="AB142" s="451"/>
      <c r="AC142" s="451"/>
      <c r="AD142" s="452"/>
      <c r="AF142" s="451"/>
      <c r="AG142" s="451"/>
      <c r="AH142" s="451"/>
      <c r="AI142" s="452"/>
      <c r="AK142" s="451"/>
      <c r="AL142" s="451"/>
      <c r="AM142" s="451"/>
      <c r="AN142" s="452"/>
      <c r="AP142" s="451"/>
      <c r="AQ142" s="451"/>
      <c r="AR142" s="451"/>
      <c r="AS142" s="452"/>
      <c r="AU142" s="451"/>
      <c r="AV142" s="451"/>
      <c r="AW142" s="451"/>
      <c r="AX142" s="452"/>
      <c r="AZ142" s="451"/>
      <c r="BA142" s="451"/>
      <c r="BB142" s="451"/>
      <c r="BC142" s="452"/>
      <c r="BE142" s="451"/>
      <c r="BF142" s="451"/>
      <c r="BG142" s="451"/>
      <c r="BH142" s="452"/>
      <c r="BJ142" s="451"/>
      <c r="BK142" s="451"/>
      <c r="BL142" s="451"/>
      <c r="BM142" s="452"/>
      <c r="BO142" s="451"/>
      <c r="BP142" s="451"/>
      <c r="BQ142" s="451"/>
      <c r="BR142" s="452"/>
      <c r="BT142" s="451"/>
      <c r="BU142" s="451"/>
      <c r="BV142" s="451"/>
      <c r="BW142" s="452"/>
      <c r="BY142" s="451"/>
      <c r="BZ142" s="451"/>
      <c r="CA142" s="451"/>
      <c r="CB142" s="452"/>
      <c r="CD142" s="451"/>
      <c r="CE142" s="451"/>
      <c r="CF142" s="451"/>
      <c r="CG142" s="452"/>
      <c r="CI142" s="451"/>
      <c r="CJ142" s="451"/>
      <c r="CK142" s="451"/>
      <c r="CL142" s="452"/>
      <c r="CN142" s="451"/>
      <c r="CO142" s="451"/>
      <c r="CP142" s="451"/>
      <c r="CQ142" s="452"/>
      <c r="CS142" s="451"/>
      <c r="CT142" s="451"/>
      <c r="CU142" s="451"/>
      <c r="CV142" s="452"/>
      <c r="CX142" s="451"/>
      <c r="CY142" s="451"/>
      <c r="CZ142" s="451"/>
      <c r="DA142" s="452"/>
      <c r="DC142" s="451"/>
      <c r="DD142" s="451"/>
      <c r="DE142" s="451"/>
      <c r="DF142" s="452"/>
      <c r="DH142" s="451"/>
      <c r="DI142" s="451"/>
      <c r="DJ142" s="451"/>
      <c r="DK142" s="452"/>
      <c r="DM142" s="451"/>
      <c r="DN142" s="451"/>
      <c r="DO142" s="451"/>
      <c r="DP142" s="452"/>
      <c r="DR142" s="451"/>
      <c r="DS142" s="451"/>
      <c r="DT142" s="451"/>
      <c r="DU142" s="452"/>
      <c r="DW142" s="451"/>
      <c r="DX142" s="451"/>
      <c r="DY142" s="451"/>
      <c r="DZ142" s="452"/>
      <c r="EB142" s="451"/>
      <c r="EC142" s="451"/>
      <c r="ED142" s="451"/>
      <c r="EE142" s="452"/>
      <c r="EG142" s="451"/>
      <c r="EH142" s="451"/>
      <c r="EI142" s="451"/>
      <c r="EJ142" s="452"/>
      <c r="EL142" s="451"/>
      <c r="EM142" s="451"/>
      <c r="EN142" s="451"/>
      <c r="EO142" s="13"/>
    </row>
    <row r="143" spans="4:145" x14ac:dyDescent="0.2">
      <c r="D143" s="13" t="s">
        <v>480</v>
      </c>
      <c r="E143" s="198"/>
      <c r="G143" s="451">
        <f>SUM(G144:G145)</f>
        <v>7000</v>
      </c>
      <c r="H143" s="451"/>
      <c r="I143" s="451"/>
      <c r="J143" s="452"/>
      <c r="K143" s="451"/>
      <c r="L143" s="451">
        <f>SUM(L144:L145)</f>
        <v>0</v>
      </c>
      <c r="M143" s="451"/>
      <c r="N143" s="451"/>
      <c r="O143" s="452"/>
      <c r="P143" s="451"/>
      <c r="Q143" s="451">
        <f>SUM(Q144:Q145)</f>
        <v>8086</v>
      </c>
      <c r="R143" s="451"/>
      <c r="S143" s="451"/>
      <c r="T143" s="452"/>
      <c r="U143" s="451"/>
      <c r="V143" s="451">
        <f>SUM(V144:V145)</f>
        <v>0</v>
      </c>
      <c r="W143" s="451"/>
      <c r="X143" s="451"/>
      <c r="Y143" s="452"/>
      <c r="Z143" s="451"/>
      <c r="AA143" s="451">
        <f>SUM(AA144:AA145)</f>
        <v>0</v>
      </c>
      <c r="AB143" s="451"/>
      <c r="AC143" s="451"/>
      <c r="AD143" s="452"/>
      <c r="AE143" s="451"/>
      <c r="AF143" s="451">
        <f>SUM(AF144:AF145)</f>
        <v>0</v>
      </c>
      <c r="AG143" s="451"/>
      <c r="AH143" s="451"/>
      <c r="AI143" s="452"/>
      <c r="AJ143" s="451"/>
      <c r="AK143" s="451">
        <f>SUM(AK144:AK145)</f>
        <v>0</v>
      </c>
      <c r="AL143" s="451"/>
      <c r="AM143" s="451"/>
      <c r="AN143" s="452"/>
      <c r="AO143" s="451"/>
      <c r="AP143" s="451">
        <f>SUM(AP144:AP145)</f>
        <v>0</v>
      </c>
      <c r="AQ143" s="451"/>
      <c r="AR143" s="451"/>
      <c r="AS143" s="452"/>
      <c r="AT143" s="451"/>
      <c r="AU143" s="451">
        <f>SUM(AU144:AU145)</f>
        <v>6967</v>
      </c>
      <c r="AV143" s="451"/>
      <c r="AW143" s="451"/>
      <c r="AX143" s="452"/>
      <c r="AY143" s="451"/>
      <c r="AZ143" s="451">
        <f>SUM(AZ144:AZ145)</f>
        <v>0</v>
      </c>
      <c r="BA143" s="451"/>
      <c r="BB143" s="451"/>
      <c r="BC143" s="452"/>
      <c r="BD143" s="451"/>
      <c r="BE143" s="451">
        <f>SUM(BE144:BE145)</f>
        <v>0</v>
      </c>
      <c r="BF143" s="451"/>
      <c r="BG143" s="451"/>
      <c r="BH143" s="452"/>
      <c r="BI143" s="451"/>
      <c r="BJ143" s="451">
        <f>SUM(BJ144:BJ145)</f>
        <v>0</v>
      </c>
      <c r="BK143" s="451"/>
      <c r="BL143" s="451"/>
      <c r="BM143" s="452"/>
      <c r="BN143" s="451"/>
      <c r="BO143" s="451">
        <f>SUM(BO144:BO145)</f>
        <v>0</v>
      </c>
      <c r="BP143" s="451"/>
      <c r="BQ143" s="451"/>
      <c r="BR143" s="452"/>
      <c r="BS143" s="451"/>
      <c r="BT143" s="451">
        <f>SUM(BT144:BT145)</f>
        <v>15053</v>
      </c>
      <c r="BU143" s="451"/>
      <c r="BV143" s="451"/>
      <c r="BW143" s="452"/>
      <c r="BX143" s="451"/>
      <c r="BY143" s="451">
        <v>0</v>
      </c>
      <c r="BZ143" s="451"/>
      <c r="CA143" s="451"/>
      <c r="CB143" s="452"/>
      <c r="CC143" s="451"/>
      <c r="CD143" s="451">
        <f>SUM(CD144:CD145)</f>
        <v>0</v>
      </c>
      <c r="CE143" s="451"/>
      <c r="CF143" s="451"/>
      <c r="CG143" s="452"/>
      <c r="CH143" s="451"/>
      <c r="CI143" s="451">
        <f>SUM(CI144:CI145)</f>
        <v>0</v>
      </c>
      <c r="CJ143" s="451"/>
      <c r="CK143" s="451"/>
      <c r="CL143" s="452"/>
      <c r="CM143" s="451"/>
      <c r="CN143" s="451">
        <f>SUM(CN144:CN145)</f>
        <v>0</v>
      </c>
      <c r="CO143" s="451"/>
      <c r="CP143" s="451"/>
      <c r="CQ143" s="452"/>
      <c r="CR143" s="451"/>
      <c r="CS143" s="451">
        <f>SUM(CS144:CS145)</f>
        <v>0</v>
      </c>
      <c r="CT143" s="451"/>
      <c r="CU143" s="451"/>
      <c r="CV143" s="452"/>
      <c r="CW143" s="451"/>
      <c r="CX143" s="451">
        <f>SUM(CX144:CX145)</f>
        <v>0</v>
      </c>
      <c r="CY143" s="451"/>
      <c r="CZ143" s="451"/>
      <c r="DA143" s="452"/>
      <c r="DB143" s="451"/>
      <c r="DC143" s="451">
        <f>SUM(DC144:DC145)</f>
        <v>0</v>
      </c>
      <c r="DD143" s="451"/>
      <c r="DE143" s="451"/>
      <c r="DF143" s="452"/>
      <c r="DG143" s="451"/>
      <c r="DH143" s="451">
        <f>SUM(DH144:DH145)</f>
        <v>0</v>
      </c>
      <c r="DI143" s="451"/>
      <c r="DJ143" s="451"/>
      <c r="DK143" s="452"/>
      <c r="DL143" s="451"/>
      <c r="DM143" s="451">
        <f>SUM(DM144:DM145)</f>
        <v>0</v>
      </c>
      <c r="DN143" s="451"/>
      <c r="DO143" s="451"/>
      <c r="DP143" s="452"/>
      <c r="DQ143" s="451"/>
      <c r="DR143" s="451">
        <f>SUM(DR144:DR145)</f>
        <v>0</v>
      </c>
      <c r="DS143" s="451"/>
      <c r="DT143" s="451"/>
      <c r="DU143" s="452"/>
      <c r="DV143" s="451"/>
      <c r="DW143" s="451">
        <f>SUM(DW144:DW145)</f>
        <v>0</v>
      </c>
      <c r="DX143" s="451"/>
      <c r="DY143" s="451"/>
      <c r="DZ143" s="452"/>
      <c r="EA143" s="451"/>
      <c r="EB143" s="451">
        <f>SUM(EB144:EB145)</f>
        <v>0</v>
      </c>
      <c r="EC143" s="451"/>
      <c r="ED143" s="451"/>
      <c r="EE143" s="452"/>
      <c r="EF143" s="451"/>
      <c r="EG143" s="451">
        <f>SUM(EG144:EG145)</f>
        <v>0</v>
      </c>
      <c r="EH143" s="451"/>
      <c r="EI143" s="451"/>
      <c r="EJ143" s="452"/>
      <c r="EK143" s="451"/>
      <c r="EL143" s="451">
        <f>SUM(EL144:EL145)</f>
        <v>0</v>
      </c>
      <c r="EM143" s="451"/>
      <c r="EN143" s="451"/>
      <c r="EO143" s="13"/>
    </row>
    <row r="144" spans="4:145" x14ac:dyDescent="0.2">
      <c r="D144" s="13" t="s">
        <v>470</v>
      </c>
      <c r="E144" s="198"/>
      <c r="F144" s="374"/>
      <c r="G144" s="449">
        <v>2000</v>
      </c>
      <c r="H144" s="450"/>
      <c r="I144" s="451"/>
      <c r="J144" s="452"/>
      <c r="K144" s="374"/>
      <c r="L144" s="449">
        <v>0</v>
      </c>
      <c r="M144" s="450"/>
      <c r="N144" s="451"/>
      <c r="O144" s="452"/>
      <c r="P144" s="374"/>
      <c r="Q144" s="449">
        <v>1939</v>
      </c>
      <c r="R144" s="450"/>
      <c r="S144" s="451"/>
      <c r="T144" s="452"/>
      <c r="U144" s="374"/>
      <c r="V144" s="449">
        <v>0</v>
      </c>
      <c r="W144" s="450"/>
      <c r="X144" s="451"/>
      <c r="Y144" s="452"/>
      <c r="Z144" s="374"/>
      <c r="AA144" s="449">
        <v>0</v>
      </c>
      <c r="AB144" s="450"/>
      <c r="AC144" s="451"/>
      <c r="AD144" s="452"/>
      <c r="AE144" s="374"/>
      <c r="AF144" s="449">
        <v>0</v>
      </c>
      <c r="AG144" s="450"/>
      <c r="AH144" s="451"/>
      <c r="AI144" s="452"/>
      <c r="AJ144" s="374"/>
      <c r="AK144" s="449">
        <v>0</v>
      </c>
      <c r="AL144" s="450"/>
      <c r="AM144" s="451"/>
      <c r="AN144" s="452"/>
      <c r="AO144" s="374"/>
      <c r="AP144" s="449">
        <v>0</v>
      </c>
      <c r="AQ144" s="450"/>
      <c r="AR144" s="451"/>
      <c r="AS144" s="452"/>
      <c r="AT144" s="374"/>
      <c r="AU144" s="449">
        <v>1940</v>
      </c>
      <c r="AV144" s="450"/>
      <c r="AW144" s="451"/>
      <c r="AX144" s="452"/>
      <c r="AY144" s="374"/>
      <c r="AZ144" s="449">
        <v>0</v>
      </c>
      <c r="BA144" s="450"/>
      <c r="BB144" s="451"/>
      <c r="BC144" s="452"/>
      <c r="BD144" s="374"/>
      <c r="BE144" s="449">
        <v>0</v>
      </c>
      <c r="BF144" s="450"/>
      <c r="BG144" s="451"/>
      <c r="BH144" s="452"/>
      <c r="BI144" s="374"/>
      <c r="BJ144" s="449">
        <v>0</v>
      </c>
      <c r="BK144" s="450"/>
      <c r="BL144" s="451"/>
      <c r="BM144" s="452"/>
      <c r="BN144" s="374"/>
      <c r="BO144" s="449">
        <v>0</v>
      </c>
      <c r="BP144" s="450"/>
      <c r="BQ144" s="451"/>
      <c r="BR144" s="452"/>
      <c r="BS144" s="374"/>
      <c r="BT144" s="449">
        <f>SUM(L144:BO144)</f>
        <v>3879</v>
      </c>
      <c r="BU144" s="450"/>
      <c r="BV144" s="451"/>
      <c r="BW144" s="452"/>
      <c r="BX144" s="374"/>
      <c r="BY144" s="449">
        <v>0</v>
      </c>
      <c r="BZ144" s="450"/>
      <c r="CA144" s="451"/>
      <c r="CB144" s="452"/>
      <c r="CC144" s="374"/>
      <c r="CD144" s="449">
        <v>0</v>
      </c>
      <c r="CE144" s="450"/>
      <c r="CF144" s="451"/>
      <c r="CG144" s="452"/>
      <c r="CH144" s="374"/>
      <c r="CI144" s="449">
        <v>0</v>
      </c>
      <c r="CJ144" s="450"/>
      <c r="CK144" s="451"/>
      <c r="CL144" s="452"/>
      <c r="CM144" s="374"/>
      <c r="CN144" s="449">
        <v>0</v>
      </c>
      <c r="CO144" s="450"/>
      <c r="CP144" s="451"/>
      <c r="CQ144" s="452"/>
      <c r="CR144" s="374"/>
      <c r="CS144" s="449">
        <v>0</v>
      </c>
      <c r="CT144" s="450"/>
      <c r="CU144" s="451"/>
      <c r="CV144" s="452"/>
      <c r="CW144" s="374"/>
      <c r="CX144" s="449">
        <v>0</v>
      </c>
      <c r="CY144" s="450"/>
      <c r="CZ144" s="451"/>
      <c r="DA144" s="452"/>
      <c r="DB144" s="374"/>
      <c r="DC144" s="449">
        <v>0</v>
      </c>
      <c r="DD144" s="450"/>
      <c r="DE144" s="451"/>
      <c r="DF144" s="452"/>
      <c r="DG144" s="374"/>
      <c r="DH144" s="449">
        <v>0</v>
      </c>
      <c r="DI144" s="450"/>
      <c r="DJ144" s="451"/>
      <c r="DK144" s="452"/>
      <c r="DL144" s="374"/>
      <c r="DM144" s="449">
        <v>0</v>
      </c>
      <c r="DN144" s="450"/>
      <c r="DO144" s="451"/>
      <c r="DP144" s="452"/>
      <c r="DQ144" s="374"/>
      <c r="DR144" s="449">
        <v>0</v>
      </c>
      <c r="DS144" s="450"/>
      <c r="DT144" s="451"/>
      <c r="DU144" s="452"/>
      <c r="DV144" s="374"/>
      <c r="DW144" s="449">
        <v>0</v>
      </c>
      <c r="DX144" s="450"/>
      <c r="DY144" s="451"/>
      <c r="DZ144" s="452"/>
      <c r="EA144" s="374"/>
      <c r="EB144" s="449">
        <v>0</v>
      </c>
      <c r="EC144" s="450"/>
      <c r="ED144" s="451"/>
      <c r="EE144" s="452"/>
      <c r="EF144" s="374"/>
      <c r="EG144" s="449">
        <v>0</v>
      </c>
      <c r="EH144" s="450"/>
      <c r="EI144" s="451"/>
      <c r="EJ144" s="452"/>
      <c r="EK144" s="374"/>
      <c r="EL144" s="449">
        <f>SUM(CD144:DW144)</f>
        <v>0</v>
      </c>
      <c r="EM144" s="450"/>
      <c r="EN144" s="451"/>
      <c r="EO144" s="13"/>
    </row>
    <row r="145" spans="4:148" x14ac:dyDescent="0.2">
      <c r="D145" s="13" t="s">
        <v>471</v>
      </c>
      <c r="E145" s="198"/>
      <c r="F145" s="385"/>
      <c r="G145" s="463">
        <v>5000</v>
      </c>
      <c r="H145" s="464"/>
      <c r="I145" s="451"/>
      <c r="J145" s="452"/>
      <c r="K145" s="385"/>
      <c r="L145" s="463">
        <v>0</v>
      </c>
      <c r="M145" s="464"/>
      <c r="N145" s="451"/>
      <c r="O145" s="452"/>
      <c r="P145" s="385"/>
      <c r="Q145" s="463">
        <v>6147</v>
      </c>
      <c r="R145" s="464"/>
      <c r="S145" s="451"/>
      <c r="T145" s="452"/>
      <c r="U145" s="385"/>
      <c r="V145" s="463">
        <v>0</v>
      </c>
      <c r="W145" s="464"/>
      <c r="X145" s="451"/>
      <c r="Y145" s="452"/>
      <c r="Z145" s="385"/>
      <c r="AA145" s="463">
        <v>0</v>
      </c>
      <c r="AB145" s="464"/>
      <c r="AC145" s="451"/>
      <c r="AD145" s="452"/>
      <c r="AE145" s="385"/>
      <c r="AF145" s="463">
        <v>0</v>
      </c>
      <c r="AG145" s="464"/>
      <c r="AH145" s="451"/>
      <c r="AI145" s="452"/>
      <c r="AJ145" s="385"/>
      <c r="AK145" s="463">
        <v>0</v>
      </c>
      <c r="AL145" s="464"/>
      <c r="AM145" s="451"/>
      <c r="AN145" s="452"/>
      <c r="AO145" s="385"/>
      <c r="AP145" s="463">
        <v>0</v>
      </c>
      <c r="AQ145" s="464"/>
      <c r="AR145" s="451"/>
      <c r="AS145" s="452"/>
      <c r="AT145" s="385"/>
      <c r="AU145" s="463">
        <v>5027</v>
      </c>
      <c r="AV145" s="464"/>
      <c r="AW145" s="451"/>
      <c r="AX145" s="452"/>
      <c r="AY145" s="385"/>
      <c r="AZ145" s="463">
        <v>0</v>
      </c>
      <c r="BA145" s="464"/>
      <c r="BB145" s="451"/>
      <c r="BC145" s="452"/>
      <c r="BD145" s="385"/>
      <c r="BE145" s="463">
        <v>0</v>
      </c>
      <c r="BF145" s="464"/>
      <c r="BG145" s="451"/>
      <c r="BH145" s="452"/>
      <c r="BI145" s="385"/>
      <c r="BJ145" s="463">
        <v>0</v>
      </c>
      <c r="BK145" s="464"/>
      <c r="BL145" s="451"/>
      <c r="BM145" s="452"/>
      <c r="BN145" s="385"/>
      <c r="BO145" s="463">
        <v>0</v>
      </c>
      <c r="BP145" s="464"/>
      <c r="BQ145" s="451"/>
      <c r="BR145" s="452"/>
      <c r="BS145" s="385"/>
      <c r="BT145" s="463">
        <f>SUM(L145:BO145)</f>
        <v>11174</v>
      </c>
      <c r="BU145" s="464"/>
      <c r="BV145" s="451"/>
      <c r="BW145" s="452"/>
      <c r="BX145" s="385"/>
      <c r="BY145" s="463">
        <v>0</v>
      </c>
      <c r="BZ145" s="464"/>
      <c r="CA145" s="451"/>
      <c r="CB145" s="452"/>
      <c r="CC145" s="385"/>
      <c r="CD145" s="463">
        <v>0</v>
      </c>
      <c r="CE145" s="464"/>
      <c r="CF145" s="451"/>
      <c r="CG145" s="452"/>
      <c r="CH145" s="385"/>
      <c r="CI145" s="463">
        <v>0</v>
      </c>
      <c r="CJ145" s="464"/>
      <c r="CK145" s="451"/>
      <c r="CL145" s="452"/>
      <c r="CM145" s="385"/>
      <c r="CN145" s="463">
        <v>0</v>
      </c>
      <c r="CO145" s="464"/>
      <c r="CP145" s="451"/>
      <c r="CQ145" s="452"/>
      <c r="CR145" s="385"/>
      <c r="CS145" s="463">
        <v>0</v>
      </c>
      <c r="CT145" s="464"/>
      <c r="CU145" s="451"/>
      <c r="CV145" s="452"/>
      <c r="CW145" s="385"/>
      <c r="CX145" s="463">
        <v>0</v>
      </c>
      <c r="CY145" s="464"/>
      <c r="CZ145" s="451"/>
      <c r="DA145" s="452"/>
      <c r="DB145" s="385"/>
      <c r="DC145" s="463">
        <v>0</v>
      </c>
      <c r="DD145" s="464"/>
      <c r="DE145" s="451"/>
      <c r="DF145" s="452"/>
      <c r="DG145" s="385"/>
      <c r="DH145" s="463">
        <v>0</v>
      </c>
      <c r="DI145" s="464"/>
      <c r="DJ145" s="451"/>
      <c r="DK145" s="452"/>
      <c r="DL145" s="385"/>
      <c r="DM145" s="463">
        <v>0</v>
      </c>
      <c r="DN145" s="464"/>
      <c r="DO145" s="451"/>
      <c r="DP145" s="452"/>
      <c r="DQ145" s="385"/>
      <c r="DR145" s="463">
        <v>0</v>
      </c>
      <c r="DS145" s="464"/>
      <c r="DT145" s="451"/>
      <c r="DU145" s="452"/>
      <c r="DV145" s="385"/>
      <c r="DW145" s="463">
        <v>0</v>
      </c>
      <c r="DX145" s="464"/>
      <c r="DY145" s="451"/>
      <c r="DZ145" s="452"/>
      <c r="EA145" s="385"/>
      <c r="EB145" s="463">
        <v>0</v>
      </c>
      <c r="EC145" s="464"/>
      <c r="ED145" s="451"/>
      <c r="EE145" s="452"/>
      <c r="EF145" s="385"/>
      <c r="EG145" s="463">
        <v>0</v>
      </c>
      <c r="EH145" s="464"/>
      <c r="EI145" s="451"/>
      <c r="EJ145" s="452"/>
      <c r="EK145" s="385"/>
      <c r="EL145" s="463">
        <f>SUM(CD145:DW145)</f>
        <v>0</v>
      </c>
      <c r="EM145" s="464"/>
      <c r="EN145" s="451"/>
      <c r="EO145" s="13"/>
    </row>
    <row r="146" spans="4:148" ht="12.75" hidden="1" customHeight="1" x14ac:dyDescent="0.2">
      <c r="D146" s="13"/>
      <c r="E146" s="198"/>
      <c r="G146" s="451"/>
      <c r="H146" s="451"/>
      <c r="I146" s="451"/>
      <c r="J146" s="452"/>
      <c r="K146" s="451"/>
      <c r="L146" s="451"/>
      <c r="M146" s="451"/>
      <c r="N146" s="451"/>
      <c r="O146" s="452"/>
      <c r="P146" s="451"/>
      <c r="Q146" s="451"/>
      <c r="R146" s="451"/>
      <c r="S146" s="451"/>
      <c r="T146" s="452"/>
      <c r="U146" s="451"/>
      <c r="V146" s="451"/>
      <c r="W146" s="451"/>
      <c r="X146" s="451"/>
      <c r="Y146" s="452"/>
      <c r="Z146" s="451"/>
      <c r="AA146" s="451"/>
      <c r="AB146" s="451"/>
      <c r="AC146" s="451"/>
      <c r="AD146" s="452"/>
      <c r="AE146" s="451"/>
      <c r="AF146" s="451"/>
      <c r="AG146" s="451"/>
      <c r="AH146" s="451"/>
      <c r="AI146" s="452"/>
      <c r="AJ146" s="451"/>
      <c r="AK146" s="451"/>
      <c r="AL146" s="451"/>
      <c r="AM146" s="451"/>
      <c r="AN146" s="452"/>
      <c r="AO146" s="451"/>
      <c r="AP146" s="451"/>
      <c r="AQ146" s="451"/>
      <c r="AR146" s="451"/>
      <c r="AS146" s="452"/>
      <c r="AT146" s="451"/>
      <c r="AU146" s="451"/>
      <c r="AV146" s="451"/>
      <c r="AW146" s="451"/>
      <c r="AX146" s="452"/>
      <c r="AY146" s="451"/>
      <c r="AZ146" s="451"/>
      <c r="BA146" s="451"/>
      <c r="BB146" s="451"/>
      <c r="BC146" s="452"/>
      <c r="BD146" s="451"/>
      <c r="BE146" s="451"/>
      <c r="BF146" s="451"/>
      <c r="BG146" s="451"/>
      <c r="BH146" s="452"/>
      <c r="BI146" s="451"/>
      <c r="BJ146" s="451"/>
      <c r="BK146" s="451"/>
      <c r="BL146" s="451"/>
      <c r="BM146" s="452"/>
      <c r="BN146" s="451"/>
      <c r="BO146" s="451"/>
      <c r="BP146" s="451"/>
      <c r="BQ146" s="451"/>
      <c r="BR146" s="452"/>
      <c r="BS146" s="451"/>
      <c r="BT146" s="451"/>
      <c r="BU146" s="451"/>
      <c r="BV146" s="451"/>
      <c r="BW146" s="452"/>
      <c r="BX146" s="451"/>
      <c r="BY146" s="451"/>
      <c r="BZ146" s="451"/>
      <c r="CA146" s="451"/>
      <c r="CB146" s="452"/>
      <c r="CC146" s="451"/>
      <c r="CD146" s="451"/>
      <c r="CE146" s="451"/>
      <c r="CF146" s="451"/>
      <c r="CG146" s="452"/>
      <c r="CH146" s="451"/>
      <c r="CI146" s="451"/>
      <c r="CJ146" s="451"/>
      <c r="CK146" s="451"/>
      <c r="CL146" s="452"/>
      <c r="CM146" s="451"/>
      <c r="CN146" s="451"/>
      <c r="CO146" s="451"/>
      <c r="CP146" s="451"/>
      <c r="CQ146" s="452"/>
      <c r="CR146" s="451"/>
      <c r="CS146" s="451"/>
      <c r="CT146" s="451"/>
      <c r="CU146" s="451"/>
      <c r="CV146" s="452"/>
      <c r="CW146" s="451"/>
      <c r="CX146" s="451"/>
      <c r="CY146" s="451"/>
      <c r="CZ146" s="451"/>
      <c r="DA146" s="452"/>
      <c r="DB146" s="451"/>
      <c r="DC146" s="451"/>
      <c r="DD146" s="451"/>
      <c r="DE146" s="451"/>
      <c r="DF146" s="452"/>
      <c r="DG146" s="451"/>
      <c r="DH146" s="451"/>
      <c r="DI146" s="451"/>
      <c r="DJ146" s="451"/>
      <c r="DK146" s="452"/>
      <c r="DL146" s="451"/>
      <c r="DM146" s="451"/>
      <c r="DN146" s="451"/>
      <c r="DO146" s="451"/>
      <c r="DP146" s="452"/>
      <c r="DQ146" s="451"/>
      <c r="DR146" s="451"/>
      <c r="DS146" s="451"/>
      <c r="DT146" s="451"/>
      <c r="DU146" s="452"/>
      <c r="DV146" s="451"/>
      <c r="DW146" s="451"/>
      <c r="DX146" s="451"/>
      <c r="DY146" s="451"/>
      <c r="DZ146" s="452"/>
      <c r="EA146" s="451"/>
      <c r="EB146" s="451"/>
      <c r="EC146" s="451"/>
      <c r="ED146" s="451"/>
      <c r="EE146" s="452"/>
      <c r="EF146" s="451"/>
      <c r="EG146" s="451"/>
      <c r="EH146" s="451"/>
      <c r="EI146" s="451"/>
      <c r="EJ146" s="452"/>
      <c r="EK146" s="451"/>
      <c r="EL146" s="451"/>
      <c r="EM146" s="451"/>
      <c r="EN146" s="451"/>
      <c r="EO146" s="13"/>
    </row>
    <row r="147" spans="4:148" ht="12.75" hidden="1" customHeight="1" x14ac:dyDescent="0.2">
      <c r="D147" s="13" t="s">
        <v>481</v>
      </c>
      <c r="E147" s="198"/>
      <c r="G147" s="451">
        <f>SUM(G148:G149)</f>
        <v>0</v>
      </c>
      <c r="H147" s="451"/>
      <c r="I147" s="451"/>
      <c r="J147" s="452"/>
      <c r="K147" s="451"/>
      <c r="L147" s="451">
        <f>SUM(L148:L149)</f>
        <v>0</v>
      </c>
      <c r="M147" s="451"/>
      <c r="N147" s="451"/>
      <c r="O147" s="452"/>
      <c r="P147" s="451"/>
      <c r="Q147" s="451">
        <f>SUM(Q148:Q149)</f>
        <v>0</v>
      </c>
      <c r="R147" s="451"/>
      <c r="S147" s="451"/>
      <c r="T147" s="452"/>
      <c r="U147" s="451"/>
      <c r="V147" s="451">
        <f>SUM(V148:V149)</f>
        <v>0</v>
      </c>
      <c r="W147" s="451"/>
      <c r="X147" s="451"/>
      <c r="Y147" s="452"/>
      <c r="Z147" s="451"/>
      <c r="AA147" s="451">
        <f>SUM(AA148:AA149)</f>
        <v>0</v>
      </c>
      <c r="AB147" s="451"/>
      <c r="AC147" s="451"/>
      <c r="AD147" s="452"/>
      <c r="AE147" s="451"/>
      <c r="AF147" s="451">
        <f>SUM(AF148:AF149)</f>
        <v>0</v>
      </c>
      <c r="AG147" s="451"/>
      <c r="AH147" s="451"/>
      <c r="AI147" s="452"/>
      <c r="AJ147" s="451"/>
      <c r="AK147" s="451">
        <f>SUM(AK148:AK149)</f>
        <v>0</v>
      </c>
      <c r="AL147" s="451"/>
      <c r="AM147" s="451"/>
      <c r="AN147" s="452"/>
      <c r="AO147" s="451"/>
      <c r="AP147" s="451">
        <f>SUM(AP148:AP149)</f>
        <v>0</v>
      </c>
      <c r="AQ147" s="451"/>
      <c r="AR147" s="451"/>
      <c r="AS147" s="452"/>
      <c r="AT147" s="451"/>
      <c r="AU147" s="451">
        <f>SUM(AU148:AU149)</f>
        <v>0</v>
      </c>
      <c r="AV147" s="451"/>
      <c r="AW147" s="451"/>
      <c r="AX147" s="452"/>
      <c r="AY147" s="451"/>
      <c r="AZ147" s="451">
        <f>SUM(AZ148:AZ149)</f>
        <v>0</v>
      </c>
      <c r="BA147" s="451"/>
      <c r="BB147" s="451"/>
      <c r="BC147" s="452"/>
      <c r="BD147" s="451"/>
      <c r="BE147" s="451">
        <f>SUM(BE148:BE149)</f>
        <v>0</v>
      </c>
      <c r="BF147" s="451"/>
      <c r="BG147" s="451"/>
      <c r="BH147" s="452"/>
      <c r="BI147" s="451"/>
      <c r="BJ147" s="451">
        <f>SUM(BJ148:BJ149)</f>
        <v>0</v>
      </c>
      <c r="BK147" s="451"/>
      <c r="BL147" s="451"/>
      <c r="BM147" s="452"/>
      <c r="BN147" s="451"/>
      <c r="BO147" s="451">
        <f>SUM(BO148:BO149)</f>
        <v>0</v>
      </c>
      <c r="BP147" s="451"/>
      <c r="BQ147" s="451"/>
      <c r="BR147" s="452"/>
      <c r="BS147" s="451"/>
      <c r="BT147" s="451">
        <f>SUM(BT148:BT149)</f>
        <v>0</v>
      </c>
      <c r="BU147" s="451"/>
      <c r="BV147" s="451"/>
      <c r="BW147" s="452"/>
      <c r="BX147" s="451"/>
      <c r="BY147" s="451">
        <v>0</v>
      </c>
      <c r="BZ147" s="451"/>
      <c r="CA147" s="451"/>
      <c r="CB147" s="452"/>
      <c r="CC147" s="451"/>
      <c r="CD147" s="451">
        <f>SUM(CD148:CD149)</f>
        <v>0</v>
      </c>
      <c r="CE147" s="451"/>
      <c r="CF147" s="451"/>
      <c r="CG147" s="452"/>
      <c r="CH147" s="451"/>
      <c r="CI147" s="451">
        <f>SUM(CI148:CI149)</f>
        <v>0</v>
      </c>
      <c r="CJ147" s="451"/>
      <c r="CK147" s="451"/>
      <c r="CL147" s="452"/>
      <c r="CM147" s="451"/>
      <c r="CN147" s="451">
        <f>SUM(CN148:CN149)</f>
        <v>0</v>
      </c>
      <c r="CO147" s="451"/>
      <c r="CP147" s="451"/>
      <c r="CQ147" s="452"/>
      <c r="CR147" s="451"/>
      <c r="CS147" s="451">
        <f>SUM(CS148:CS149)</f>
        <v>0</v>
      </c>
      <c r="CT147" s="451"/>
      <c r="CU147" s="451"/>
      <c r="CV147" s="452"/>
      <c r="CW147" s="451"/>
      <c r="CX147" s="451">
        <f>SUM(CX148:CX149)</f>
        <v>0</v>
      </c>
      <c r="CY147" s="451"/>
      <c r="CZ147" s="451"/>
      <c r="DA147" s="452"/>
      <c r="DB147" s="451"/>
      <c r="DC147" s="451">
        <f>SUM(DC148:DC149)</f>
        <v>0</v>
      </c>
      <c r="DD147" s="451"/>
      <c r="DE147" s="451"/>
      <c r="DF147" s="452"/>
      <c r="DG147" s="451"/>
      <c r="DH147" s="451">
        <f>SUM(DH148:DH149)</f>
        <v>0</v>
      </c>
      <c r="DI147" s="451"/>
      <c r="DJ147" s="451"/>
      <c r="DK147" s="452"/>
      <c r="DL147" s="451"/>
      <c r="DM147" s="451">
        <f>SUM(DM148:DM149)</f>
        <v>0</v>
      </c>
      <c r="DN147" s="451"/>
      <c r="DO147" s="451"/>
      <c r="DP147" s="452"/>
      <c r="DQ147" s="451"/>
      <c r="DR147" s="451">
        <f>SUM(DR148:DR149)</f>
        <v>0</v>
      </c>
      <c r="DS147" s="451"/>
      <c r="DT147" s="451"/>
      <c r="DU147" s="452"/>
      <c r="DV147" s="451"/>
      <c r="DW147" s="451">
        <f>SUM(DW148:DW149)</f>
        <v>0</v>
      </c>
      <c r="DX147" s="451"/>
      <c r="DY147" s="451"/>
      <c r="DZ147" s="452"/>
      <c r="EA147" s="451"/>
      <c r="EB147" s="451">
        <f>SUM(EB148:EB149)</f>
        <v>0</v>
      </c>
      <c r="EC147" s="451"/>
      <c r="ED147" s="451"/>
      <c r="EE147" s="452"/>
      <c r="EF147" s="451"/>
      <c r="EG147" s="451">
        <f>SUM(EG148:EG149)</f>
        <v>0</v>
      </c>
      <c r="EH147" s="451"/>
      <c r="EI147" s="451"/>
      <c r="EJ147" s="452"/>
      <c r="EK147" s="451"/>
      <c r="EL147" s="451">
        <f>SUM(EL148:EL149)</f>
        <v>0</v>
      </c>
      <c r="EM147" s="451"/>
      <c r="EN147" s="451"/>
      <c r="EO147" s="13"/>
    </row>
    <row r="148" spans="4:148" ht="12.75" hidden="1" customHeight="1" x14ac:dyDescent="0.2">
      <c r="D148" s="13" t="s">
        <v>470</v>
      </c>
      <c r="E148" s="198"/>
      <c r="F148" s="374"/>
      <c r="G148" s="449">
        <v>0</v>
      </c>
      <c r="H148" s="450"/>
      <c r="I148" s="451"/>
      <c r="J148" s="452"/>
      <c r="K148" s="453"/>
      <c r="L148" s="449">
        <v>0</v>
      </c>
      <c r="M148" s="450"/>
      <c r="N148" s="451"/>
      <c r="O148" s="452"/>
      <c r="P148" s="453"/>
      <c r="Q148" s="449">
        <v>0</v>
      </c>
      <c r="R148" s="450"/>
      <c r="S148" s="451"/>
      <c r="T148" s="452"/>
      <c r="U148" s="453"/>
      <c r="V148" s="449">
        <v>0</v>
      </c>
      <c r="W148" s="450"/>
      <c r="X148" s="451"/>
      <c r="Y148" s="452"/>
      <c r="Z148" s="453"/>
      <c r="AA148" s="449">
        <v>0</v>
      </c>
      <c r="AB148" s="450"/>
      <c r="AC148" s="451"/>
      <c r="AD148" s="452"/>
      <c r="AE148" s="453"/>
      <c r="AF148" s="449">
        <v>0</v>
      </c>
      <c r="AG148" s="450"/>
      <c r="AH148" s="451"/>
      <c r="AI148" s="452"/>
      <c r="AJ148" s="453"/>
      <c r="AK148" s="449">
        <v>0</v>
      </c>
      <c r="AL148" s="450"/>
      <c r="AM148" s="451"/>
      <c r="AN148" s="452"/>
      <c r="AO148" s="453"/>
      <c r="AP148" s="449">
        <v>0</v>
      </c>
      <c r="AQ148" s="450"/>
      <c r="AR148" s="451"/>
      <c r="AS148" s="452"/>
      <c r="AT148" s="453"/>
      <c r="AU148" s="449">
        <v>0</v>
      </c>
      <c r="AV148" s="450"/>
      <c r="AW148" s="451"/>
      <c r="AX148" s="452"/>
      <c r="AY148" s="453"/>
      <c r="AZ148" s="449">
        <v>0</v>
      </c>
      <c r="BA148" s="450"/>
      <c r="BB148" s="451"/>
      <c r="BC148" s="452"/>
      <c r="BD148" s="453"/>
      <c r="BE148" s="449">
        <v>0</v>
      </c>
      <c r="BF148" s="450"/>
      <c r="BG148" s="451"/>
      <c r="BH148" s="452"/>
      <c r="BI148" s="453"/>
      <c r="BJ148" s="449">
        <v>0</v>
      </c>
      <c r="BK148" s="450"/>
      <c r="BL148" s="451"/>
      <c r="BM148" s="452"/>
      <c r="BN148" s="453"/>
      <c r="BO148" s="449">
        <v>0</v>
      </c>
      <c r="BP148" s="450"/>
      <c r="BQ148" s="451"/>
      <c r="BR148" s="452"/>
      <c r="BS148" s="453"/>
      <c r="BT148" s="449">
        <f>SUM(L148:BO148)</f>
        <v>0</v>
      </c>
      <c r="BU148" s="450"/>
      <c r="BV148" s="451"/>
      <c r="BW148" s="452"/>
      <c r="BX148" s="453"/>
      <c r="BY148" s="449">
        <v>0</v>
      </c>
      <c r="BZ148" s="450"/>
      <c r="CA148" s="451"/>
      <c r="CB148" s="452"/>
      <c r="CC148" s="453"/>
      <c r="CD148" s="449">
        <v>0</v>
      </c>
      <c r="CE148" s="450"/>
      <c r="CF148" s="451"/>
      <c r="CG148" s="452"/>
      <c r="CH148" s="453"/>
      <c r="CI148" s="449">
        <v>0</v>
      </c>
      <c r="CJ148" s="450"/>
      <c r="CK148" s="451"/>
      <c r="CL148" s="452"/>
      <c r="CM148" s="453"/>
      <c r="CN148" s="449">
        <v>0</v>
      </c>
      <c r="CO148" s="450"/>
      <c r="CP148" s="451"/>
      <c r="CQ148" s="452"/>
      <c r="CR148" s="453"/>
      <c r="CS148" s="449">
        <v>0</v>
      </c>
      <c r="CT148" s="450"/>
      <c r="CU148" s="451"/>
      <c r="CV148" s="452"/>
      <c r="CW148" s="453"/>
      <c r="CX148" s="449">
        <v>0</v>
      </c>
      <c r="CY148" s="450"/>
      <c r="CZ148" s="451"/>
      <c r="DA148" s="452"/>
      <c r="DB148" s="453"/>
      <c r="DC148" s="449">
        <v>0</v>
      </c>
      <c r="DD148" s="450"/>
      <c r="DE148" s="451"/>
      <c r="DF148" s="452"/>
      <c r="DG148" s="453"/>
      <c r="DH148" s="449">
        <v>0</v>
      </c>
      <c r="DI148" s="450"/>
      <c r="DJ148" s="451"/>
      <c r="DK148" s="452"/>
      <c r="DL148" s="453"/>
      <c r="DM148" s="449">
        <v>0</v>
      </c>
      <c r="DN148" s="450"/>
      <c r="DO148" s="451"/>
      <c r="DP148" s="452"/>
      <c r="DQ148" s="453"/>
      <c r="DR148" s="449">
        <v>0</v>
      </c>
      <c r="DS148" s="450"/>
      <c r="DT148" s="451"/>
      <c r="DU148" s="452"/>
      <c r="DV148" s="453"/>
      <c r="DW148" s="449">
        <v>0</v>
      </c>
      <c r="DX148" s="450"/>
      <c r="DY148" s="451"/>
      <c r="DZ148" s="452"/>
      <c r="EA148" s="453"/>
      <c r="EB148" s="449">
        <v>0</v>
      </c>
      <c r="EC148" s="450"/>
      <c r="ED148" s="451"/>
      <c r="EE148" s="452"/>
      <c r="EF148" s="453"/>
      <c r="EG148" s="449">
        <v>0</v>
      </c>
      <c r="EH148" s="450"/>
      <c r="EI148" s="451"/>
      <c r="EJ148" s="452"/>
      <c r="EK148" s="453"/>
      <c r="EL148" s="449">
        <f>SUM(CD148:EG148)</f>
        <v>0</v>
      </c>
      <c r="EM148" s="450"/>
      <c r="EN148" s="451"/>
      <c r="EO148" s="13"/>
    </row>
    <row r="149" spans="4:148" ht="12.75" hidden="1" customHeight="1" x14ac:dyDescent="0.2">
      <c r="D149" s="13" t="s">
        <v>471</v>
      </c>
      <c r="E149" s="198"/>
      <c r="F149" s="385"/>
      <c r="G149" s="463">
        <v>0</v>
      </c>
      <c r="H149" s="464"/>
      <c r="I149" s="451"/>
      <c r="J149" s="452"/>
      <c r="K149" s="465"/>
      <c r="L149" s="463">
        <v>0</v>
      </c>
      <c r="M149" s="464"/>
      <c r="N149" s="451"/>
      <c r="O149" s="452"/>
      <c r="P149" s="465"/>
      <c r="Q149" s="463">
        <v>0</v>
      </c>
      <c r="R149" s="464"/>
      <c r="S149" s="451"/>
      <c r="T149" s="452"/>
      <c r="U149" s="465"/>
      <c r="V149" s="463">
        <v>0</v>
      </c>
      <c r="W149" s="464"/>
      <c r="X149" s="451"/>
      <c r="Y149" s="452"/>
      <c r="Z149" s="465"/>
      <c r="AA149" s="463">
        <v>0</v>
      </c>
      <c r="AB149" s="464"/>
      <c r="AC149" s="451"/>
      <c r="AD149" s="452"/>
      <c r="AE149" s="465"/>
      <c r="AF149" s="463">
        <v>0</v>
      </c>
      <c r="AG149" s="464"/>
      <c r="AH149" s="451"/>
      <c r="AI149" s="452"/>
      <c r="AJ149" s="465"/>
      <c r="AK149" s="463">
        <v>0</v>
      </c>
      <c r="AL149" s="464"/>
      <c r="AM149" s="451"/>
      <c r="AN149" s="452"/>
      <c r="AO149" s="465"/>
      <c r="AP149" s="463">
        <v>0</v>
      </c>
      <c r="AQ149" s="464"/>
      <c r="AR149" s="451"/>
      <c r="AS149" s="452"/>
      <c r="AT149" s="465"/>
      <c r="AU149" s="463">
        <v>0</v>
      </c>
      <c r="AV149" s="464"/>
      <c r="AW149" s="451"/>
      <c r="AX149" s="452"/>
      <c r="AY149" s="465"/>
      <c r="AZ149" s="463">
        <v>0</v>
      </c>
      <c r="BA149" s="464"/>
      <c r="BB149" s="451"/>
      <c r="BC149" s="452"/>
      <c r="BD149" s="465"/>
      <c r="BE149" s="463">
        <v>0</v>
      </c>
      <c r="BF149" s="464"/>
      <c r="BG149" s="451"/>
      <c r="BH149" s="452"/>
      <c r="BI149" s="465"/>
      <c r="BJ149" s="463">
        <v>0</v>
      </c>
      <c r="BK149" s="464"/>
      <c r="BL149" s="451"/>
      <c r="BM149" s="452"/>
      <c r="BN149" s="465"/>
      <c r="BO149" s="463">
        <v>0</v>
      </c>
      <c r="BP149" s="464"/>
      <c r="BQ149" s="451"/>
      <c r="BR149" s="452"/>
      <c r="BS149" s="465"/>
      <c r="BT149" s="463">
        <f>SUM(L149:BO149)</f>
        <v>0</v>
      </c>
      <c r="BU149" s="464"/>
      <c r="BV149" s="451"/>
      <c r="BW149" s="452"/>
      <c r="BX149" s="465"/>
      <c r="BY149" s="463">
        <v>0</v>
      </c>
      <c r="BZ149" s="464"/>
      <c r="CA149" s="451"/>
      <c r="CB149" s="452"/>
      <c r="CC149" s="465"/>
      <c r="CD149" s="463">
        <v>0</v>
      </c>
      <c r="CE149" s="464"/>
      <c r="CF149" s="451"/>
      <c r="CG149" s="452"/>
      <c r="CH149" s="465"/>
      <c r="CI149" s="463">
        <v>0</v>
      </c>
      <c r="CJ149" s="464"/>
      <c r="CK149" s="451"/>
      <c r="CL149" s="452"/>
      <c r="CM149" s="465"/>
      <c r="CN149" s="463">
        <v>0</v>
      </c>
      <c r="CO149" s="464"/>
      <c r="CP149" s="451"/>
      <c r="CQ149" s="452"/>
      <c r="CR149" s="465"/>
      <c r="CS149" s="463">
        <v>0</v>
      </c>
      <c r="CT149" s="464"/>
      <c r="CU149" s="451"/>
      <c r="CV149" s="452"/>
      <c r="CW149" s="465"/>
      <c r="CX149" s="463">
        <v>0</v>
      </c>
      <c r="CY149" s="464"/>
      <c r="CZ149" s="451"/>
      <c r="DA149" s="452"/>
      <c r="DB149" s="465"/>
      <c r="DC149" s="463">
        <v>0</v>
      </c>
      <c r="DD149" s="464"/>
      <c r="DE149" s="451"/>
      <c r="DF149" s="452"/>
      <c r="DG149" s="465"/>
      <c r="DH149" s="463">
        <v>0</v>
      </c>
      <c r="DI149" s="464"/>
      <c r="DJ149" s="451"/>
      <c r="DK149" s="452"/>
      <c r="DL149" s="465"/>
      <c r="DM149" s="463">
        <v>0</v>
      </c>
      <c r="DN149" s="464"/>
      <c r="DO149" s="451"/>
      <c r="DP149" s="452"/>
      <c r="DQ149" s="465"/>
      <c r="DR149" s="463">
        <v>0</v>
      </c>
      <c r="DS149" s="464"/>
      <c r="DT149" s="451"/>
      <c r="DU149" s="452"/>
      <c r="DV149" s="465"/>
      <c r="DW149" s="463">
        <v>0</v>
      </c>
      <c r="DX149" s="464"/>
      <c r="DY149" s="451"/>
      <c r="DZ149" s="452"/>
      <c r="EA149" s="465"/>
      <c r="EB149" s="463">
        <v>0</v>
      </c>
      <c r="EC149" s="464"/>
      <c r="ED149" s="451"/>
      <c r="EE149" s="452"/>
      <c r="EF149" s="465"/>
      <c r="EG149" s="463">
        <v>0</v>
      </c>
      <c r="EH149" s="464"/>
      <c r="EI149" s="451"/>
      <c r="EJ149" s="452"/>
      <c r="EK149" s="465"/>
      <c r="EL149" s="463">
        <f>SUM(CD149:EG149)</f>
        <v>0</v>
      </c>
      <c r="EM149" s="464"/>
      <c r="EN149" s="451"/>
      <c r="EO149" s="13"/>
    </row>
    <row r="150" spans="4:148" ht="12.75" hidden="1" customHeight="1" x14ac:dyDescent="0.2">
      <c r="D150" s="13"/>
      <c r="E150" s="198"/>
      <c r="G150" s="451"/>
      <c r="H150" s="451"/>
      <c r="I150" s="451"/>
      <c r="J150" s="452"/>
      <c r="K150" s="451"/>
      <c r="L150" s="451"/>
      <c r="M150" s="451"/>
      <c r="N150" s="451"/>
      <c r="O150" s="452"/>
      <c r="P150" s="451"/>
      <c r="Q150" s="451"/>
      <c r="R150" s="451"/>
      <c r="S150" s="451"/>
      <c r="T150" s="452"/>
      <c r="U150" s="451"/>
      <c r="V150" s="451"/>
      <c r="W150" s="451"/>
      <c r="X150" s="451"/>
      <c r="Y150" s="452"/>
      <c r="Z150" s="451"/>
      <c r="AA150" s="451"/>
      <c r="AB150" s="451"/>
      <c r="AC150" s="451"/>
      <c r="AD150" s="452"/>
      <c r="AE150" s="451"/>
      <c r="AF150" s="451"/>
      <c r="AG150" s="451"/>
      <c r="AH150" s="451"/>
      <c r="AI150" s="452"/>
      <c r="AJ150" s="451"/>
      <c r="AK150" s="451"/>
      <c r="AL150" s="451"/>
      <c r="AM150" s="451"/>
      <c r="AN150" s="452"/>
      <c r="AO150" s="451"/>
      <c r="AP150" s="451"/>
      <c r="AQ150" s="451"/>
      <c r="AR150" s="451"/>
      <c r="AS150" s="452"/>
      <c r="AT150" s="451"/>
      <c r="AU150" s="451"/>
      <c r="AV150" s="451"/>
      <c r="AW150" s="451"/>
      <c r="AX150" s="452"/>
      <c r="AY150" s="451"/>
      <c r="AZ150" s="451"/>
      <c r="BA150" s="451"/>
      <c r="BB150" s="451"/>
      <c r="BC150" s="452"/>
      <c r="BD150" s="451"/>
      <c r="BE150" s="451"/>
      <c r="BF150" s="451"/>
      <c r="BG150" s="451"/>
      <c r="BH150" s="452"/>
      <c r="BI150" s="451"/>
      <c r="BJ150" s="451"/>
      <c r="BK150" s="451"/>
      <c r="BL150" s="451"/>
      <c r="BM150" s="452"/>
      <c r="BN150" s="451"/>
      <c r="BO150" s="451"/>
      <c r="BP150" s="451"/>
      <c r="BQ150" s="451"/>
      <c r="BR150" s="452"/>
      <c r="BS150" s="451"/>
      <c r="BT150" s="451"/>
      <c r="BU150" s="451"/>
      <c r="BV150" s="451"/>
      <c r="BW150" s="452"/>
      <c r="BX150" s="451"/>
      <c r="BY150" s="451"/>
      <c r="BZ150" s="451"/>
      <c r="CA150" s="451"/>
      <c r="CB150" s="452"/>
      <c r="CC150" s="451"/>
      <c r="CD150" s="451"/>
      <c r="CE150" s="451"/>
      <c r="CF150" s="451"/>
      <c r="CG150" s="452"/>
      <c r="CH150" s="451"/>
      <c r="CI150" s="451"/>
      <c r="CJ150" s="451"/>
      <c r="CK150" s="451"/>
      <c r="CL150" s="452"/>
      <c r="CM150" s="451"/>
      <c r="CN150" s="451"/>
      <c r="CO150" s="451"/>
      <c r="CP150" s="451"/>
      <c r="CQ150" s="452"/>
      <c r="CR150" s="451"/>
      <c r="CS150" s="451"/>
      <c r="CT150" s="451"/>
      <c r="CU150" s="451"/>
      <c r="CV150" s="452"/>
      <c r="CW150" s="451"/>
      <c r="CX150" s="451"/>
      <c r="CY150" s="451"/>
      <c r="CZ150" s="451"/>
      <c r="DA150" s="452"/>
      <c r="DB150" s="451"/>
      <c r="DC150" s="451"/>
      <c r="DD150" s="451"/>
      <c r="DE150" s="451"/>
      <c r="DF150" s="452"/>
      <c r="DG150" s="451"/>
      <c r="DH150" s="451"/>
      <c r="DI150" s="451"/>
      <c r="DJ150" s="451"/>
      <c r="DK150" s="452"/>
      <c r="DL150" s="451"/>
      <c r="DM150" s="451"/>
      <c r="DN150" s="451"/>
      <c r="DO150" s="451"/>
      <c r="DP150" s="452"/>
      <c r="DQ150" s="451"/>
      <c r="DR150" s="451"/>
      <c r="DS150" s="451"/>
      <c r="DT150" s="451"/>
      <c r="DU150" s="452"/>
      <c r="DV150" s="451"/>
      <c r="DW150" s="451"/>
      <c r="DX150" s="451"/>
      <c r="DY150" s="451"/>
      <c r="DZ150" s="452"/>
      <c r="EA150" s="451"/>
      <c r="EB150" s="451"/>
      <c r="EC150" s="451"/>
      <c r="ED150" s="451"/>
      <c r="EE150" s="452"/>
      <c r="EF150" s="451"/>
      <c r="EG150" s="451"/>
      <c r="EH150" s="451"/>
      <c r="EI150" s="451"/>
      <c r="EJ150" s="452"/>
      <c r="EK150" s="451"/>
      <c r="EL150" s="451"/>
      <c r="EM150" s="451"/>
      <c r="EN150" s="451"/>
      <c r="EO150" s="13"/>
    </row>
    <row r="151" spans="4:148" ht="12.75" hidden="1" customHeight="1" x14ac:dyDescent="0.2">
      <c r="D151" s="13" t="s">
        <v>482</v>
      </c>
      <c r="E151" s="198"/>
      <c r="G151" s="451">
        <f>SUM(G152:G153)</f>
        <v>0</v>
      </c>
      <c r="H151" s="451"/>
      <c r="I151" s="451"/>
      <c r="J151" s="452"/>
      <c r="K151" s="451"/>
      <c r="L151" s="451">
        <f>SUM(L152:L153)</f>
        <v>0</v>
      </c>
      <c r="M151" s="451"/>
      <c r="N151" s="451"/>
      <c r="O151" s="452"/>
      <c r="P151" s="451"/>
      <c r="Q151" s="451">
        <f>SUM(Q152:Q153)</f>
        <v>0</v>
      </c>
      <c r="R151" s="451"/>
      <c r="S151" s="451"/>
      <c r="T151" s="452"/>
      <c r="U151" s="451"/>
      <c r="V151" s="451">
        <f>SUM(V152:V153)</f>
        <v>0</v>
      </c>
      <c r="W151" s="451"/>
      <c r="X151" s="451"/>
      <c r="Y151" s="452"/>
      <c r="Z151" s="451"/>
      <c r="AA151" s="451">
        <f>SUM(AA152:AA153)</f>
        <v>0</v>
      </c>
      <c r="AB151" s="451"/>
      <c r="AC151" s="451"/>
      <c r="AD151" s="452"/>
      <c r="AE151" s="451"/>
      <c r="AF151" s="451">
        <f>SUM(AF152:AF153)</f>
        <v>0</v>
      </c>
      <c r="AG151" s="451"/>
      <c r="AH151" s="451"/>
      <c r="AI151" s="452"/>
      <c r="AJ151" s="451"/>
      <c r="AK151" s="451">
        <f>SUM(AK152:AK153)</f>
        <v>0</v>
      </c>
      <c r="AL151" s="451"/>
      <c r="AM151" s="451"/>
      <c r="AN151" s="452"/>
      <c r="AO151" s="451"/>
      <c r="AP151" s="451">
        <f>SUM(AP152:AP153)</f>
        <v>0</v>
      </c>
      <c r="AQ151" s="451"/>
      <c r="AR151" s="451"/>
      <c r="AS151" s="452"/>
      <c r="AT151" s="451"/>
      <c r="AU151" s="451">
        <f>SUM(AU152:AU153)</f>
        <v>0</v>
      </c>
      <c r="AV151" s="451"/>
      <c r="AW151" s="451"/>
      <c r="AX151" s="452"/>
      <c r="AY151" s="451"/>
      <c r="AZ151" s="451">
        <f>SUM(AZ152:AZ153)</f>
        <v>0</v>
      </c>
      <c r="BA151" s="451"/>
      <c r="BB151" s="451"/>
      <c r="BC151" s="452"/>
      <c r="BD151" s="451"/>
      <c r="BE151" s="451">
        <f>SUM(BE152:BE153)</f>
        <v>0</v>
      </c>
      <c r="BF151" s="451"/>
      <c r="BG151" s="451"/>
      <c r="BH151" s="452"/>
      <c r="BI151" s="451"/>
      <c r="BJ151" s="451">
        <f>SUM(BJ152:BJ153)</f>
        <v>0</v>
      </c>
      <c r="BK151" s="451"/>
      <c r="BL151" s="451"/>
      <c r="BM151" s="452"/>
      <c r="BN151" s="451"/>
      <c r="BO151" s="451">
        <f>SUM(BO152:BO153)</f>
        <v>0</v>
      </c>
      <c r="BP151" s="451"/>
      <c r="BQ151" s="451"/>
      <c r="BR151" s="452"/>
      <c r="BS151" s="451"/>
      <c r="BT151" s="451">
        <f>SUM(BT152:BT153)</f>
        <v>0</v>
      </c>
      <c r="BU151" s="451"/>
      <c r="BV151" s="451"/>
      <c r="BW151" s="452"/>
      <c r="BX151" s="451"/>
      <c r="BY151" s="451">
        <v>0</v>
      </c>
      <c r="BZ151" s="451"/>
      <c r="CA151" s="451"/>
      <c r="CB151" s="452"/>
      <c r="CC151" s="451"/>
      <c r="CD151" s="451">
        <f>SUM(CD152:CD153)</f>
        <v>0</v>
      </c>
      <c r="CE151" s="451"/>
      <c r="CF151" s="451"/>
      <c r="CG151" s="452"/>
      <c r="CH151" s="451"/>
      <c r="CI151" s="451">
        <f>SUM(CI152:CI153)</f>
        <v>0</v>
      </c>
      <c r="CJ151" s="451"/>
      <c r="CK151" s="451"/>
      <c r="CL151" s="452"/>
      <c r="CM151" s="451"/>
      <c r="CN151" s="451">
        <f>SUM(CN152:CN153)</f>
        <v>0</v>
      </c>
      <c r="CO151" s="451"/>
      <c r="CP151" s="451"/>
      <c r="CQ151" s="452"/>
      <c r="CR151" s="451"/>
      <c r="CS151" s="451">
        <f>SUM(CS152:CS153)</f>
        <v>0</v>
      </c>
      <c r="CT151" s="451"/>
      <c r="CU151" s="451"/>
      <c r="CV151" s="452"/>
      <c r="CW151" s="451"/>
      <c r="CX151" s="451">
        <f>SUM(CX152:CX153)</f>
        <v>0</v>
      </c>
      <c r="CY151" s="451"/>
      <c r="CZ151" s="451"/>
      <c r="DA151" s="452"/>
      <c r="DB151" s="451"/>
      <c r="DC151" s="451">
        <f>SUM(DC152:DC153)</f>
        <v>0</v>
      </c>
      <c r="DD151" s="451"/>
      <c r="DE151" s="451"/>
      <c r="DF151" s="452"/>
      <c r="DG151" s="451"/>
      <c r="DH151" s="451">
        <f>SUM(DH152:DH153)</f>
        <v>0</v>
      </c>
      <c r="DI151" s="451"/>
      <c r="DJ151" s="451"/>
      <c r="DK151" s="452"/>
      <c r="DL151" s="451"/>
      <c r="DM151" s="451">
        <f>SUM(DM152:DM153)</f>
        <v>0</v>
      </c>
      <c r="DN151" s="451"/>
      <c r="DO151" s="451"/>
      <c r="DP151" s="452"/>
      <c r="DQ151" s="451"/>
      <c r="DR151" s="451">
        <f>SUM(DR152:DR153)</f>
        <v>0</v>
      </c>
      <c r="DS151" s="451"/>
      <c r="DT151" s="451"/>
      <c r="DU151" s="452"/>
      <c r="DV151" s="451"/>
      <c r="DW151" s="451">
        <f>SUM(DW152:DW153)</f>
        <v>0</v>
      </c>
      <c r="DX151" s="451"/>
      <c r="DY151" s="451"/>
      <c r="DZ151" s="452"/>
      <c r="EA151" s="451"/>
      <c r="EB151" s="451">
        <f>SUM(EB152:EB153)</f>
        <v>0</v>
      </c>
      <c r="EC151" s="451"/>
      <c r="ED151" s="451"/>
      <c r="EE151" s="452"/>
      <c r="EF151" s="451"/>
      <c r="EG151" s="451">
        <f>SUM(EG152:EG153)</f>
        <v>0</v>
      </c>
      <c r="EH151" s="451"/>
      <c r="EI151" s="451"/>
      <c r="EJ151" s="452"/>
      <c r="EK151" s="451"/>
      <c r="EL151" s="451">
        <f>SUM(EL152:EL153)</f>
        <v>0</v>
      </c>
      <c r="EM151" s="451"/>
      <c r="EN151" s="451"/>
      <c r="EO151" s="13"/>
    </row>
    <row r="152" spans="4:148" ht="12.75" hidden="1" customHeight="1" x14ac:dyDescent="0.2">
      <c r="D152" s="13" t="s">
        <v>470</v>
      </c>
      <c r="E152" s="198"/>
      <c r="F152" s="374"/>
      <c r="G152" s="449">
        <v>0</v>
      </c>
      <c r="H152" s="450"/>
      <c r="I152" s="451"/>
      <c r="J152" s="452"/>
      <c r="K152" s="453"/>
      <c r="L152" s="449">
        <v>0</v>
      </c>
      <c r="M152" s="450"/>
      <c r="N152" s="451"/>
      <c r="O152" s="452"/>
      <c r="P152" s="453"/>
      <c r="Q152" s="449">
        <v>0</v>
      </c>
      <c r="R152" s="450"/>
      <c r="S152" s="451"/>
      <c r="T152" s="452"/>
      <c r="U152" s="453"/>
      <c r="V152" s="449">
        <v>0</v>
      </c>
      <c r="W152" s="450"/>
      <c r="X152" s="451"/>
      <c r="Y152" s="452"/>
      <c r="Z152" s="453"/>
      <c r="AA152" s="449">
        <v>0</v>
      </c>
      <c r="AB152" s="450"/>
      <c r="AC152" s="451"/>
      <c r="AD152" s="452"/>
      <c r="AE152" s="453"/>
      <c r="AF152" s="449">
        <v>0</v>
      </c>
      <c r="AG152" s="450"/>
      <c r="AH152" s="451"/>
      <c r="AI152" s="452"/>
      <c r="AJ152" s="453"/>
      <c r="AK152" s="449">
        <v>0</v>
      </c>
      <c r="AL152" s="450"/>
      <c r="AM152" s="451"/>
      <c r="AN152" s="452"/>
      <c r="AO152" s="453"/>
      <c r="AP152" s="449">
        <v>0</v>
      </c>
      <c r="AQ152" s="450"/>
      <c r="AR152" s="451"/>
      <c r="AS152" s="452"/>
      <c r="AT152" s="453"/>
      <c r="AU152" s="449">
        <v>0</v>
      </c>
      <c r="AV152" s="450"/>
      <c r="AW152" s="451"/>
      <c r="AX152" s="452"/>
      <c r="AY152" s="453"/>
      <c r="AZ152" s="449">
        <v>0</v>
      </c>
      <c r="BA152" s="450"/>
      <c r="BB152" s="451"/>
      <c r="BC152" s="452"/>
      <c r="BD152" s="453"/>
      <c r="BE152" s="449">
        <v>0</v>
      </c>
      <c r="BF152" s="450"/>
      <c r="BG152" s="451"/>
      <c r="BH152" s="452"/>
      <c r="BI152" s="453"/>
      <c r="BJ152" s="449">
        <v>0</v>
      </c>
      <c r="BK152" s="450"/>
      <c r="BL152" s="451"/>
      <c r="BM152" s="452"/>
      <c r="BN152" s="453"/>
      <c r="BO152" s="449">
        <v>0</v>
      </c>
      <c r="BP152" s="450"/>
      <c r="BQ152" s="451"/>
      <c r="BR152" s="452"/>
      <c r="BS152" s="453"/>
      <c r="BT152" s="449">
        <f>SUM(L152:BO152)</f>
        <v>0</v>
      </c>
      <c r="BU152" s="450"/>
      <c r="BV152" s="451"/>
      <c r="BW152" s="452"/>
      <c r="BX152" s="453"/>
      <c r="BY152" s="449">
        <v>0</v>
      </c>
      <c r="BZ152" s="450"/>
      <c r="CA152" s="451"/>
      <c r="CB152" s="452"/>
      <c r="CC152" s="453"/>
      <c r="CD152" s="449">
        <v>0</v>
      </c>
      <c r="CE152" s="450"/>
      <c r="CF152" s="451"/>
      <c r="CG152" s="452"/>
      <c r="CH152" s="453"/>
      <c r="CI152" s="449">
        <v>0</v>
      </c>
      <c r="CJ152" s="450"/>
      <c r="CK152" s="451"/>
      <c r="CL152" s="452"/>
      <c r="CM152" s="453"/>
      <c r="CN152" s="449">
        <v>0</v>
      </c>
      <c r="CO152" s="450"/>
      <c r="CP152" s="451"/>
      <c r="CQ152" s="452"/>
      <c r="CR152" s="453"/>
      <c r="CS152" s="449">
        <v>0</v>
      </c>
      <c r="CT152" s="450"/>
      <c r="CU152" s="451"/>
      <c r="CV152" s="452"/>
      <c r="CW152" s="453"/>
      <c r="CX152" s="449">
        <v>0</v>
      </c>
      <c r="CY152" s="450"/>
      <c r="CZ152" s="451"/>
      <c r="DA152" s="452"/>
      <c r="DB152" s="453"/>
      <c r="DC152" s="449">
        <v>0</v>
      </c>
      <c r="DD152" s="450"/>
      <c r="DE152" s="451"/>
      <c r="DF152" s="452"/>
      <c r="DG152" s="453"/>
      <c r="DH152" s="449">
        <v>0</v>
      </c>
      <c r="DI152" s="450"/>
      <c r="DJ152" s="451"/>
      <c r="DK152" s="452"/>
      <c r="DL152" s="453"/>
      <c r="DM152" s="449">
        <v>0</v>
      </c>
      <c r="DN152" s="450"/>
      <c r="DO152" s="451"/>
      <c r="DP152" s="452"/>
      <c r="DQ152" s="453"/>
      <c r="DR152" s="449">
        <v>0</v>
      </c>
      <c r="DS152" s="450"/>
      <c r="DT152" s="451"/>
      <c r="DU152" s="452"/>
      <c r="DV152" s="453"/>
      <c r="DW152" s="449">
        <v>0</v>
      </c>
      <c r="DX152" s="450"/>
      <c r="DY152" s="451"/>
      <c r="DZ152" s="452"/>
      <c r="EA152" s="453"/>
      <c r="EB152" s="449">
        <v>0</v>
      </c>
      <c r="EC152" s="450"/>
      <c r="ED152" s="451"/>
      <c r="EE152" s="452"/>
      <c r="EF152" s="453"/>
      <c r="EG152" s="449">
        <v>0</v>
      </c>
      <c r="EH152" s="450"/>
      <c r="EI152" s="451"/>
      <c r="EJ152" s="452"/>
      <c r="EK152" s="453"/>
      <c r="EL152" s="449">
        <f>SUM(CD152:EG152)</f>
        <v>0</v>
      </c>
      <c r="EM152" s="450"/>
      <c r="EN152" s="451"/>
      <c r="EO152" s="13"/>
    </row>
    <row r="153" spans="4:148" ht="12.75" hidden="1" customHeight="1" x14ac:dyDescent="0.2">
      <c r="D153" s="13" t="s">
        <v>471</v>
      </c>
      <c r="E153" s="198"/>
      <c r="F153" s="385"/>
      <c r="G153" s="463">
        <v>0</v>
      </c>
      <c r="H153" s="464"/>
      <c r="I153" s="451"/>
      <c r="J153" s="452"/>
      <c r="K153" s="465"/>
      <c r="L153" s="463">
        <v>0</v>
      </c>
      <c r="M153" s="464"/>
      <c r="N153" s="451"/>
      <c r="O153" s="452"/>
      <c r="P153" s="465"/>
      <c r="Q153" s="463">
        <v>0</v>
      </c>
      <c r="R153" s="464"/>
      <c r="S153" s="451"/>
      <c r="T153" s="452"/>
      <c r="U153" s="465"/>
      <c r="V153" s="463">
        <v>0</v>
      </c>
      <c r="W153" s="464"/>
      <c r="X153" s="451"/>
      <c r="Y153" s="452"/>
      <c r="Z153" s="465"/>
      <c r="AA153" s="463">
        <v>0</v>
      </c>
      <c r="AB153" s="464"/>
      <c r="AC153" s="451"/>
      <c r="AD153" s="452"/>
      <c r="AE153" s="465"/>
      <c r="AF153" s="463">
        <v>0</v>
      </c>
      <c r="AG153" s="464"/>
      <c r="AH153" s="451"/>
      <c r="AI153" s="452"/>
      <c r="AJ153" s="465"/>
      <c r="AK153" s="463">
        <v>0</v>
      </c>
      <c r="AL153" s="464"/>
      <c r="AM153" s="451"/>
      <c r="AN153" s="452"/>
      <c r="AO153" s="465"/>
      <c r="AP153" s="463">
        <v>0</v>
      </c>
      <c r="AQ153" s="464"/>
      <c r="AR153" s="451"/>
      <c r="AS153" s="452"/>
      <c r="AT153" s="465"/>
      <c r="AU153" s="463">
        <v>0</v>
      </c>
      <c r="AV153" s="464"/>
      <c r="AW153" s="451"/>
      <c r="AX153" s="452"/>
      <c r="AY153" s="465"/>
      <c r="AZ153" s="463">
        <v>0</v>
      </c>
      <c r="BA153" s="464"/>
      <c r="BB153" s="451"/>
      <c r="BC153" s="452"/>
      <c r="BD153" s="465"/>
      <c r="BE153" s="463">
        <v>0</v>
      </c>
      <c r="BF153" s="464"/>
      <c r="BG153" s="451"/>
      <c r="BH153" s="452"/>
      <c r="BI153" s="465"/>
      <c r="BJ153" s="463">
        <v>0</v>
      </c>
      <c r="BK153" s="464"/>
      <c r="BL153" s="451"/>
      <c r="BM153" s="452"/>
      <c r="BN153" s="465"/>
      <c r="BO153" s="463">
        <v>0</v>
      </c>
      <c r="BP153" s="464"/>
      <c r="BQ153" s="451"/>
      <c r="BR153" s="452"/>
      <c r="BS153" s="465"/>
      <c r="BT153" s="463">
        <f>SUM(L153:BO153)</f>
        <v>0</v>
      </c>
      <c r="BU153" s="464"/>
      <c r="BV153" s="451"/>
      <c r="BW153" s="452"/>
      <c r="BX153" s="465"/>
      <c r="BY153" s="463">
        <v>0</v>
      </c>
      <c r="BZ153" s="464"/>
      <c r="CA153" s="451"/>
      <c r="CB153" s="452"/>
      <c r="CC153" s="465"/>
      <c r="CD153" s="463">
        <v>0</v>
      </c>
      <c r="CE153" s="464"/>
      <c r="CF153" s="451"/>
      <c r="CG153" s="452"/>
      <c r="CH153" s="465"/>
      <c r="CI153" s="463">
        <v>0</v>
      </c>
      <c r="CJ153" s="464"/>
      <c r="CK153" s="451"/>
      <c r="CL153" s="452"/>
      <c r="CM153" s="465"/>
      <c r="CN153" s="463">
        <v>0</v>
      </c>
      <c r="CO153" s="464"/>
      <c r="CP153" s="451"/>
      <c r="CQ153" s="452"/>
      <c r="CR153" s="465"/>
      <c r="CS153" s="463">
        <v>0</v>
      </c>
      <c r="CT153" s="464"/>
      <c r="CU153" s="451"/>
      <c r="CV153" s="452"/>
      <c r="CW153" s="465"/>
      <c r="CX153" s="463">
        <v>0</v>
      </c>
      <c r="CY153" s="464"/>
      <c r="CZ153" s="451"/>
      <c r="DA153" s="452"/>
      <c r="DB153" s="465"/>
      <c r="DC153" s="463">
        <v>0</v>
      </c>
      <c r="DD153" s="464"/>
      <c r="DE153" s="451"/>
      <c r="DF153" s="452"/>
      <c r="DG153" s="465"/>
      <c r="DH153" s="463">
        <v>0</v>
      </c>
      <c r="DI153" s="464"/>
      <c r="DJ153" s="451"/>
      <c r="DK153" s="452"/>
      <c r="DL153" s="465"/>
      <c r="DM153" s="463">
        <v>0</v>
      </c>
      <c r="DN153" s="464"/>
      <c r="DO153" s="451"/>
      <c r="DP153" s="452"/>
      <c r="DQ153" s="465"/>
      <c r="DR153" s="463">
        <v>0</v>
      </c>
      <c r="DS153" s="464"/>
      <c r="DT153" s="451"/>
      <c r="DU153" s="452"/>
      <c r="DV153" s="465"/>
      <c r="DW153" s="463">
        <v>0</v>
      </c>
      <c r="DX153" s="464"/>
      <c r="DY153" s="451"/>
      <c r="DZ153" s="452"/>
      <c r="EA153" s="465"/>
      <c r="EB153" s="463">
        <v>0</v>
      </c>
      <c r="EC153" s="464"/>
      <c r="ED153" s="451"/>
      <c r="EE153" s="452"/>
      <c r="EF153" s="465"/>
      <c r="EG153" s="463">
        <v>0</v>
      </c>
      <c r="EH153" s="464"/>
      <c r="EI153" s="451"/>
      <c r="EJ153" s="452"/>
      <c r="EK153" s="465"/>
      <c r="EL153" s="463">
        <f>SUM(CD153:EG153)</f>
        <v>0</v>
      </c>
      <c r="EM153" s="464"/>
      <c r="EN153" s="451"/>
      <c r="EO153" s="13"/>
    </row>
    <row r="154" spans="4:148" ht="12.75" hidden="1" customHeight="1" x14ac:dyDescent="0.2">
      <c r="D154" s="13"/>
      <c r="E154" s="198"/>
      <c r="G154" s="451"/>
      <c r="H154" s="451"/>
      <c r="I154" s="451"/>
      <c r="J154" s="452"/>
      <c r="K154" s="451"/>
      <c r="L154" s="451"/>
      <c r="M154" s="451"/>
      <c r="N154" s="451"/>
      <c r="O154" s="452"/>
      <c r="P154" s="451"/>
      <c r="Q154" s="451"/>
      <c r="R154" s="451"/>
      <c r="S154" s="451"/>
      <c r="T154" s="452"/>
      <c r="U154" s="451"/>
      <c r="V154" s="451"/>
      <c r="W154" s="451"/>
      <c r="X154" s="451"/>
      <c r="Y154" s="452"/>
      <c r="Z154" s="451"/>
      <c r="AA154" s="451"/>
      <c r="AB154" s="451"/>
      <c r="AC154" s="451"/>
      <c r="AD154" s="452"/>
      <c r="AE154" s="451"/>
      <c r="AF154" s="451"/>
      <c r="AG154" s="451"/>
      <c r="AH154" s="451"/>
      <c r="AI154" s="452"/>
      <c r="AJ154" s="451"/>
      <c r="AK154" s="451"/>
      <c r="AL154" s="451"/>
      <c r="AM154" s="451"/>
      <c r="AN154" s="452"/>
      <c r="AO154" s="451"/>
      <c r="AP154" s="451"/>
      <c r="AQ154" s="451"/>
      <c r="AR154" s="451"/>
      <c r="AS154" s="452"/>
      <c r="AT154" s="451"/>
      <c r="AU154" s="451"/>
      <c r="AV154" s="451"/>
      <c r="AW154" s="451"/>
      <c r="AX154" s="452"/>
      <c r="AY154" s="451"/>
      <c r="AZ154" s="451"/>
      <c r="BA154" s="451"/>
      <c r="BB154" s="451"/>
      <c r="BC154" s="452"/>
      <c r="BD154" s="451"/>
      <c r="BE154" s="451"/>
      <c r="BF154" s="451"/>
      <c r="BG154" s="451"/>
      <c r="BH154" s="452"/>
      <c r="BI154" s="451"/>
      <c r="BJ154" s="451"/>
      <c r="BK154" s="451"/>
      <c r="BL154" s="451"/>
      <c r="BM154" s="452"/>
      <c r="BN154" s="451"/>
      <c r="BO154" s="451"/>
      <c r="BP154" s="451"/>
      <c r="BQ154" s="451"/>
      <c r="BR154" s="452"/>
      <c r="BS154" s="451"/>
      <c r="BT154" s="451"/>
      <c r="BU154" s="451"/>
      <c r="BV154" s="451"/>
      <c r="BW154" s="452"/>
      <c r="BX154" s="451"/>
      <c r="BY154" s="451"/>
      <c r="BZ154" s="451"/>
      <c r="CA154" s="451"/>
      <c r="CB154" s="452"/>
      <c r="CC154" s="451"/>
      <c r="CD154" s="451"/>
      <c r="CE154" s="451"/>
      <c r="CF154" s="451"/>
      <c r="CG154" s="452"/>
      <c r="CH154" s="451"/>
      <c r="CI154" s="451"/>
      <c r="CJ154" s="451"/>
      <c r="CK154" s="451"/>
      <c r="CL154" s="452"/>
      <c r="CM154" s="451"/>
      <c r="CN154" s="451"/>
      <c r="CO154" s="451"/>
      <c r="CP154" s="451"/>
      <c r="CQ154" s="452"/>
      <c r="CR154" s="451"/>
      <c r="CS154" s="451"/>
      <c r="CT154" s="451"/>
      <c r="CU154" s="451"/>
      <c r="CV154" s="452"/>
      <c r="CW154" s="451"/>
      <c r="CX154" s="451"/>
      <c r="CY154" s="451"/>
      <c r="CZ154" s="451"/>
      <c r="DA154" s="452"/>
      <c r="DB154" s="451"/>
      <c r="DC154" s="451"/>
      <c r="DD154" s="451"/>
      <c r="DE154" s="451"/>
      <c r="DF154" s="452"/>
      <c r="DG154" s="451"/>
      <c r="DH154" s="451"/>
      <c r="DI154" s="451"/>
      <c r="DJ154" s="451"/>
      <c r="DK154" s="452"/>
      <c r="DL154" s="451"/>
      <c r="DM154" s="451"/>
      <c r="DN154" s="451"/>
      <c r="DO154" s="451"/>
      <c r="DP154" s="452"/>
      <c r="DQ154" s="451"/>
      <c r="DR154" s="451"/>
      <c r="DS154" s="451"/>
      <c r="DT154" s="451"/>
      <c r="DU154" s="452"/>
      <c r="DV154" s="451"/>
      <c r="DW154" s="451"/>
      <c r="DX154" s="451"/>
      <c r="DY154" s="451"/>
      <c r="DZ154" s="452"/>
      <c r="EA154" s="451"/>
      <c r="EB154" s="451"/>
      <c r="EC154" s="451"/>
      <c r="ED154" s="451"/>
      <c r="EE154" s="452"/>
      <c r="EF154" s="451"/>
      <c r="EG154" s="451"/>
      <c r="EH154" s="451"/>
      <c r="EI154" s="451"/>
      <c r="EJ154" s="452"/>
      <c r="EK154" s="451"/>
      <c r="EL154" s="451"/>
      <c r="EM154" s="451"/>
      <c r="EN154" s="451"/>
      <c r="EO154" s="13"/>
    </row>
    <row r="155" spans="4:148" s="14" customFormat="1" ht="12.75" hidden="1" customHeight="1" x14ac:dyDescent="0.2">
      <c r="D155" s="93" t="s">
        <v>483</v>
      </c>
      <c r="E155" s="180"/>
      <c r="G155" s="446">
        <f>SUM(G156:G157)</f>
        <v>0</v>
      </c>
      <c r="H155" s="446"/>
      <c r="I155" s="446"/>
      <c r="J155" s="447"/>
      <c r="K155" s="446"/>
      <c r="L155" s="446">
        <f>SUM(L156:L157)</f>
        <v>0</v>
      </c>
      <c r="M155" s="446"/>
      <c r="N155" s="446"/>
      <c r="O155" s="447"/>
      <c r="P155" s="446"/>
      <c r="Q155" s="446">
        <f>SUM(Q156:Q157)</f>
        <v>0</v>
      </c>
      <c r="R155" s="446"/>
      <c r="S155" s="446"/>
      <c r="T155" s="447"/>
      <c r="U155" s="446"/>
      <c r="V155" s="446">
        <f>SUM(V156:V157)</f>
        <v>0</v>
      </c>
      <c r="W155" s="446"/>
      <c r="X155" s="446"/>
      <c r="Y155" s="447"/>
      <c r="Z155" s="446"/>
      <c r="AA155" s="446">
        <f>SUM(AA156:AA157)</f>
        <v>0</v>
      </c>
      <c r="AB155" s="446"/>
      <c r="AC155" s="446"/>
      <c r="AD155" s="447"/>
      <c r="AE155" s="446"/>
      <c r="AF155" s="446">
        <f>SUM(AF156:AF157)</f>
        <v>0</v>
      </c>
      <c r="AG155" s="446"/>
      <c r="AH155" s="446"/>
      <c r="AI155" s="447"/>
      <c r="AJ155" s="446"/>
      <c r="AK155" s="446">
        <f>SUM(AK156:AK157)</f>
        <v>0</v>
      </c>
      <c r="AL155" s="446"/>
      <c r="AM155" s="446"/>
      <c r="AN155" s="447"/>
      <c r="AO155" s="446"/>
      <c r="AP155" s="446">
        <f>SUM(AP156:AP157)</f>
        <v>0</v>
      </c>
      <c r="AQ155" s="446"/>
      <c r="AR155" s="446"/>
      <c r="AS155" s="447"/>
      <c r="AT155" s="446"/>
      <c r="AU155" s="446">
        <f>SUM(AU156:AU157)</f>
        <v>0</v>
      </c>
      <c r="AV155" s="446"/>
      <c r="AW155" s="446"/>
      <c r="AX155" s="447"/>
      <c r="AY155" s="446"/>
      <c r="AZ155" s="446">
        <f>SUM(AZ156:AZ157)</f>
        <v>0</v>
      </c>
      <c r="BA155" s="446"/>
      <c r="BB155" s="446"/>
      <c r="BC155" s="447"/>
      <c r="BD155" s="446"/>
      <c r="BE155" s="446">
        <f>SUM(BE156:BE157)</f>
        <v>0</v>
      </c>
      <c r="BF155" s="446"/>
      <c r="BG155" s="446"/>
      <c r="BH155" s="447"/>
      <c r="BI155" s="446"/>
      <c r="BJ155" s="446">
        <f>SUM(BJ156:BJ157)</f>
        <v>0</v>
      </c>
      <c r="BK155" s="446"/>
      <c r="BL155" s="446"/>
      <c r="BM155" s="447"/>
      <c r="BN155" s="446"/>
      <c r="BO155" s="446">
        <f>SUM(BO156:BO157)</f>
        <v>0</v>
      </c>
      <c r="BP155" s="446"/>
      <c r="BQ155" s="446"/>
      <c r="BR155" s="447"/>
      <c r="BS155" s="446"/>
      <c r="BT155" s="446">
        <f>SUM(BT156:BT157)</f>
        <v>0</v>
      </c>
      <c r="BU155" s="446"/>
      <c r="BV155" s="446"/>
      <c r="BW155" s="447"/>
      <c r="BX155" s="446"/>
      <c r="BY155" s="446">
        <f>SUM(BY156:BY157)</f>
        <v>0</v>
      </c>
      <c r="BZ155" s="446"/>
      <c r="CA155" s="446"/>
      <c r="CB155" s="447"/>
      <c r="CC155" s="446"/>
      <c r="CD155" s="446">
        <f>SUM(CD156:CD157)</f>
        <v>0</v>
      </c>
      <c r="CE155" s="446"/>
      <c r="CF155" s="446"/>
      <c r="CG155" s="447"/>
      <c r="CH155" s="446"/>
      <c r="CI155" s="446">
        <f>SUM(CI156:CI157)</f>
        <v>0</v>
      </c>
      <c r="CJ155" s="446"/>
      <c r="CK155" s="446"/>
      <c r="CL155" s="447"/>
      <c r="CM155" s="446"/>
      <c r="CN155" s="446">
        <f>SUM(CN156:CN157)</f>
        <v>0</v>
      </c>
      <c r="CO155" s="446"/>
      <c r="CP155" s="446"/>
      <c r="CQ155" s="447"/>
      <c r="CR155" s="446"/>
      <c r="CS155" s="446">
        <f>SUM(CS156:CS157)</f>
        <v>0</v>
      </c>
      <c r="CT155" s="446"/>
      <c r="CU155" s="446"/>
      <c r="CV155" s="447"/>
      <c r="CW155" s="446"/>
      <c r="CX155" s="446">
        <f>SUM(CX156:CX157)</f>
        <v>0</v>
      </c>
      <c r="CY155" s="446"/>
      <c r="CZ155" s="446"/>
      <c r="DA155" s="447"/>
      <c r="DB155" s="446"/>
      <c r="DC155" s="446">
        <f>SUM(DC156:DC157)</f>
        <v>0</v>
      </c>
      <c r="DD155" s="446"/>
      <c r="DE155" s="446"/>
      <c r="DF155" s="447"/>
      <c r="DG155" s="446"/>
      <c r="DH155" s="446">
        <f>SUM(DH156:DH157)</f>
        <v>0</v>
      </c>
      <c r="DI155" s="446"/>
      <c r="DJ155" s="446"/>
      <c r="DK155" s="447"/>
      <c r="DL155" s="446"/>
      <c r="DM155" s="446">
        <f>SUM(DM156:DM157)</f>
        <v>0</v>
      </c>
      <c r="DN155" s="446"/>
      <c r="DO155" s="446"/>
      <c r="DP155" s="447"/>
      <c r="DQ155" s="446"/>
      <c r="DR155" s="446">
        <f>SUM(DR156:DR157)</f>
        <v>0</v>
      </c>
      <c r="DS155" s="446"/>
      <c r="DT155" s="446"/>
      <c r="DU155" s="447"/>
      <c r="DV155" s="446"/>
      <c r="DW155" s="446">
        <f>SUM(DW156:DW157)</f>
        <v>0</v>
      </c>
      <c r="DX155" s="446"/>
      <c r="DY155" s="446"/>
      <c r="DZ155" s="447"/>
      <c r="EA155" s="446"/>
      <c r="EB155" s="446">
        <f>SUM(EB156:EB157)</f>
        <v>0</v>
      </c>
      <c r="EC155" s="446"/>
      <c r="ED155" s="446"/>
      <c r="EE155" s="447"/>
      <c r="EF155" s="446"/>
      <c r="EG155" s="446">
        <f>SUM(EG156:EG157)</f>
        <v>0</v>
      </c>
      <c r="EH155" s="446"/>
      <c r="EI155" s="446"/>
      <c r="EJ155" s="447"/>
      <c r="EK155" s="446"/>
      <c r="EL155" s="446">
        <f>SUM(EL156:EL157)</f>
        <v>0</v>
      </c>
      <c r="EM155" s="446"/>
      <c r="EN155" s="446"/>
      <c r="EO155" s="93"/>
      <c r="EQ155" s="1"/>
      <c r="ER155" s="1"/>
    </row>
    <row r="156" spans="4:148" ht="12.75" hidden="1" customHeight="1" x14ac:dyDescent="0.2">
      <c r="D156" s="13" t="s">
        <v>470</v>
      </c>
      <c r="E156" s="198"/>
      <c r="F156" s="374"/>
      <c r="G156" s="449">
        <v>0</v>
      </c>
      <c r="H156" s="450"/>
      <c r="I156" s="451"/>
      <c r="J156" s="452"/>
      <c r="K156" s="453"/>
      <c r="L156" s="449">
        <f>L160+L164</f>
        <v>0</v>
      </c>
      <c r="M156" s="450"/>
      <c r="N156" s="451"/>
      <c r="O156" s="452"/>
      <c r="P156" s="453"/>
      <c r="Q156" s="449">
        <f>Q160+Q164</f>
        <v>0</v>
      </c>
      <c r="R156" s="450"/>
      <c r="S156" s="451"/>
      <c r="T156" s="452"/>
      <c r="U156" s="453"/>
      <c r="V156" s="449">
        <f>V160+V164</f>
        <v>0</v>
      </c>
      <c r="W156" s="450"/>
      <c r="X156" s="451"/>
      <c r="Y156" s="452"/>
      <c r="Z156" s="453"/>
      <c r="AA156" s="449">
        <f>AA160+AA164</f>
        <v>0</v>
      </c>
      <c r="AB156" s="450"/>
      <c r="AC156" s="451"/>
      <c r="AD156" s="452"/>
      <c r="AE156" s="453"/>
      <c r="AF156" s="449">
        <f>AF160+AF164</f>
        <v>0</v>
      </c>
      <c r="AG156" s="450"/>
      <c r="AH156" s="451"/>
      <c r="AI156" s="452"/>
      <c r="AJ156" s="453"/>
      <c r="AK156" s="449">
        <f>AK160+AK164</f>
        <v>0</v>
      </c>
      <c r="AL156" s="450"/>
      <c r="AM156" s="451"/>
      <c r="AN156" s="452"/>
      <c r="AO156" s="453"/>
      <c r="AP156" s="449">
        <v>0</v>
      </c>
      <c r="AQ156" s="450"/>
      <c r="AR156" s="451"/>
      <c r="AS156" s="452"/>
      <c r="AT156" s="453"/>
      <c r="AU156" s="449">
        <f>AU160+AU164</f>
        <v>0</v>
      </c>
      <c r="AV156" s="450"/>
      <c r="AW156" s="451"/>
      <c r="AX156" s="452"/>
      <c r="AY156" s="453"/>
      <c r="AZ156" s="449">
        <f>AZ160+AZ164</f>
        <v>0</v>
      </c>
      <c r="BA156" s="450"/>
      <c r="BB156" s="451"/>
      <c r="BC156" s="452"/>
      <c r="BD156" s="453"/>
      <c r="BE156" s="449">
        <f>BE160+BE164</f>
        <v>0</v>
      </c>
      <c r="BF156" s="450"/>
      <c r="BG156" s="451"/>
      <c r="BH156" s="452"/>
      <c r="BI156" s="453"/>
      <c r="BJ156" s="449">
        <f>BJ160+BJ164</f>
        <v>0</v>
      </c>
      <c r="BK156" s="450"/>
      <c r="BL156" s="451"/>
      <c r="BM156" s="452"/>
      <c r="BN156" s="453"/>
      <c r="BO156" s="449">
        <f>BO160+BO164</f>
        <v>0</v>
      </c>
      <c r="BP156" s="450"/>
      <c r="BQ156" s="451"/>
      <c r="BR156" s="452"/>
      <c r="BS156" s="453"/>
      <c r="BT156" s="449">
        <f>BT160+BT164</f>
        <v>0</v>
      </c>
      <c r="BU156" s="450"/>
      <c r="BV156" s="451"/>
      <c r="BW156" s="452"/>
      <c r="BX156" s="453"/>
      <c r="BY156" s="449">
        <v>0</v>
      </c>
      <c r="BZ156" s="450"/>
      <c r="CA156" s="451"/>
      <c r="CB156" s="452"/>
      <c r="CC156" s="453"/>
      <c r="CD156" s="449">
        <f>CD160+CD164</f>
        <v>0</v>
      </c>
      <c r="CE156" s="450"/>
      <c r="CF156" s="451"/>
      <c r="CG156" s="452"/>
      <c r="CH156" s="453"/>
      <c r="CI156" s="449">
        <f>CI160+CI164</f>
        <v>0</v>
      </c>
      <c r="CJ156" s="450"/>
      <c r="CK156" s="451"/>
      <c r="CL156" s="452"/>
      <c r="CM156" s="453"/>
      <c r="CN156" s="449">
        <f>CN160+CN164</f>
        <v>0</v>
      </c>
      <c r="CO156" s="450"/>
      <c r="CP156" s="451"/>
      <c r="CQ156" s="452"/>
      <c r="CR156" s="453"/>
      <c r="CS156" s="449">
        <f>CS160+CS164</f>
        <v>0</v>
      </c>
      <c r="CT156" s="450"/>
      <c r="CU156" s="451"/>
      <c r="CV156" s="452"/>
      <c r="CW156" s="453"/>
      <c r="CX156" s="449">
        <f>CX160+CX164</f>
        <v>0</v>
      </c>
      <c r="CY156" s="450"/>
      <c r="CZ156" s="451"/>
      <c r="DA156" s="452"/>
      <c r="DB156" s="453"/>
      <c r="DC156" s="449">
        <f>DC160+DC164</f>
        <v>0</v>
      </c>
      <c r="DD156" s="450"/>
      <c r="DE156" s="451"/>
      <c r="DF156" s="452"/>
      <c r="DG156" s="453"/>
      <c r="DH156" s="449">
        <v>0</v>
      </c>
      <c r="DI156" s="450"/>
      <c r="DJ156" s="451"/>
      <c r="DK156" s="452"/>
      <c r="DL156" s="453"/>
      <c r="DM156" s="449">
        <f>DM160+DM164</f>
        <v>0</v>
      </c>
      <c r="DN156" s="450"/>
      <c r="DO156" s="451"/>
      <c r="DP156" s="452"/>
      <c r="DQ156" s="453"/>
      <c r="DR156" s="449">
        <f>DR160+DR164</f>
        <v>0</v>
      </c>
      <c r="DS156" s="450"/>
      <c r="DT156" s="451"/>
      <c r="DU156" s="452"/>
      <c r="DV156" s="453"/>
      <c r="DW156" s="449">
        <f>DW160+DW164</f>
        <v>0</v>
      </c>
      <c r="DX156" s="450"/>
      <c r="DY156" s="451"/>
      <c r="DZ156" s="452"/>
      <c r="EA156" s="453"/>
      <c r="EB156" s="449">
        <f>EB160+EB164</f>
        <v>0</v>
      </c>
      <c r="EC156" s="450"/>
      <c r="ED156" s="451"/>
      <c r="EE156" s="452"/>
      <c r="EF156" s="453"/>
      <c r="EG156" s="449">
        <f>EG160+EG164</f>
        <v>0</v>
      </c>
      <c r="EH156" s="450"/>
      <c r="EI156" s="451"/>
      <c r="EJ156" s="452"/>
      <c r="EK156" s="453"/>
      <c r="EL156" s="449">
        <f>EL160+EL164</f>
        <v>0</v>
      </c>
      <c r="EM156" s="450"/>
      <c r="EN156" s="451"/>
      <c r="EO156" s="13"/>
    </row>
    <row r="157" spans="4:148" ht="12.75" hidden="1" customHeight="1" x14ac:dyDescent="0.2">
      <c r="D157" s="13" t="s">
        <v>471</v>
      </c>
      <c r="E157" s="198"/>
      <c r="F157" s="385"/>
      <c r="G157" s="463">
        <v>0</v>
      </c>
      <c r="H157" s="464"/>
      <c r="I157" s="451"/>
      <c r="J157" s="452"/>
      <c r="K157" s="465"/>
      <c r="L157" s="463">
        <f>L161+L165</f>
        <v>0</v>
      </c>
      <c r="M157" s="464"/>
      <c r="N157" s="451"/>
      <c r="O157" s="452"/>
      <c r="P157" s="465"/>
      <c r="Q157" s="463">
        <f>Q161+Q165</f>
        <v>0</v>
      </c>
      <c r="R157" s="464"/>
      <c r="S157" s="451"/>
      <c r="T157" s="452"/>
      <c r="U157" s="465"/>
      <c r="V157" s="463">
        <f>V161+V165</f>
        <v>0</v>
      </c>
      <c r="W157" s="464"/>
      <c r="X157" s="451"/>
      <c r="Y157" s="452"/>
      <c r="Z157" s="465"/>
      <c r="AA157" s="463">
        <f>AA161+AA165</f>
        <v>0</v>
      </c>
      <c r="AB157" s="464"/>
      <c r="AC157" s="451"/>
      <c r="AD157" s="452"/>
      <c r="AE157" s="465"/>
      <c r="AF157" s="463">
        <f>AF161+AF165</f>
        <v>0</v>
      </c>
      <c r="AG157" s="464"/>
      <c r="AH157" s="451"/>
      <c r="AI157" s="452"/>
      <c r="AJ157" s="465"/>
      <c r="AK157" s="463">
        <f>AK161+AK165</f>
        <v>0</v>
      </c>
      <c r="AL157" s="464"/>
      <c r="AM157" s="451"/>
      <c r="AN157" s="452"/>
      <c r="AO157" s="465"/>
      <c r="AP157" s="463">
        <v>0</v>
      </c>
      <c r="AQ157" s="464"/>
      <c r="AR157" s="451"/>
      <c r="AS157" s="452"/>
      <c r="AT157" s="465"/>
      <c r="AU157" s="463">
        <f>AU161+AU165</f>
        <v>0</v>
      </c>
      <c r="AV157" s="464"/>
      <c r="AW157" s="451"/>
      <c r="AX157" s="452"/>
      <c r="AY157" s="465"/>
      <c r="AZ157" s="463">
        <f>AZ161+AZ165</f>
        <v>0</v>
      </c>
      <c r="BA157" s="464"/>
      <c r="BB157" s="451"/>
      <c r="BC157" s="452"/>
      <c r="BD157" s="465"/>
      <c r="BE157" s="463">
        <f>BE161+BE165</f>
        <v>0</v>
      </c>
      <c r="BF157" s="464"/>
      <c r="BG157" s="451"/>
      <c r="BH157" s="452"/>
      <c r="BI157" s="465"/>
      <c r="BJ157" s="463">
        <f>BJ161+BJ165</f>
        <v>0</v>
      </c>
      <c r="BK157" s="464"/>
      <c r="BL157" s="451"/>
      <c r="BM157" s="452"/>
      <c r="BN157" s="465"/>
      <c r="BO157" s="463">
        <f>BO161+BO165</f>
        <v>0</v>
      </c>
      <c r="BP157" s="464"/>
      <c r="BQ157" s="451"/>
      <c r="BR157" s="452"/>
      <c r="BS157" s="465"/>
      <c r="BT157" s="463">
        <f>BT161+BT165</f>
        <v>0</v>
      </c>
      <c r="BU157" s="464"/>
      <c r="BV157" s="451"/>
      <c r="BW157" s="452"/>
      <c r="BX157" s="465"/>
      <c r="BY157" s="463">
        <v>0</v>
      </c>
      <c r="BZ157" s="464"/>
      <c r="CA157" s="451"/>
      <c r="CB157" s="452"/>
      <c r="CC157" s="465"/>
      <c r="CD157" s="463">
        <f>CD161+CD165</f>
        <v>0</v>
      </c>
      <c r="CE157" s="464"/>
      <c r="CF157" s="451"/>
      <c r="CG157" s="452"/>
      <c r="CH157" s="465"/>
      <c r="CI157" s="463">
        <f>CI161+CI165</f>
        <v>0</v>
      </c>
      <c r="CJ157" s="464"/>
      <c r="CK157" s="451"/>
      <c r="CL157" s="452"/>
      <c r="CM157" s="465"/>
      <c r="CN157" s="463">
        <f>CN161+CN165</f>
        <v>0</v>
      </c>
      <c r="CO157" s="464"/>
      <c r="CP157" s="451"/>
      <c r="CQ157" s="452"/>
      <c r="CR157" s="465"/>
      <c r="CS157" s="463">
        <f>CS161+CS165</f>
        <v>0</v>
      </c>
      <c r="CT157" s="464"/>
      <c r="CU157" s="451"/>
      <c r="CV157" s="452"/>
      <c r="CW157" s="465"/>
      <c r="CX157" s="463">
        <f>CX161+CX165</f>
        <v>0</v>
      </c>
      <c r="CY157" s="464"/>
      <c r="CZ157" s="451"/>
      <c r="DA157" s="452"/>
      <c r="DB157" s="465"/>
      <c r="DC157" s="463">
        <f>DC161+DC165</f>
        <v>0</v>
      </c>
      <c r="DD157" s="464"/>
      <c r="DE157" s="451"/>
      <c r="DF157" s="452"/>
      <c r="DG157" s="465"/>
      <c r="DH157" s="463">
        <v>0</v>
      </c>
      <c r="DI157" s="464"/>
      <c r="DJ157" s="451"/>
      <c r="DK157" s="452"/>
      <c r="DL157" s="465"/>
      <c r="DM157" s="463">
        <f>DM161+DM165</f>
        <v>0</v>
      </c>
      <c r="DN157" s="464"/>
      <c r="DO157" s="451"/>
      <c r="DP157" s="452"/>
      <c r="DQ157" s="465"/>
      <c r="DR157" s="463">
        <f>DR161+DR165</f>
        <v>0</v>
      </c>
      <c r="DS157" s="464"/>
      <c r="DT157" s="451"/>
      <c r="DU157" s="452"/>
      <c r="DV157" s="465"/>
      <c r="DW157" s="463">
        <f>DW161+DW165</f>
        <v>0</v>
      </c>
      <c r="DX157" s="464"/>
      <c r="DY157" s="451"/>
      <c r="DZ157" s="452"/>
      <c r="EA157" s="465"/>
      <c r="EB157" s="463">
        <f>EB161+EB165</f>
        <v>0</v>
      </c>
      <c r="EC157" s="464"/>
      <c r="ED157" s="451"/>
      <c r="EE157" s="452"/>
      <c r="EF157" s="465"/>
      <c r="EG157" s="463">
        <f>EG161+EG165</f>
        <v>0</v>
      </c>
      <c r="EH157" s="464"/>
      <c r="EI157" s="451"/>
      <c r="EJ157" s="452"/>
      <c r="EK157" s="465"/>
      <c r="EL157" s="463">
        <f>EL161+EL165</f>
        <v>0</v>
      </c>
      <c r="EM157" s="464"/>
      <c r="EN157" s="451"/>
      <c r="EO157" s="13"/>
    </row>
    <row r="158" spans="4:148" ht="12.75" hidden="1" customHeight="1" x14ac:dyDescent="0.2">
      <c r="D158" s="13"/>
      <c r="E158" s="198"/>
      <c r="G158" s="451"/>
      <c r="H158" s="451"/>
      <c r="I158" s="451"/>
      <c r="J158" s="452"/>
      <c r="K158" s="451"/>
      <c r="L158" s="451"/>
      <c r="M158" s="451"/>
      <c r="N158" s="451"/>
      <c r="O158" s="452"/>
      <c r="P158" s="451"/>
      <c r="Q158" s="451"/>
      <c r="R158" s="451"/>
      <c r="S158" s="451"/>
      <c r="T158" s="452"/>
      <c r="U158" s="451"/>
      <c r="V158" s="451"/>
      <c r="W158" s="451"/>
      <c r="X158" s="451"/>
      <c r="Y158" s="452"/>
      <c r="Z158" s="451"/>
      <c r="AA158" s="451"/>
      <c r="AB158" s="451"/>
      <c r="AC158" s="451"/>
      <c r="AD158" s="452"/>
      <c r="AE158" s="451"/>
      <c r="AF158" s="451"/>
      <c r="AG158" s="451"/>
      <c r="AH158" s="451"/>
      <c r="AI158" s="452"/>
      <c r="AJ158" s="451"/>
      <c r="AK158" s="451"/>
      <c r="AL158" s="451"/>
      <c r="AM158" s="451"/>
      <c r="AN158" s="452"/>
      <c r="AO158" s="451"/>
      <c r="AP158" s="451"/>
      <c r="AQ158" s="451"/>
      <c r="AR158" s="451"/>
      <c r="AS158" s="452"/>
      <c r="AT158" s="451"/>
      <c r="AU158" s="451"/>
      <c r="AV158" s="451"/>
      <c r="AW158" s="451"/>
      <c r="AX158" s="452"/>
      <c r="AY158" s="451"/>
      <c r="AZ158" s="451"/>
      <c r="BA158" s="451"/>
      <c r="BB158" s="451"/>
      <c r="BC158" s="452"/>
      <c r="BD158" s="451"/>
      <c r="BE158" s="451"/>
      <c r="BF158" s="451"/>
      <c r="BG158" s="451"/>
      <c r="BH158" s="452"/>
      <c r="BI158" s="451"/>
      <c r="BJ158" s="451"/>
      <c r="BK158" s="451"/>
      <c r="BL158" s="451"/>
      <c r="BM158" s="452"/>
      <c r="BN158" s="451"/>
      <c r="BO158" s="451"/>
      <c r="BP158" s="451"/>
      <c r="BQ158" s="451"/>
      <c r="BR158" s="452"/>
      <c r="BS158" s="451"/>
      <c r="BT158" s="451"/>
      <c r="BU158" s="451"/>
      <c r="BV158" s="451"/>
      <c r="BW158" s="452"/>
      <c r="BX158" s="451"/>
      <c r="BY158" s="451"/>
      <c r="BZ158" s="451"/>
      <c r="CA158" s="451"/>
      <c r="CB158" s="452"/>
      <c r="CC158" s="451"/>
      <c r="CD158" s="451"/>
      <c r="CE158" s="451"/>
      <c r="CF158" s="451"/>
      <c r="CG158" s="452"/>
      <c r="CH158" s="451"/>
      <c r="CI158" s="451"/>
      <c r="CJ158" s="451"/>
      <c r="CK158" s="451"/>
      <c r="CL158" s="452"/>
      <c r="CM158" s="451"/>
      <c r="CN158" s="451"/>
      <c r="CO158" s="451"/>
      <c r="CP158" s="451"/>
      <c r="CQ158" s="452"/>
      <c r="CR158" s="451"/>
      <c r="CS158" s="451"/>
      <c r="CT158" s="451"/>
      <c r="CU158" s="451"/>
      <c r="CV158" s="452"/>
      <c r="CW158" s="451"/>
      <c r="CX158" s="451"/>
      <c r="CY158" s="451"/>
      <c r="CZ158" s="451"/>
      <c r="DA158" s="452"/>
      <c r="DB158" s="451"/>
      <c r="DC158" s="451"/>
      <c r="DD158" s="451"/>
      <c r="DE158" s="451"/>
      <c r="DF158" s="452"/>
      <c r="DG158" s="451"/>
      <c r="DH158" s="451"/>
      <c r="DI158" s="451"/>
      <c r="DJ158" s="451"/>
      <c r="DK158" s="452"/>
      <c r="DL158" s="451"/>
      <c r="DM158" s="451"/>
      <c r="DN158" s="451"/>
      <c r="DO158" s="451"/>
      <c r="DP158" s="452"/>
      <c r="DQ158" s="451"/>
      <c r="DR158" s="451"/>
      <c r="DS158" s="451"/>
      <c r="DT158" s="451"/>
      <c r="DU158" s="452"/>
      <c r="DV158" s="451"/>
      <c r="DW158" s="451"/>
      <c r="DX158" s="451"/>
      <c r="DY158" s="451"/>
      <c r="DZ158" s="452"/>
      <c r="EA158" s="451"/>
      <c r="EB158" s="451"/>
      <c r="EC158" s="451"/>
      <c r="ED158" s="451"/>
      <c r="EE158" s="452"/>
      <c r="EF158" s="451"/>
      <c r="EG158" s="451"/>
      <c r="EH158" s="451"/>
      <c r="EI158" s="451"/>
      <c r="EJ158" s="452"/>
      <c r="EK158" s="451"/>
      <c r="EL158" s="451"/>
      <c r="EM158" s="451"/>
      <c r="EN158" s="451"/>
      <c r="EO158" s="13"/>
    </row>
    <row r="159" spans="4:148" ht="12.75" hidden="1" customHeight="1" x14ac:dyDescent="0.2">
      <c r="D159" s="13" t="s">
        <v>484</v>
      </c>
      <c r="E159" s="198"/>
      <c r="G159" s="451">
        <v>0</v>
      </c>
      <c r="H159" s="451"/>
      <c r="I159" s="451"/>
      <c r="J159" s="452"/>
      <c r="K159" s="451"/>
      <c r="L159" s="451">
        <f>SUM(L160:L161)</f>
        <v>0</v>
      </c>
      <c r="M159" s="451"/>
      <c r="N159" s="451"/>
      <c r="O159" s="452"/>
      <c r="P159" s="451"/>
      <c r="Q159" s="451">
        <f>SUM(Q160:Q161)</f>
        <v>0</v>
      </c>
      <c r="R159" s="451"/>
      <c r="S159" s="451"/>
      <c r="T159" s="452"/>
      <c r="U159" s="451"/>
      <c r="V159" s="451">
        <f>SUM(V160:V161)</f>
        <v>0</v>
      </c>
      <c r="W159" s="451"/>
      <c r="X159" s="451"/>
      <c r="Y159" s="452"/>
      <c r="Z159" s="451"/>
      <c r="AA159" s="451">
        <f>SUM(AA160:AA161)</f>
        <v>0</v>
      </c>
      <c r="AB159" s="451"/>
      <c r="AC159" s="451"/>
      <c r="AD159" s="452"/>
      <c r="AE159" s="451"/>
      <c r="AF159" s="451">
        <f>SUM(AF160:AF161)</f>
        <v>0</v>
      </c>
      <c r="AG159" s="451"/>
      <c r="AH159" s="451"/>
      <c r="AI159" s="452"/>
      <c r="AJ159" s="451"/>
      <c r="AK159" s="451">
        <f>SUM(AK160:AK161)</f>
        <v>0</v>
      </c>
      <c r="AL159" s="451"/>
      <c r="AM159" s="451"/>
      <c r="AN159" s="452"/>
      <c r="AO159" s="451"/>
      <c r="AP159" s="451">
        <f>SUM(AP160:AP161)</f>
        <v>0</v>
      </c>
      <c r="AQ159" s="451"/>
      <c r="AR159" s="451"/>
      <c r="AS159" s="452"/>
      <c r="AT159" s="451"/>
      <c r="AU159" s="451">
        <f>SUM(AU160:AU161)</f>
        <v>0</v>
      </c>
      <c r="AV159" s="451"/>
      <c r="AW159" s="451"/>
      <c r="AX159" s="452"/>
      <c r="AY159" s="451"/>
      <c r="AZ159" s="451">
        <f>SUM(AZ160:AZ161)</f>
        <v>0</v>
      </c>
      <c r="BA159" s="451"/>
      <c r="BB159" s="451"/>
      <c r="BC159" s="452"/>
      <c r="BD159" s="451"/>
      <c r="BE159" s="451">
        <f>SUM(BE160:BE161)</f>
        <v>0</v>
      </c>
      <c r="BF159" s="451"/>
      <c r="BG159" s="451"/>
      <c r="BH159" s="452"/>
      <c r="BI159" s="451"/>
      <c r="BJ159" s="451">
        <f>SUM(BJ160:BJ161)</f>
        <v>0</v>
      </c>
      <c r="BK159" s="451"/>
      <c r="BL159" s="451"/>
      <c r="BM159" s="452"/>
      <c r="BN159" s="451"/>
      <c r="BO159" s="451">
        <f>SUM(BO160:BO161)</f>
        <v>0</v>
      </c>
      <c r="BP159" s="451"/>
      <c r="BQ159" s="451"/>
      <c r="BR159" s="452"/>
      <c r="BS159" s="451"/>
      <c r="BT159" s="451">
        <f>SUM(BT160:BT161)</f>
        <v>0</v>
      </c>
      <c r="BU159" s="451"/>
      <c r="BV159" s="451"/>
      <c r="BW159" s="452"/>
      <c r="BX159" s="451"/>
      <c r="BY159" s="451">
        <f>SUM(BY160:BY161)</f>
        <v>0</v>
      </c>
      <c r="BZ159" s="451"/>
      <c r="CA159" s="451"/>
      <c r="CB159" s="452"/>
      <c r="CC159" s="451"/>
      <c r="CD159" s="451">
        <f>SUM(CD160:CD161)</f>
        <v>0</v>
      </c>
      <c r="CE159" s="451"/>
      <c r="CF159" s="451"/>
      <c r="CG159" s="452"/>
      <c r="CH159" s="451"/>
      <c r="CI159" s="451">
        <f>SUM(CI160:CI161)</f>
        <v>0</v>
      </c>
      <c r="CJ159" s="451"/>
      <c r="CK159" s="451"/>
      <c r="CL159" s="452"/>
      <c r="CM159" s="451"/>
      <c r="CN159" s="451">
        <f>SUM(CN160:CN161)</f>
        <v>0</v>
      </c>
      <c r="CO159" s="451"/>
      <c r="CP159" s="451"/>
      <c r="CQ159" s="452"/>
      <c r="CR159" s="451"/>
      <c r="CS159" s="451">
        <f>SUM(CS160:CS161)</f>
        <v>0</v>
      </c>
      <c r="CT159" s="451"/>
      <c r="CU159" s="451"/>
      <c r="CV159" s="452"/>
      <c r="CW159" s="451"/>
      <c r="CX159" s="451">
        <f>SUM(CX160:CX161)</f>
        <v>0</v>
      </c>
      <c r="CY159" s="451"/>
      <c r="CZ159" s="451"/>
      <c r="DA159" s="452"/>
      <c r="DB159" s="451"/>
      <c r="DC159" s="451">
        <f>SUM(DC160:DC161)</f>
        <v>0</v>
      </c>
      <c r="DD159" s="451"/>
      <c r="DE159" s="451"/>
      <c r="DF159" s="452"/>
      <c r="DG159" s="451"/>
      <c r="DH159" s="451">
        <f>SUM(DH160:DH161)</f>
        <v>0</v>
      </c>
      <c r="DI159" s="451"/>
      <c r="DJ159" s="451"/>
      <c r="DK159" s="452"/>
      <c r="DL159" s="451"/>
      <c r="DM159" s="451">
        <f>SUM(DM160:DM161)</f>
        <v>0</v>
      </c>
      <c r="DN159" s="451"/>
      <c r="DO159" s="451"/>
      <c r="DP159" s="452"/>
      <c r="DQ159" s="451"/>
      <c r="DR159" s="451">
        <f>SUM(DR160:DR161)</f>
        <v>0</v>
      </c>
      <c r="DS159" s="451"/>
      <c r="DT159" s="451"/>
      <c r="DU159" s="452"/>
      <c r="DV159" s="451"/>
      <c r="DW159" s="451">
        <f>SUM(DW160:DW161)</f>
        <v>0</v>
      </c>
      <c r="DX159" s="451"/>
      <c r="DY159" s="451"/>
      <c r="DZ159" s="452"/>
      <c r="EA159" s="451"/>
      <c r="EB159" s="451">
        <f>SUM(EB160:EB161)</f>
        <v>0</v>
      </c>
      <c r="EC159" s="451"/>
      <c r="ED159" s="451"/>
      <c r="EE159" s="452"/>
      <c r="EF159" s="451"/>
      <c r="EG159" s="451">
        <f>SUM(EG160:EG161)</f>
        <v>0</v>
      </c>
      <c r="EH159" s="451"/>
      <c r="EI159" s="451"/>
      <c r="EJ159" s="452"/>
      <c r="EK159" s="451"/>
      <c r="EL159" s="451">
        <f>SUM(EL160:EL161)</f>
        <v>0</v>
      </c>
      <c r="EM159" s="451"/>
      <c r="EN159" s="451"/>
      <c r="EO159" s="13"/>
    </row>
    <row r="160" spans="4:148" ht="12.75" hidden="1" customHeight="1" x14ac:dyDescent="0.2">
      <c r="D160" s="13" t="s">
        <v>470</v>
      </c>
      <c r="E160" s="198"/>
      <c r="F160" s="374"/>
      <c r="G160" s="449">
        <v>0</v>
      </c>
      <c r="H160" s="450"/>
      <c r="I160" s="451"/>
      <c r="J160" s="452"/>
      <c r="K160" s="453"/>
      <c r="L160" s="449">
        <v>0</v>
      </c>
      <c r="M160" s="450"/>
      <c r="N160" s="451"/>
      <c r="O160" s="452"/>
      <c r="P160" s="453"/>
      <c r="Q160" s="449">
        <v>0</v>
      </c>
      <c r="R160" s="450"/>
      <c r="S160" s="451"/>
      <c r="T160" s="452"/>
      <c r="U160" s="453"/>
      <c r="V160" s="449">
        <v>0</v>
      </c>
      <c r="W160" s="450"/>
      <c r="X160" s="451"/>
      <c r="Y160" s="452"/>
      <c r="Z160" s="453"/>
      <c r="AA160" s="449">
        <v>0</v>
      </c>
      <c r="AB160" s="450"/>
      <c r="AC160" s="451"/>
      <c r="AD160" s="452"/>
      <c r="AE160" s="453"/>
      <c r="AF160" s="449">
        <v>0</v>
      </c>
      <c r="AG160" s="450"/>
      <c r="AH160" s="451"/>
      <c r="AI160" s="452"/>
      <c r="AJ160" s="453"/>
      <c r="AK160" s="449">
        <v>0</v>
      </c>
      <c r="AL160" s="450"/>
      <c r="AM160" s="451"/>
      <c r="AN160" s="452"/>
      <c r="AO160" s="453"/>
      <c r="AP160" s="449">
        <v>0</v>
      </c>
      <c r="AQ160" s="450"/>
      <c r="AR160" s="451"/>
      <c r="AS160" s="452"/>
      <c r="AT160" s="453"/>
      <c r="AU160" s="449">
        <v>0</v>
      </c>
      <c r="AV160" s="450"/>
      <c r="AW160" s="451"/>
      <c r="AX160" s="452"/>
      <c r="AY160" s="453"/>
      <c r="AZ160" s="449">
        <v>0</v>
      </c>
      <c r="BA160" s="450"/>
      <c r="BB160" s="451"/>
      <c r="BC160" s="452"/>
      <c r="BD160" s="453"/>
      <c r="BE160" s="449">
        <v>0</v>
      </c>
      <c r="BF160" s="450"/>
      <c r="BG160" s="451"/>
      <c r="BH160" s="452"/>
      <c r="BI160" s="453"/>
      <c r="BJ160" s="449">
        <v>0</v>
      </c>
      <c r="BK160" s="450"/>
      <c r="BL160" s="451"/>
      <c r="BM160" s="452"/>
      <c r="BN160" s="453"/>
      <c r="BO160" s="449">
        <v>0</v>
      </c>
      <c r="BP160" s="450"/>
      <c r="BQ160" s="451"/>
      <c r="BR160" s="452"/>
      <c r="BS160" s="453"/>
      <c r="BT160" s="449">
        <f>SUM(L160:BO160)</f>
        <v>0</v>
      </c>
      <c r="BU160" s="450"/>
      <c r="BV160" s="451"/>
      <c r="BW160" s="452"/>
      <c r="BX160" s="453"/>
      <c r="BY160" s="449">
        <v>0</v>
      </c>
      <c r="BZ160" s="450"/>
      <c r="CA160" s="451"/>
      <c r="CB160" s="452"/>
      <c r="CC160" s="453"/>
      <c r="CD160" s="449">
        <v>0</v>
      </c>
      <c r="CE160" s="450"/>
      <c r="CF160" s="451"/>
      <c r="CG160" s="452"/>
      <c r="CH160" s="453"/>
      <c r="CI160" s="449">
        <v>0</v>
      </c>
      <c r="CJ160" s="450"/>
      <c r="CK160" s="451"/>
      <c r="CL160" s="452"/>
      <c r="CM160" s="453"/>
      <c r="CN160" s="449">
        <v>0</v>
      </c>
      <c r="CO160" s="450"/>
      <c r="CP160" s="451"/>
      <c r="CQ160" s="452"/>
      <c r="CR160" s="453"/>
      <c r="CS160" s="449">
        <v>0</v>
      </c>
      <c r="CT160" s="450"/>
      <c r="CU160" s="451"/>
      <c r="CV160" s="452"/>
      <c r="CW160" s="453"/>
      <c r="CX160" s="449">
        <v>0</v>
      </c>
      <c r="CY160" s="450"/>
      <c r="CZ160" s="451"/>
      <c r="DA160" s="452"/>
      <c r="DB160" s="453"/>
      <c r="DC160" s="449">
        <v>0</v>
      </c>
      <c r="DD160" s="450"/>
      <c r="DE160" s="451"/>
      <c r="DF160" s="452"/>
      <c r="DG160" s="453"/>
      <c r="DH160" s="449">
        <v>0</v>
      </c>
      <c r="DI160" s="450"/>
      <c r="DJ160" s="451"/>
      <c r="DK160" s="452"/>
      <c r="DL160" s="453"/>
      <c r="DM160" s="449">
        <v>0</v>
      </c>
      <c r="DN160" s="450"/>
      <c r="DO160" s="451"/>
      <c r="DP160" s="452"/>
      <c r="DQ160" s="453"/>
      <c r="DR160" s="449">
        <v>0</v>
      </c>
      <c r="DS160" s="450"/>
      <c r="DT160" s="451"/>
      <c r="DU160" s="452"/>
      <c r="DV160" s="453"/>
      <c r="DW160" s="449">
        <v>0</v>
      </c>
      <c r="DX160" s="450"/>
      <c r="DY160" s="451"/>
      <c r="DZ160" s="452"/>
      <c r="EA160" s="453"/>
      <c r="EB160" s="449">
        <v>0</v>
      </c>
      <c r="EC160" s="450"/>
      <c r="ED160" s="451"/>
      <c r="EE160" s="452"/>
      <c r="EF160" s="453"/>
      <c r="EG160" s="449">
        <v>0</v>
      </c>
      <c r="EH160" s="450"/>
      <c r="EI160" s="451"/>
      <c r="EJ160" s="452"/>
      <c r="EK160" s="453"/>
      <c r="EL160" s="449">
        <f>SUM(CD160:EG160)</f>
        <v>0</v>
      </c>
      <c r="EM160" s="450"/>
      <c r="EN160" s="451"/>
      <c r="EO160" s="13"/>
    </row>
    <row r="161" spans="4:148" ht="12.75" hidden="1" customHeight="1" x14ac:dyDescent="0.2">
      <c r="D161" s="13" t="s">
        <v>471</v>
      </c>
      <c r="E161" s="198"/>
      <c r="F161" s="385"/>
      <c r="G161" s="463">
        <v>0</v>
      </c>
      <c r="H161" s="464"/>
      <c r="I161" s="451"/>
      <c r="J161" s="452"/>
      <c r="K161" s="465"/>
      <c r="L161" s="463">
        <v>0</v>
      </c>
      <c r="M161" s="464"/>
      <c r="N161" s="451"/>
      <c r="O161" s="452"/>
      <c r="P161" s="465"/>
      <c r="Q161" s="463">
        <v>0</v>
      </c>
      <c r="R161" s="464"/>
      <c r="S161" s="451"/>
      <c r="T161" s="452"/>
      <c r="U161" s="465"/>
      <c r="V161" s="463">
        <v>0</v>
      </c>
      <c r="W161" s="464"/>
      <c r="X161" s="451"/>
      <c r="Y161" s="452"/>
      <c r="Z161" s="465"/>
      <c r="AA161" s="463">
        <v>0</v>
      </c>
      <c r="AB161" s="464"/>
      <c r="AC161" s="451"/>
      <c r="AD161" s="452"/>
      <c r="AE161" s="465"/>
      <c r="AF161" s="463">
        <v>0</v>
      </c>
      <c r="AG161" s="464"/>
      <c r="AH161" s="451"/>
      <c r="AI161" s="452"/>
      <c r="AJ161" s="465"/>
      <c r="AK161" s="463">
        <v>0</v>
      </c>
      <c r="AL161" s="464"/>
      <c r="AM161" s="451"/>
      <c r="AN161" s="452"/>
      <c r="AO161" s="465"/>
      <c r="AP161" s="463">
        <v>0</v>
      </c>
      <c r="AQ161" s="464"/>
      <c r="AR161" s="451"/>
      <c r="AS161" s="452"/>
      <c r="AT161" s="465"/>
      <c r="AU161" s="463">
        <v>0</v>
      </c>
      <c r="AV161" s="464"/>
      <c r="AW161" s="451"/>
      <c r="AX161" s="452"/>
      <c r="AY161" s="465"/>
      <c r="AZ161" s="463">
        <v>0</v>
      </c>
      <c r="BA161" s="464"/>
      <c r="BB161" s="451"/>
      <c r="BC161" s="452"/>
      <c r="BD161" s="465"/>
      <c r="BE161" s="463">
        <v>0</v>
      </c>
      <c r="BF161" s="464"/>
      <c r="BG161" s="451"/>
      <c r="BH161" s="452"/>
      <c r="BI161" s="465"/>
      <c r="BJ161" s="463">
        <v>0</v>
      </c>
      <c r="BK161" s="464"/>
      <c r="BL161" s="451"/>
      <c r="BM161" s="452"/>
      <c r="BN161" s="465"/>
      <c r="BO161" s="463">
        <v>0</v>
      </c>
      <c r="BP161" s="464"/>
      <c r="BQ161" s="451"/>
      <c r="BR161" s="452"/>
      <c r="BS161" s="465"/>
      <c r="BT161" s="463">
        <f>SUM(L161:BO161)</f>
        <v>0</v>
      </c>
      <c r="BU161" s="464"/>
      <c r="BV161" s="451"/>
      <c r="BW161" s="452"/>
      <c r="BX161" s="465"/>
      <c r="BY161" s="463">
        <v>0</v>
      </c>
      <c r="BZ161" s="464"/>
      <c r="CA161" s="451"/>
      <c r="CB161" s="452"/>
      <c r="CC161" s="465"/>
      <c r="CD161" s="463">
        <v>0</v>
      </c>
      <c r="CE161" s="464"/>
      <c r="CF161" s="451"/>
      <c r="CG161" s="452"/>
      <c r="CH161" s="465"/>
      <c r="CI161" s="463">
        <v>0</v>
      </c>
      <c r="CJ161" s="464"/>
      <c r="CK161" s="451"/>
      <c r="CL161" s="452"/>
      <c r="CM161" s="465"/>
      <c r="CN161" s="463">
        <v>0</v>
      </c>
      <c r="CO161" s="464"/>
      <c r="CP161" s="451"/>
      <c r="CQ161" s="452"/>
      <c r="CR161" s="465"/>
      <c r="CS161" s="463">
        <v>0</v>
      </c>
      <c r="CT161" s="464"/>
      <c r="CU161" s="451"/>
      <c r="CV161" s="452"/>
      <c r="CW161" s="465"/>
      <c r="CX161" s="463">
        <v>0</v>
      </c>
      <c r="CY161" s="464"/>
      <c r="CZ161" s="451"/>
      <c r="DA161" s="452"/>
      <c r="DB161" s="465"/>
      <c r="DC161" s="463">
        <v>0</v>
      </c>
      <c r="DD161" s="464"/>
      <c r="DE161" s="451"/>
      <c r="DF161" s="452"/>
      <c r="DG161" s="465"/>
      <c r="DH161" s="463">
        <v>0</v>
      </c>
      <c r="DI161" s="464"/>
      <c r="DJ161" s="451"/>
      <c r="DK161" s="452"/>
      <c r="DL161" s="465"/>
      <c r="DM161" s="463">
        <v>0</v>
      </c>
      <c r="DN161" s="464"/>
      <c r="DO161" s="451"/>
      <c r="DP161" s="452"/>
      <c r="DQ161" s="465"/>
      <c r="DR161" s="463">
        <v>0</v>
      </c>
      <c r="DS161" s="464"/>
      <c r="DT161" s="451"/>
      <c r="DU161" s="452"/>
      <c r="DV161" s="465"/>
      <c r="DW161" s="463">
        <v>0</v>
      </c>
      <c r="DX161" s="464"/>
      <c r="DY161" s="451"/>
      <c r="DZ161" s="452"/>
      <c r="EA161" s="465"/>
      <c r="EB161" s="463">
        <v>0</v>
      </c>
      <c r="EC161" s="464"/>
      <c r="ED161" s="451"/>
      <c r="EE161" s="452"/>
      <c r="EF161" s="465"/>
      <c r="EG161" s="463">
        <v>0</v>
      </c>
      <c r="EH161" s="464"/>
      <c r="EI161" s="451"/>
      <c r="EJ161" s="452"/>
      <c r="EK161" s="465"/>
      <c r="EL161" s="463">
        <f>SUM(CD161:EG161)</f>
        <v>0</v>
      </c>
      <c r="EM161" s="464"/>
      <c r="EN161" s="451"/>
      <c r="EO161" s="13"/>
    </row>
    <row r="162" spans="4:148" ht="12.75" hidden="1" customHeight="1" x14ac:dyDescent="0.2">
      <c r="D162" s="13"/>
      <c r="E162" s="198"/>
      <c r="G162" s="451"/>
      <c r="H162" s="451"/>
      <c r="I162" s="451"/>
      <c r="J162" s="452"/>
      <c r="K162" s="451"/>
      <c r="L162" s="451"/>
      <c r="M162" s="451"/>
      <c r="N162" s="451"/>
      <c r="O162" s="452"/>
      <c r="P162" s="451"/>
      <c r="Q162" s="451"/>
      <c r="R162" s="451"/>
      <c r="S162" s="451"/>
      <c r="T162" s="452"/>
      <c r="U162" s="451"/>
      <c r="V162" s="451"/>
      <c r="W162" s="451"/>
      <c r="X162" s="451"/>
      <c r="Y162" s="452"/>
      <c r="Z162" s="451"/>
      <c r="AA162" s="451"/>
      <c r="AB162" s="451"/>
      <c r="AC162" s="451"/>
      <c r="AD162" s="452"/>
      <c r="AE162" s="451"/>
      <c r="AF162" s="451"/>
      <c r="AG162" s="451"/>
      <c r="AH162" s="451"/>
      <c r="AI162" s="452"/>
      <c r="AJ162" s="451"/>
      <c r="AK162" s="451"/>
      <c r="AL162" s="451"/>
      <c r="AM162" s="451"/>
      <c r="AN162" s="452"/>
      <c r="AO162" s="451"/>
      <c r="AP162" s="451"/>
      <c r="AQ162" s="451"/>
      <c r="AR162" s="451"/>
      <c r="AS162" s="452"/>
      <c r="AT162" s="451"/>
      <c r="AU162" s="451"/>
      <c r="AV162" s="451"/>
      <c r="AW162" s="451"/>
      <c r="AX162" s="452"/>
      <c r="AY162" s="451"/>
      <c r="AZ162" s="451"/>
      <c r="BA162" s="451"/>
      <c r="BB162" s="451"/>
      <c r="BC162" s="452"/>
      <c r="BD162" s="451"/>
      <c r="BE162" s="451"/>
      <c r="BF162" s="451"/>
      <c r="BG162" s="451"/>
      <c r="BH162" s="452"/>
      <c r="BI162" s="451"/>
      <c r="BJ162" s="451"/>
      <c r="BK162" s="451"/>
      <c r="BL162" s="451"/>
      <c r="BM162" s="452"/>
      <c r="BN162" s="451"/>
      <c r="BO162" s="451"/>
      <c r="BP162" s="451"/>
      <c r="BQ162" s="451"/>
      <c r="BR162" s="452"/>
      <c r="BS162" s="451"/>
      <c r="BT162" s="451"/>
      <c r="BU162" s="451"/>
      <c r="BV162" s="451"/>
      <c r="BW162" s="452"/>
      <c r="BX162" s="451"/>
      <c r="BY162" s="451"/>
      <c r="BZ162" s="451"/>
      <c r="CA162" s="451"/>
      <c r="CB162" s="452"/>
      <c r="CC162" s="451"/>
      <c r="CD162" s="451"/>
      <c r="CE162" s="451"/>
      <c r="CF162" s="451"/>
      <c r="CG162" s="452"/>
      <c r="CH162" s="451"/>
      <c r="CI162" s="451"/>
      <c r="CJ162" s="451"/>
      <c r="CK162" s="451"/>
      <c r="CL162" s="452"/>
      <c r="CM162" s="451"/>
      <c r="CN162" s="451"/>
      <c r="CO162" s="451"/>
      <c r="CP162" s="451"/>
      <c r="CQ162" s="452"/>
      <c r="CR162" s="451"/>
      <c r="CS162" s="451"/>
      <c r="CT162" s="451"/>
      <c r="CU162" s="451"/>
      <c r="CV162" s="452"/>
      <c r="CW162" s="451"/>
      <c r="CX162" s="451"/>
      <c r="CY162" s="451"/>
      <c r="CZ162" s="451"/>
      <c r="DA162" s="452"/>
      <c r="DB162" s="451"/>
      <c r="DC162" s="451"/>
      <c r="DD162" s="451"/>
      <c r="DE162" s="451"/>
      <c r="DF162" s="452"/>
      <c r="DG162" s="451"/>
      <c r="DH162" s="451"/>
      <c r="DI162" s="451"/>
      <c r="DJ162" s="451"/>
      <c r="DK162" s="452"/>
      <c r="DL162" s="451"/>
      <c r="DM162" s="451"/>
      <c r="DN162" s="451"/>
      <c r="DO162" s="451"/>
      <c r="DP162" s="452"/>
      <c r="DQ162" s="451"/>
      <c r="DR162" s="451"/>
      <c r="DS162" s="451"/>
      <c r="DT162" s="451"/>
      <c r="DU162" s="452"/>
      <c r="DV162" s="451"/>
      <c r="DW162" s="451"/>
      <c r="DX162" s="451"/>
      <c r="DY162" s="451"/>
      <c r="DZ162" s="452"/>
      <c r="EA162" s="451"/>
      <c r="EB162" s="451"/>
      <c r="EC162" s="451"/>
      <c r="ED162" s="451"/>
      <c r="EE162" s="452"/>
      <c r="EF162" s="451"/>
      <c r="EG162" s="451"/>
      <c r="EH162" s="451"/>
      <c r="EI162" s="451"/>
      <c r="EJ162" s="452"/>
      <c r="EK162" s="451"/>
      <c r="EL162" s="451"/>
      <c r="EM162" s="451"/>
      <c r="EN162" s="451"/>
      <c r="EO162" s="13"/>
    </row>
    <row r="163" spans="4:148" ht="12.75" hidden="1" customHeight="1" x14ac:dyDescent="0.2">
      <c r="D163" s="13" t="s">
        <v>485</v>
      </c>
      <c r="E163" s="198"/>
      <c r="G163" s="451">
        <v>0</v>
      </c>
      <c r="H163" s="451"/>
      <c r="I163" s="451"/>
      <c r="J163" s="452"/>
      <c r="K163" s="451"/>
      <c r="L163" s="451">
        <f>SUM(L164:L165)</f>
        <v>0</v>
      </c>
      <c r="M163" s="451"/>
      <c r="N163" s="451"/>
      <c r="O163" s="452"/>
      <c r="P163" s="451"/>
      <c r="Q163" s="451">
        <f>SUM(Q164:Q165)</f>
        <v>0</v>
      </c>
      <c r="R163" s="451"/>
      <c r="S163" s="451"/>
      <c r="T163" s="452"/>
      <c r="U163" s="451"/>
      <c r="V163" s="451">
        <f>SUM(V164:V165)</f>
        <v>0</v>
      </c>
      <c r="W163" s="451"/>
      <c r="X163" s="451"/>
      <c r="Y163" s="452"/>
      <c r="Z163" s="451"/>
      <c r="AA163" s="451">
        <f>SUM(AA164:AA165)</f>
        <v>0</v>
      </c>
      <c r="AB163" s="451"/>
      <c r="AC163" s="451"/>
      <c r="AD163" s="452"/>
      <c r="AE163" s="451"/>
      <c r="AF163" s="451">
        <f>SUM(AF164:AF165)</f>
        <v>0</v>
      </c>
      <c r="AG163" s="451"/>
      <c r="AH163" s="451"/>
      <c r="AI163" s="452"/>
      <c r="AJ163" s="451"/>
      <c r="AK163" s="451">
        <f>SUM(AK164:AK165)</f>
        <v>0</v>
      </c>
      <c r="AL163" s="451"/>
      <c r="AM163" s="451"/>
      <c r="AN163" s="452"/>
      <c r="AO163" s="451"/>
      <c r="AP163" s="451">
        <f>SUM(AP164:AP165)</f>
        <v>0</v>
      </c>
      <c r="AQ163" s="451"/>
      <c r="AR163" s="451"/>
      <c r="AS163" s="452"/>
      <c r="AT163" s="451"/>
      <c r="AU163" s="451">
        <f>SUM(AU164:AU165)</f>
        <v>0</v>
      </c>
      <c r="AV163" s="451"/>
      <c r="AW163" s="451"/>
      <c r="AX163" s="452"/>
      <c r="AY163" s="451"/>
      <c r="AZ163" s="451">
        <f>SUM(AZ164:AZ165)</f>
        <v>0</v>
      </c>
      <c r="BA163" s="451"/>
      <c r="BB163" s="451"/>
      <c r="BC163" s="452"/>
      <c r="BD163" s="451"/>
      <c r="BE163" s="451">
        <f>SUM(BE164:BE165)</f>
        <v>0</v>
      </c>
      <c r="BF163" s="451"/>
      <c r="BG163" s="451"/>
      <c r="BH163" s="452"/>
      <c r="BI163" s="451"/>
      <c r="BJ163" s="451">
        <f>SUM(BJ164:BJ165)</f>
        <v>0</v>
      </c>
      <c r="BK163" s="451"/>
      <c r="BL163" s="451"/>
      <c r="BM163" s="452"/>
      <c r="BN163" s="451"/>
      <c r="BO163" s="451">
        <f>SUM(BO164:BO165)</f>
        <v>0</v>
      </c>
      <c r="BP163" s="451"/>
      <c r="BQ163" s="451"/>
      <c r="BR163" s="452"/>
      <c r="BS163" s="451"/>
      <c r="BT163" s="451">
        <f>SUM(BT164:BT165)</f>
        <v>0</v>
      </c>
      <c r="BU163" s="451"/>
      <c r="BV163" s="451"/>
      <c r="BW163" s="452"/>
      <c r="BX163" s="451"/>
      <c r="BY163" s="451">
        <f>SUM(BY164:BY165)</f>
        <v>0</v>
      </c>
      <c r="BZ163" s="451"/>
      <c r="CA163" s="451"/>
      <c r="CB163" s="452"/>
      <c r="CC163" s="451"/>
      <c r="CD163" s="451">
        <f>SUM(CD164:CD165)</f>
        <v>0</v>
      </c>
      <c r="CE163" s="451"/>
      <c r="CF163" s="451"/>
      <c r="CG163" s="452"/>
      <c r="CH163" s="451"/>
      <c r="CI163" s="451">
        <f>SUM(CI164:CI165)</f>
        <v>0</v>
      </c>
      <c r="CJ163" s="451"/>
      <c r="CK163" s="451"/>
      <c r="CL163" s="452"/>
      <c r="CM163" s="451"/>
      <c r="CN163" s="451">
        <f>SUM(CN164:CN165)</f>
        <v>0</v>
      </c>
      <c r="CO163" s="451"/>
      <c r="CP163" s="451"/>
      <c r="CQ163" s="452"/>
      <c r="CR163" s="451"/>
      <c r="CS163" s="451">
        <f>SUM(CS164:CS165)</f>
        <v>0</v>
      </c>
      <c r="CT163" s="451"/>
      <c r="CU163" s="451"/>
      <c r="CV163" s="452"/>
      <c r="CW163" s="451"/>
      <c r="CX163" s="451">
        <f>SUM(CX164:CX165)</f>
        <v>0</v>
      </c>
      <c r="CY163" s="451"/>
      <c r="CZ163" s="451"/>
      <c r="DA163" s="452"/>
      <c r="DB163" s="451"/>
      <c r="DC163" s="451">
        <f>SUM(DC164:DC165)</f>
        <v>0</v>
      </c>
      <c r="DD163" s="451"/>
      <c r="DE163" s="451"/>
      <c r="DF163" s="452"/>
      <c r="DG163" s="451"/>
      <c r="DH163" s="451">
        <f>SUM(DH164:DH165)</f>
        <v>0</v>
      </c>
      <c r="DI163" s="451"/>
      <c r="DJ163" s="451"/>
      <c r="DK163" s="452"/>
      <c r="DL163" s="451"/>
      <c r="DM163" s="451">
        <f>SUM(DM164:DM165)</f>
        <v>0</v>
      </c>
      <c r="DN163" s="451"/>
      <c r="DO163" s="451"/>
      <c r="DP163" s="452"/>
      <c r="DQ163" s="451"/>
      <c r="DR163" s="451">
        <f>SUM(DR164:DR165)</f>
        <v>0</v>
      </c>
      <c r="DS163" s="451"/>
      <c r="DT163" s="451"/>
      <c r="DU163" s="452"/>
      <c r="DV163" s="451"/>
      <c r="DW163" s="451">
        <f>SUM(DW164:DW165)</f>
        <v>0</v>
      </c>
      <c r="DX163" s="451"/>
      <c r="DY163" s="451"/>
      <c r="DZ163" s="452"/>
      <c r="EA163" s="451"/>
      <c r="EB163" s="451">
        <f>SUM(EB164:EB165)</f>
        <v>0</v>
      </c>
      <c r="EC163" s="451"/>
      <c r="ED163" s="451"/>
      <c r="EE163" s="452"/>
      <c r="EF163" s="451"/>
      <c r="EG163" s="451">
        <f>SUM(EG164:EG165)</f>
        <v>0</v>
      </c>
      <c r="EH163" s="451"/>
      <c r="EI163" s="451"/>
      <c r="EJ163" s="452"/>
      <c r="EK163" s="451"/>
      <c r="EL163" s="451">
        <f>SUM(EL164:EL165)</f>
        <v>0</v>
      </c>
      <c r="EM163" s="451"/>
      <c r="EN163" s="451"/>
      <c r="EO163" s="13"/>
    </row>
    <row r="164" spans="4:148" ht="12.75" hidden="1" customHeight="1" x14ac:dyDescent="0.2">
      <c r="D164" s="13" t="s">
        <v>470</v>
      </c>
      <c r="E164" s="198"/>
      <c r="F164" s="374"/>
      <c r="G164" s="449">
        <v>0</v>
      </c>
      <c r="H164" s="450"/>
      <c r="I164" s="451"/>
      <c r="J164" s="452"/>
      <c r="K164" s="453"/>
      <c r="L164" s="449">
        <v>0</v>
      </c>
      <c r="M164" s="450"/>
      <c r="N164" s="451"/>
      <c r="O164" s="452"/>
      <c r="P164" s="453"/>
      <c r="Q164" s="449">
        <v>0</v>
      </c>
      <c r="R164" s="450"/>
      <c r="S164" s="451"/>
      <c r="T164" s="452"/>
      <c r="U164" s="453"/>
      <c r="V164" s="449">
        <v>0</v>
      </c>
      <c r="W164" s="450"/>
      <c r="X164" s="451"/>
      <c r="Y164" s="452"/>
      <c r="Z164" s="453"/>
      <c r="AA164" s="449">
        <v>0</v>
      </c>
      <c r="AB164" s="450"/>
      <c r="AC164" s="451"/>
      <c r="AD164" s="452"/>
      <c r="AE164" s="453"/>
      <c r="AF164" s="449">
        <v>0</v>
      </c>
      <c r="AG164" s="450"/>
      <c r="AH164" s="451"/>
      <c r="AI164" s="452"/>
      <c r="AJ164" s="453"/>
      <c r="AK164" s="449">
        <v>0</v>
      </c>
      <c r="AL164" s="450"/>
      <c r="AM164" s="451"/>
      <c r="AN164" s="452"/>
      <c r="AO164" s="453"/>
      <c r="AP164" s="449">
        <v>0</v>
      </c>
      <c r="AQ164" s="450"/>
      <c r="AR164" s="451"/>
      <c r="AS164" s="452"/>
      <c r="AT164" s="453"/>
      <c r="AU164" s="449">
        <v>0</v>
      </c>
      <c r="AV164" s="450"/>
      <c r="AW164" s="451"/>
      <c r="AX164" s="452"/>
      <c r="AY164" s="453"/>
      <c r="AZ164" s="449">
        <v>0</v>
      </c>
      <c r="BA164" s="450"/>
      <c r="BB164" s="451"/>
      <c r="BC164" s="452"/>
      <c r="BD164" s="453"/>
      <c r="BE164" s="449">
        <v>0</v>
      </c>
      <c r="BF164" s="450"/>
      <c r="BG164" s="451"/>
      <c r="BH164" s="452"/>
      <c r="BI164" s="453"/>
      <c r="BJ164" s="449">
        <v>0</v>
      </c>
      <c r="BK164" s="450"/>
      <c r="BL164" s="451"/>
      <c r="BM164" s="452"/>
      <c r="BN164" s="453"/>
      <c r="BO164" s="449">
        <v>0</v>
      </c>
      <c r="BP164" s="450"/>
      <c r="BQ164" s="451"/>
      <c r="BR164" s="452"/>
      <c r="BS164" s="453"/>
      <c r="BT164" s="449">
        <f>SUM(L164:BO164)</f>
        <v>0</v>
      </c>
      <c r="BU164" s="450"/>
      <c r="BV164" s="451"/>
      <c r="BW164" s="452"/>
      <c r="BX164" s="453"/>
      <c r="BY164" s="449">
        <v>0</v>
      </c>
      <c r="BZ164" s="450"/>
      <c r="CA164" s="451"/>
      <c r="CB164" s="452"/>
      <c r="CC164" s="453"/>
      <c r="CD164" s="449">
        <v>0</v>
      </c>
      <c r="CE164" s="450"/>
      <c r="CF164" s="451"/>
      <c r="CG164" s="452"/>
      <c r="CH164" s="453"/>
      <c r="CI164" s="449">
        <v>0</v>
      </c>
      <c r="CJ164" s="450"/>
      <c r="CK164" s="451"/>
      <c r="CL164" s="452"/>
      <c r="CM164" s="453"/>
      <c r="CN164" s="449">
        <v>0</v>
      </c>
      <c r="CO164" s="450"/>
      <c r="CP164" s="451"/>
      <c r="CQ164" s="452"/>
      <c r="CR164" s="453"/>
      <c r="CS164" s="449">
        <v>0</v>
      </c>
      <c r="CT164" s="450"/>
      <c r="CU164" s="451"/>
      <c r="CV164" s="452"/>
      <c r="CW164" s="453"/>
      <c r="CX164" s="449">
        <v>0</v>
      </c>
      <c r="CY164" s="450"/>
      <c r="CZ164" s="451"/>
      <c r="DA164" s="452"/>
      <c r="DB164" s="453"/>
      <c r="DC164" s="449">
        <v>0</v>
      </c>
      <c r="DD164" s="450"/>
      <c r="DE164" s="451"/>
      <c r="DF164" s="452"/>
      <c r="DG164" s="453"/>
      <c r="DH164" s="449">
        <v>0</v>
      </c>
      <c r="DI164" s="450"/>
      <c r="DJ164" s="451"/>
      <c r="DK164" s="452"/>
      <c r="DL164" s="453"/>
      <c r="DM164" s="449">
        <v>0</v>
      </c>
      <c r="DN164" s="450"/>
      <c r="DO164" s="451"/>
      <c r="DP164" s="452"/>
      <c r="DQ164" s="453"/>
      <c r="DR164" s="449">
        <v>0</v>
      </c>
      <c r="DS164" s="450"/>
      <c r="DT164" s="451"/>
      <c r="DU164" s="452"/>
      <c r="DV164" s="453"/>
      <c r="DW164" s="449">
        <v>0</v>
      </c>
      <c r="DX164" s="450"/>
      <c r="DY164" s="451"/>
      <c r="DZ164" s="452"/>
      <c r="EA164" s="453"/>
      <c r="EB164" s="449">
        <v>0</v>
      </c>
      <c r="EC164" s="450"/>
      <c r="ED164" s="451"/>
      <c r="EE164" s="452"/>
      <c r="EF164" s="453"/>
      <c r="EG164" s="449">
        <v>0</v>
      </c>
      <c r="EH164" s="450"/>
      <c r="EI164" s="451"/>
      <c r="EJ164" s="452"/>
      <c r="EK164" s="453"/>
      <c r="EL164" s="449">
        <f>SUM(CD164:EG164)</f>
        <v>0</v>
      </c>
      <c r="EM164" s="450"/>
      <c r="EN164" s="451"/>
      <c r="EO164" s="13"/>
    </row>
    <row r="165" spans="4:148" ht="12.75" hidden="1" customHeight="1" x14ac:dyDescent="0.2">
      <c r="D165" s="13" t="s">
        <v>471</v>
      </c>
      <c r="E165" s="198"/>
      <c r="F165" s="385"/>
      <c r="G165" s="463">
        <v>0</v>
      </c>
      <c r="H165" s="464"/>
      <c r="I165" s="451"/>
      <c r="J165" s="452"/>
      <c r="K165" s="465"/>
      <c r="L165" s="463">
        <v>0</v>
      </c>
      <c r="M165" s="464"/>
      <c r="N165" s="451"/>
      <c r="O165" s="452"/>
      <c r="P165" s="465"/>
      <c r="Q165" s="463">
        <v>0</v>
      </c>
      <c r="R165" s="464"/>
      <c r="S165" s="451"/>
      <c r="T165" s="452"/>
      <c r="U165" s="465"/>
      <c r="V165" s="463">
        <v>0</v>
      </c>
      <c r="W165" s="464"/>
      <c r="X165" s="451"/>
      <c r="Y165" s="452"/>
      <c r="Z165" s="465"/>
      <c r="AA165" s="463">
        <v>0</v>
      </c>
      <c r="AB165" s="464"/>
      <c r="AC165" s="451"/>
      <c r="AD165" s="452"/>
      <c r="AE165" s="465"/>
      <c r="AF165" s="463">
        <v>0</v>
      </c>
      <c r="AG165" s="464"/>
      <c r="AH165" s="451"/>
      <c r="AI165" s="452"/>
      <c r="AJ165" s="465"/>
      <c r="AK165" s="463">
        <v>0</v>
      </c>
      <c r="AL165" s="464"/>
      <c r="AM165" s="451"/>
      <c r="AN165" s="452"/>
      <c r="AO165" s="465"/>
      <c r="AP165" s="463">
        <v>0</v>
      </c>
      <c r="AQ165" s="464"/>
      <c r="AR165" s="451"/>
      <c r="AS165" s="452"/>
      <c r="AT165" s="465"/>
      <c r="AU165" s="463">
        <v>0</v>
      </c>
      <c r="AV165" s="464"/>
      <c r="AW165" s="451"/>
      <c r="AX165" s="452"/>
      <c r="AY165" s="465"/>
      <c r="AZ165" s="463">
        <v>0</v>
      </c>
      <c r="BA165" s="464"/>
      <c r="BB165" s="451"/>
      <c r="BC165" s="452"/>
      <c r="BD165" s="465"/>
      <c r="BE165" s="463">
        <v>0</v>
      </c>
      <c r="BF165" s="464"/>
      <c r="BG165" s="451"/>
      <c r="BH165" s="452"/>
      <c r="BI165" s="465"/>
      <c r="BJ165" s="463">
        <v>0</v>
      </c>
      <c r="BK165" s="464"/>
      <c r="BL165" s="451"/>
      <c r="BM165" s="452"/>
      <c r="BN165" s="465"/>
      <c r="BO165" s="463">
        <v>0</v>
      </c>
      <c r="BP165" s="464"/>
      <c r="BQ165" s="451"/>
      <c r="BR165" s="452"/>
      <c r="BS165" s="465"/>
      <c r="BT165" s="463">
        <f>SUM(L165:BO165)</f>
        <v>0</v>
      </c>
      <c r="BU165" s="464"/>
      <c r="BV165" s="451"/>
      <c r="BW165" s="452"/>
      <c r="BX165" s="465"/>
      <c r="BY165" s="463">
        <v>0</v>
      </c>
      <c r="BZ165" s="464"/>
      <c r="CA165" s="451"/>
      <c r="CB165" s="452"/>
      <c r="CC165" s="465"/>
      <c r="CD165" s="463">
        <v>0</v>
      </c>
      <c r="CE165" s="464"/>
      <c r="CF165" s="451"/>
      <c r="CG165" s="452"/>
      <c r="CH165" s="465"/>
      <c r="CI165" s="463">
        <v>0</v>
      </c>
      <c r="CJ165" s="464"/>
      <c r="CK165" s="451"/>
      <c r="CL165" s="452"/>
      <c r="CM165" s="465"/>
      <c r="CN165" s="463">
        <v>0</v>
      </c>
      <c r="CO165" s="464"/>
      <c r="CP165" s="451"/>
      <c r="CQ165" s="452"/>
      <c r="CR165" s="465"/>
      <c r="CS165" s="463">
        <v>0</v>
      </c>
      <c r="CT165" s="464"/>
      <c r="CU165" s="451"/>
      <c r="CV165" s="452"/>
      <c r="CW165" s="465"/>
      <c r="CX165" s="463">
        <v>0</v>
      </c>
      <c r="CY165" s="464"/>
      <c r="CZ165" s="451"/>
      <c r="DA165" s="452"/>
      <c r="DB165" s="465"/>
      <c r="DC165" s="463">
        <v>0</v>
      </c>
      <c r="DD165" s="464"/>
      <c r="DE165" s="451"/>
      <c r="DF165" s="452"/>
      <c r="DG165" s="465"/>
      <c r="DH165" s="463">
        <v>0</v>
      </c>
      <c r="DI165" s="464"/>
      <c r="DJ165" s="451"/>
      <c r="DK165" s="452"/>
      <c r="DL165" s="465"/>
      <c r="DM165" s="463">
        <v>0</v>
      </c>
      <c r="DN165" s="464"/>
      <c r="DO165" s="451"/>
      <c r="DP165" s="452"/>
      <c r="DQ165" s="465"/>
      <c r="DR165" s="463">
        <v>0</v>
      </c>
      <c r="DS165" s="464"/>
      <c r="DT165" s="451"/>
      <c r="DU165" s="452"/>
      <c r="DV165" s="465"/>
      <c r="DW165" s="463">
        <v>0</v>
      </c>
      <c r="DX165" s="464"/>
      <c r="DY165" s="451"/>
      <c r="DZ165" s="452"/>
      <c r="EA165" s="465"/>
      <c r="EB165" s="463">
        <v>0</v>
      </c>
      <c r="EC165" s="464"/>
      <c r="ED165" s="451"/>
      <c r="EE165" s="452"/>
      <c r="EF165" s="465"/>
      <c r="EG165" s="463">
        <v>0</v>
      </c>
      <c r="EH165" s="464"/>
      <c r="EI165" s="451"/>
      <c r="EJ165" s="452"/>
      <c r="EK165" s="465"/>
      <c r="EL165" s="463">
        <f>SUM(CD165:EG165)</f>
        <v>0</v>
      </c>
      <c r="EM165" s="464"/>
      <c r="EN165" s="451"/>
      <c r="EO165" s="13"/>
    </row>
    <row r="166" spans="4:148" hidden="1" x14ac:dyDescent="0.2">
      <c r="D166" s="13"/>
      <c r="E166" s="198"/>
      <c r="G166" s="451"/>
      <c r="H166" s="451"/>
      <c r="I166" s="451"/>
      <c r="J166" s="452"/>
      <c r="K166" s="451"/>
      <c r="L166" s="451"/>
      <c r="M166" s="451"/>
      <c r="N166" s="451"/>
      <c r="O166" s="452"/>
      <c r="P166" s="451"/>
      <c r="Q166" s="451"/>
      <c r="R166" s="451"/>
      <c r="S166" s="451"/>
      <c r="T166" s="452"/>
      <c r="U166" s="451"/>
      <c r="V166" s="451"/>
      <c r="W166" s="451"/>
      <c r="X166" s="451"/>
      <c r="Y166" s="452"/>
      <c r="Z166" s="451"/>
      <c r="AA166" s="451"/>
      <c r="AB166" s="451"/>
      <c r="AC166" s="451"/>
      <c r="AD166" s="452"/>
      <c r="AE166" s="451"/>
      <c r="AF166" s="451"/>
      <c r="AG166" s="451"/>
      <c r="AH166" s="451"/>
      <c r="AI166" s="452"/>
      <c r="AJ166" s="451"/>
      <c r="AK166" s="451"/>
      <c r="AL166" s="451"/>
      <c r="AM166" s="451"/>
      <c r="AN166" s="452"/>
      <c r="AO166" s="451"/>
      <c r="AP166" s="451"/>
      <c r="AQ166" s="451"/>
      <c r="AR166" s="451"/>
      <c r="AS166" s="452"/>
      <c r="AT166" s="451"/>
      <c r="AU166" s="451"/>
      <c r="AV166" s="451"/>
      <c r="AW166" s="451"/>
      <c r="AX166" s="452"/>
      <c r="AY166" s="451"/>
      <c r="AZ166" s="451"/>
      <c r="BA166" s="451"/>
      <c r="BB166" s="451"/>
      <c r="BC166" s="452"/>
      <c r="BD166" s="451"/>
      <c r="BE166" s="451"/>
      <c r="BF166" s="451"/>
      <c r="BG166" s="451"/>
      <c r="BH166" s="452"/>
      <c r="BI166" s="451"/>
      <c r="BJ166" s="451"/>
      <c r="BK166" s="451"/>
      <c r="BL166" s="451"/>
      <c r="BM166" s="452"/>
      <c r="BN166" s="451"/>
      <c r="BO166" s="451"/>
      <c r="BP166" s="451"/>
      <c r="BQ166" s="451"/>
      <c r="BR166" s="452"/>
      <c r="BS166" s="451"/>
      <c r="BT166" s="451"/>
      <c r="BU166" s="451"/>
      <c r="BV166" s="451"/>
      <c r="BW166" s="452"/>
      <c r="BX166" s="451"/>
      <c r="BY166" s="451"/>
      <c r="BZ166" s="451"/>
      <c r="CA166" s="451"/>
      <c r="CB166" s="452"/>
      <c r="CC166" s="451"/>
      <c r="CD166" s="451"/>
      <c r="CE166" s="451"/>
      <c r="CF166" s="451"/>
      <c r="CG166" s="452"/>
      <c r="CH166" s="451"/>
      <c r="CI166" s="451"/>
      <c r="CJ166" s="451"/>
      <c r="CK166" s="451"/>
      <c r="CL166" s="452"/>
      <c r="CM166" s="451"/>
      <c r="CN166" s="451"/>
      <c r="CO166" s="451"/>
      <c r="CP166" s="451"/>
      <c r="CQ166" s="452"/>
      <c r="CR166" s="451"/>
      <c r="CS166" s="451"/>
      <c r="CT166" s="451"/>
      <c r="CU166" s="451"/>
      <c r="CV166" s="452"/>
      <c r="CW166" s="451"/>
      <c r="CX166" s="451"/>
      <c r="CY166" s="451"/>
      <c r="CZ166" s="451"/>
      <c r="DA166" s="452"/>
      <c r="DB166" s="451"/>
      <c r="DC166" s="451"/>
      <c r="DD166" s="451"/>
      <c r="DE166" s="451"/>
      <c r="DF166" s="452"/>
      <c r="DG166" s="451"/>
      <c r="DH166" s="451"/>
      <c r="DI166" s="451"/>
      <c r="DJ166" s="451"/>
      <c r="DK166" s="452"/>
      <c r="DL166" s="451"/>
      <c r="DM166" s="451"/>
      <c r="DN166" s="451"/>
      <c r="DO166" s="451"/>
      <c r="DP166" s="452"/>
      <c r="DQ166" s="451"/>
      <c r="DR166" s="451"/>
      <c r="DS166" s="451"/>
      <c r="DT166" s="451"/>
      <c r="DU166" s="452"/>
      <c r="DV166" s="451"/>
      <c r="DW166" s="451"/>
      <c r="DX166" s="451"/>
      <c r="DY166" s="451"/>
      <c r="DZ166" s="452"/>
      <c r="EA166" s="451"/>
      <c r="EB166" s="451"/>
      <c r="EC166" s="451"/>
      <c r="ED166" s="451"/>
      <c r="EE166" s="452"/>
      <c r="EF166" s="451"/>
      <c r="EG166" s="451"/>
      <c r="EH166" s="451"/>
      <c r="EI166" s="451"/>
      <c r="EJ166" s="452"/>
      <c r="EK166" s="451"/>
      <c r="EL166" s="451"/>
      <c r="EM166" s="451"/>
      <c r="EN166" s="451"/>
      <c r="EO166" s="13"/>
    </row>
    <row r="167" spans="4:148" s="14" customFormat="1" hidden="1" x14ac:dyDescent="0.2">
      <c r="D167" s="93" t="s">
        <v>486</v>
      </c>
      <c r="E167" s="180"/>
      <c r="G167" s="446">
        <v>0</v>
      </c>
      <c r="H167" s="446"/>
      <c r="I167" s="446"/>
      <c r="J167" s="447"/>
      <c r="K167" s="446"/>
      <c r="L167" s="446">
        <f>SUM(L168:L169)</f>
        <v>0</v>
      </c>
      <c r="M167" s="446"/>
      <c r="N167" s="446"/>
      <c r="O167" s="447"/>
      <c r="P167" s="446"/>
      <c r="Q167" s="446">
        <f>SUM(Q168:Q169)</f>
        <v>0</v>
      </c>
      <c r="R167" s="446"/>
      <c r="S167" s="446"/>
      <c r="T167" s="447"/>
      <c r="U167" s="446"/>
      <c r="V167" s="446">
        <f>SUM(V168:V169)</f>
        <v>0</v>
      </c>
      <c r="W167" s="446"/>
      <c r="X167" s="446"/>
      <c r="Y167" s="447"/>
      <c r="Z167" s="446"/>
      <c r="AA167" s="446">
        <f>SUM(AA168:AA169)</f>
        <v>0</v>
      </c>
      <c r="AB167" s="446"/>
      <c r="AC167" s="446"/>
      <c r="AD167" s="447"/>
      <c r="AE167" s="446"/>
      <c r="AF167" s="446">
        <f>SUM(AF168:AF169)</f>
        <v>0</v>
      </c>
      <c r="AG167" s="446"/>
      <c r="AH167" s="446"/>
      <c r="AI167" s="447"/>
      <c r="AJ167" s="446"/>
      <c r="AK167" s="446">
        <f>SUM(AK168:AK169)</f>
        <v>0</v>
      </c>
      <c r="AL167" s="446"/>
      <c r="AM167" s="446"/>
      <c r="AN167" s="447"/>
      <c r="AO167" s="446"/>
      <c r="AP167" s="446">
        <f>SUM(AP168:AP169)</f>
        <v>0</v>
      </c>
      <c r="AQ167" s="446"/>
      <c r="AR167" s="446"/>
      <c r="AS167" s="447"/>
      <c r="AT167" s="446"/>
      <c r="AU167" s="446">
        <f>SUM(AU168:AU169)</f>
        <v>0</v>
      </c>
      <c r="AV167" s="446"/>
      <c r="AW167" s="446"/>
      <c r="AX167" s="447"/>
      <c r="AY167" s="446"/>
      <c r="AZ167" s="446">
        <f>SUM(AZ168:AZ169)</f>
        <v>0</v>
      </c>
      <c r="BA167" s="446"/>
      <c r="BB167" s="446"/>
      <c r="BC167" s="447"/>
      <c r="BD167" s="446"/>
      <c r="BE167" s="446">
        <f>SUM(BE168:BE169)</f>
        <v>0</v>
      </c>
      <c r="BF167" s="446"/>
      <c r="BG167" s="446"/>
      <c r="BH167" s="447"/>
      <c r="BI167" s="446"/>
      <c r="BJ167" s="446">
        <f>SUM(BJ168:BJ169)</f>
        <v>0</v>
      </c>
      <c r="BK167" s="446"/>
      <c r="BL167" s="446"/>
      <c r="BM167" s="447"/>
      <c r="BN167" s="446"/>
      <c r="BO167" s="446">
        <f>SUM(BO168:BO169)</f>
        <v>0</v>
      </c>
      <c r="BP167" s="446"/>
      <c r="BQ167" s="446"/>
      <c r="BR167" s="447"/>
      <c r="BS167" s="446"/>
      <c r="BT167" s="446">
        <f>SUM(BT168:BT169)</f>
        <v>0</v>
      </c>
      <c r="BU167" s="446"/>
      <c r="BV167" s="446"/>
      <c r="BW167" s="447"/>
      <c r="BX167" s="446"/>
      <c r="BY167" s="446">
        <v>0</v>
      </c>
      <c r="BZ167" s="446"/>
      <c r="CA167" s="446"/>
      <c r="CB167" s="447"/>
      <c r="CC167" s="446"/>
      <c r="CD167" s="446">
        <f>SUM(CD168:CD169)</f>
        <v>0</v>
      </c>
      <c r="CE167" s="446"/>
      <c r="CF167" s="446"/>
      <c r="CG167" s="447"/>
      <c r="CH167" s="446"/>
      <c r="CI167" s="446">
        <f>SUM(CI168:CI169)</f>
        <v>0</v>
      </c>
      <c r="CJ167" s="446"/>
      <c r="CK167" s="446"/>
      <c r="CL167" s="447"/>
      <c r="CM167" s="446"/>
      <c r="CN167" s="446">
        <f>SUM(CN168:CN169)</f>
        <v>0</v>
      </c>
      <c r="CO167" s="446"/>
      <c r="CP167" s="446"/>
      <c r="CQ167" s="447"/>
      <c r="CR167" s="446"/>
      <c r="CS167" s="446">
        <f>SUM(CS168:CS169)</f>
        <v>0</v>
      </c>
      <c r="CT167" s="446"/>
      <c r="CU167" s="446"/>
      <c r="CV167" s="447"/>
      <c r="CW167" s="446"/>
      <c r="CX167" s="446">
        <f>SUM(CX168:CX169)</f>
        <v>0</v>
      </c>
      <c r="CY167" s="446"/>
      <c r="CZ167" s="446"/>
      <c r="DA167" s="447"/>
      <c r="DB167" s="446"/>
      <c r="DC167" s="446">
        <f>SUM(DC168:DC169)</f>
        <v>0</v>
      </c>
      <c r="DD167" s="446"/>
      <c r="DE167" s="446"/>
      <c r="DF167" s="447"/>
      <c r="DG167" s="446"/>
      <c r="DH167" s="446">
        <f>SUM(DH168:DH169)</f>
        <v>0</v>
      </c>
      <c r="DI167" s="446"/>
      <c r="DJ167" s="446"/>
      <c r="DK167" s="447"/>
      <c r="DL167" s="446"/>
      <c r="DM167" s="446">
        <f>SUM(DM168:DM169)</f>
        <v>0</v>
      </c>
      <c r="DN167" s="446"/>
      <c r="DO167" s="446"/>
      <c r="DP167" s="447"/>
      <c r="DQ167" s="446"/>
      <c r="DR167" s="446">
        <f>SUM(DR168:DR169)</f>
        <v>0</v>
      </c>
      <c r="DS167" s="446"/>
      <c r="DT167" s="446"/>
      <c r="DU167" s="447"/>
      <c r="DV167" s="446"/>
      <c r="DW167" s="446">
        <f>SUM(DW168:DW169)</f>
        <v>0</v>
      </c>
      <c r="DX167" s="446"/>
      <c r="DY167" s="446"/>
      <c r="DZ167" s="447"/>
      <c r="EA167" s="446"/>
      <c r="EB167" s="446">
        <f>SUM(EB168:EB169)</f>
        <v>0</v>
      </c>
      <c r="EC167" s="446"/>
      <c r="ED167" s="446"/>
      <c r="EE167" s="447"/>
      <c r="EF167" s="446"/>
      <c r="EG167" s="446">
        <f>SUM(EG168:EG169)</f>
        <v>0</v>
      </c>
      <c r="EH167" s="446"/>
      <c r="EI167" s="446"/>
      <c r="EJ167" s="447"/>
      <c r="EK167" s="446"/>
      <c r="EL167" s="446">
        <f>SUM(EL168:EL169)</f>
        <v>0</v>
      </c>
      <c r="EM167" s="446"/>
      <c r="EN167" s="446"/>
      <c r="EO167" s="93"/>
      <c r="EQ167" s="1"/>
      <c r="ER167" s="1"/>
    </row>
    <row r="168" spans="4:148" hidden="1" x14ac:dyDescent="0.2">
      <c r="D168" s="13" t="s">
        <v>470</v>
      </c>
      <c r="E168" s="198"/>
      <c r="F168" s="374"/>
      <c r="G168" s="449">
        <v>0</v>
      </c>
      <c r="H168" s="450"/>
      <c r="I168" s="451"/>
      <c r="J168" s="452"/>
      <c r="K168" s="453"/>
      <c r="L168" s="449">
        <f>L172+L176+L180+L184</f>
        <v>0</v>
      </c>
      <c r="M168" s="450"/>
      <c r="N168" s="451"/>
      <c r="O168" s="452"/>
      <c r="P168" s="453"/>
      <c r="Q168" s="449">
        <f>Q172+Q176+Q180+Q184</f>
        <v>0</v>
      </c>
      <c r="R168" s="450"/>
      <c r="S168" s="451"/>
      <c r="T168" s="452"/>
      <c r="U168" s="453"/>
      <c r="V168" s="449">
        <f>V172+V176+V180+V184</f>
        <v>0</v>
      </c>
      <c r="W168" s="450"/>
      <c r="X168" s="451"/>
      <c r="Y168" s="452"/>
      <c r="Z168" s="453"/>
      <c r="AA168" s="449">
        <f>AA172+AA176+AA180+AA184</f>
        <v>0</v>
      </c>
      <c r="AB168" s="450"/>
      <c r="AC168" s="451"/>
      <c r="AD168" s="452"/>
      <c r="AE168" s="453"/>
      <c r="AF168" s="449">
        <f>AF172+AF176+AF180+AF184</f>
        <v>0</v>
      </c>
      <c r="AG168" s="450"/>
      <c r="AH168" s="451"/>
      <c r="AI168" s="452"/>
      <c r="AJ168" s="453"/>
      <c r="AK168" s="449">
        <f>AK172+AK176+AK180+AK184</f>
        <v>0</v>
      </c>
      <c r="AL168" s="450"/>
      <c r="AM168" s="451"/>
      <c r="AN168" s="452"/>
      <c r="AO168" s="453"/>
      <c r="AP168" s="449">
        <f>AP172+AP176+AP180+AP184</f>
        <v>0</v>
      </c>
      <c r="AQ168" s="450"/>
      <c r="AR168" s="451"/>
      <c r="AS168" s="452"/>
      <c r="AT168" s="453"/>
      <c r="AU168" s="449">
        <f>AU172+AU176+AU180+AU184</f>
        <v>0</v>
      </c>
      <c r="AV168" s="450"/>
      <c r="AW168" s="451"/>
      <c r="AX168" s="452"/>
      <c r="AY168" s="453"/>
      <c r="AZ168" s="449">
        <f>AZ172+AZ176+AZ180+AZ184</f>
        <v>0</v>
      </c>
      <c r="BA168" s="450"/>
      <c r="BB168" s="451"/>
      <c r="BC168" s="452"/>
      <c r="BD168" s="453"/>
      <c r="BE168" s="449">
        <f>BE172+BE176+BE180+BE184</f>
        <v>0</v>
      </c>
      <c r="BF168" s="450"/>
      <c r="BG168" s="451"/>
      <c r="BH168" s="452"/>
      <c r="BI168" s="453"/>
      <c r="BJ168" s="449">
        <f>BJ172+BJ176+BJ180+BJ184</f>
        <v>0</v>
      </c>
      <c r="BK168" s="450"/>
      <c r="BL168" s="451"/>
      <c r="BM168" s="452"/>
      <c r="BN168" s="453"/>
      <c r="BO168" s="449">
        <f>BO172+BO176+BO180+BO184</f>
        <v>0</v>
      </c>
      <c r="BP168" s="450"/>
      <c r="BQ168" s="451"/>
      <c r="BR168" s="452"/>
      <c r="BS168" s="453"/>
      <c r="BT168" s="449">
        <f>BT172+BT176+BT180+BT184</f>
        <v>0</v>
      </c>
      <c r="BU168" s="450"/>
      <c r="BV168" s="451"/>
      <c r="BW168" s="452"/>
      <c r="BX168" s="453"/>
      <c r="BY168" s="449">
        <v>0</v>
      </c>
      <c r="BZ168" s="450"/>
      <c r="CA168" s="451"/>
      <c r="CB168" s="452"/>
      <c r="CC168" s="453"/>
      <c r="CD168" s="449">
        <f>CD172+CD176+CD180+CD184</f>
        <v>0</v>
      </c>
      <c r="CE168" s="450"/>
      <c r="CF168" s="451"/>
      <c r="CG168" s="452"/>
      <c r="CH168" s="453"/>
      <c r="CI168" s="449">
        <f>CI172+CI176+CI180+CI184</f>
        <v>0</v>
      </c>
      <c r="CJ168" s="450"/>
      <c r="CK168" s="451"/>
      <c r="CL168" s="452"/>
      <c r="CM168" s="453"/>
      <c r="CN168" s="449">
        <f>CN172+CN176+CN180+CN184</f>
        <v>0</v>
      </c>
      <c r="CO168" s="450"/>
      <c r="CP168" s="451"/>
      <c r="CQ168" s="452"/>
      <c r="CR168" s="453"/>
      <c r="CS168" s="449">
        <f>CS172+CS176+CS180+CS184</f>
        <v>0</v>
      </c>
      <c r="CT168" s="450"/>
      <c r="CU168" s="451"/>
      <c r="CV168" s="452"/>
      <c r="CW168" s="453"/>
      <c r="CX168" s="449">
        <f>CX172+CX176+CX180+CX184</f>
        <v>0</v>
      </c>
      <c r="CY168" s="450"/>
      <c r="CZ168" s="451"/>
      <c r="DA168" s="452"/>
      <c r="DB168" s="453"/>
      <c r="DC168" s="449">
        <f>DC172+DC176+DC180+DC184</f>
        <v>0</v>
      </c>
      <c r="DD168" s="450"/>
      <c r="DE168" s="451"/>
      <c r="DF168" s="452"/>
      <c r="DG168" s="453"/>
      <c r="DH168" s="449">
        <f>DH172+DH176+DH180+DH184</f>
        <v>0</v>
      </c>
      <c r="DI168" s="450"/>
      <c r="DJ168" s="451"/>
      <c r="DK168" s="452"/>
      <c r="DL168" s="453"/>
      <c r="DM168" s="449">
        <f>DM172+DM176+DM180+DM184</f>
        <v>0</v>
      </c>
      <c r="DN168" s="450"/>
      <c r="DO168" s="451"/>
      <c r="DP168" s="452"/>
      <c r="DQ168" s="453"/>
      <c r="DR168" s="449">
        <f>DR172+DR176+DR180+DR184</f>
        <v>0</v>
      </c>
      <c r="DS168" s="450"/>
      <c r="DT168" s="451"/>
      <c r="DU168" s="452"/>
      <c r="DV168" s="453"/>
      <c r="DW168" s="449">
        <f>DW172+DW176+DW180+DW184</f>
        <v>0</v>
      </c>
      <c r="DX168" s="450"/>
      <c r="DY168" s="451"/>
      <c r="DZ168" s="452"/>
      <c r="EA168" s="453"/>
      <c r="EB168" s="449">
        <f>EB172+EB176+EB180+EB184</f>
        <v>0</v>
      </c>
      <c r="EC168" s="450"/>
      <c r="ED168" s="451"/>
      <c r="EE168" s="452"/>
      <c r="EF168" s="453"/>
      <c r="EG168" s="449">
        <f>EG172+EG176+EG180+EG184</f>
        <v>0</v>
      </c>
      <c r="EH168" s="450"/>
      <c r="EI168" s="451"/>
      <c r="EJ168" s="452"/>
      <c r="EK168" s="453"/>
      <c r="EL168" s="449">
        <f>EL172+EL176+EL180+EL184</f>
        <v>0</v>
      </c>
      <c r="EM168" s="450"/>
      <c r="EN168" s="451"/>
      <c r="EO168" s="13"/>
    </row>
    <row r="169" spans="4:148" hidden="1" x14ac:dyDescent="0.2">
      <c r="D169" s="13" t="s">
        <v>471</v>
      </c>
      <c r="E169" s="198"/>
      <c r="F169" s="385"/>
      <c r="G169" s="463">
        <v>0</v>
      </c>
      <c r="H169" s="464"/>
      <c r="I169" s="451"/>
      <c r="J169" s="452"/>
      <c r="K169" s="465"/>
      <c r="L169" s="463">
        <f>L173+L177+L181+L185</f>
        <v>0</v>
      </c>
      <c r="M169" s="464"/>
      <c r="N169" s="451"/>
      <c r="O169" s="452"/>
      <c r="P169" s="465"/>
      <c r="Q169" s="463">
        <f>Q173+Q177+Q181+Q185</f>
        <v>0</v>
      </c>
      <c r="R169" s="464"/>
      <c r="S169" s="451"/>
      <c r="T169" s="452"/>
      <c r="U169" s="465"/>
      <c r="V169" s="463">
        <f>V173+V177+V181+V185</f>
        <v>0</v>
      </c>
      <c r="W169" s="464"/>
      <c r="X169" s="451"/>
      <c r="Y169" s="452"/>
      <c r="Z169" s="465"/>
      <c r="AA169" s="463">
        <f>AA173+AA177+AA181+AA185</f>
        <v>0</v>
      </c>
      <c r="AB169" s="464"/>
      <c r="AC169" s="451"/>
      <c r="AD169" s="452"/>
      <c r="AE169" s="465"/>
      <c r="AF169" s="463">
        <f>AF173+AF177+AF181+AF185</f>
        <v>0</v>
      </c>
      <c r="AG169" s="464"/>
      <c r="AH169" s="451"/>
      <c r="AI169" s="452"/>
      <c r="AJ169" s="465"/>
      <c r="AK169" s="463">
        <f>AK173+AK177+AK181+AK185</f>
        <v>0</v>
      </c>
      <c r="AL169" s="464"/>
      <c r="AM169" s="451"/>
      <c r="AN169" s="452"/>
      <c r="AO169" s="465"/>
      <c r="AP169" s="463">
        <f>AP173+AP177+AP181+AP185</f>
        <v>0</v>
      </c>
      <c r="AQ169" s="464"/>
      <c r="AR169" s="451"/>
      <c r="AS169" s="452"/>
      <c r="AT169" s="465"/>
      <c r="AU169" s="463">
        <f>AU173+AU177+AU181+AU185</f>
        <v>0</v>
      </c>
      <c r="AV169" s="464"/>
      <c r="AW169" s="451"/>
      <c r="AX169" s="452"/>
      <c r="AY169" s="465"/>
      <c r="AZ169" s="463">
        <f>AZ173+AZ177+AZ181+AZ185</f>
        <v>0</v>
      </c>
      <c r="BA169" s="464"/>
      <c r="BB169" s="451"/>
      <c r="BC169" s="452"/>
      <c r="BD169" s="465"/>
      <c r="BE169" s="463">
        <f>BE173+BE177+BE181+BE185</f>
        <v>0</v>
      </c>
      <c r="BF169" s="464"/>
      <c r="BG169" s="451"/>
      <c r="BH169" s="452"/>
      <c r="BI169" s="465"/>
      <c r="BJ169" s="463">
        <f>BJ173+BJ177+BJ181+BJ185</f>
        <v>0</v>
      </c>
      <c r="BK169" s="464"/>
      <c r="BL169" s="451"/>
      <c r="BM169" s="452"/>
      <c r="BN169" s="465"/>
      <c r="BO169" s="463">
        <f>BO173+BO177+BO181+BO185</f>
        <v>0</v>
      </c>
      <c r="BP169" s="464"/>
      <c r="BQ169" s="451"/>
      <c r="BR169" s="452"/>
      <c r="BS169" s="465"/>
      <c r="BT169" s="463">
        <f>BT173+BT177+BT181+BT185</f>
        <v>0</v>
      </c>
      <c r="BU169" s="464"/>
      <c r="BV169" s="451"/>
      <c r="BW169" s="452"/>
      <c r="BX169" s="465"/>
      <c r="BY169" s="463">
        <v>0</v>
      </c>
      <c r="BZ169" s="464"/>
      <c r="CA169" s="451"/>
      <c r="CB169" s="452"/>
      <c r="CC169" s="465"/>
      <c r="CD169" s="463">
        <f>CD173+CD177+CD181+CD185</f>
        <v>0</v>
      </c>
      <c r="CE169" s="464"/>
      <c r="CF169" s="451"/>
      <c r="CG169" s="452"/>
      <c r="CH169" s="465"/>
      <c r="CI169" s="463">
        <f>CI173+CI177+CI181+CI185</f>
        <v>0</v>
      </c>
      <c r="CJ169" s="464"/>
      <c r="CK169" s="451"/>
      <c r="CL169" s="452"/>
      <c r="CM169" s="465"/>
      <c r="CN169" s="463">
        <f>CN173+CN177+CN181+CN185</f>
        <v>0</v>
      </c>
      <c r="CO169" s="464"/>
      <c r="CP169" s="451"/>
      <c r="CQ169" s="452"/>
      <c r="CR169" s="465"/>
      <c r="CS169" s="463">
        <f>CS173+CS177+CS181+CS185</f>
        <v>0</v>
      </c>
      <c r="CT169" s="464"/>
      <c r="CU169" s="451"/>
      <c r="CV169" s="452"/>
      <c r="CW169" s="465"/>
      <c r="CX169" s="463">
        <f>CX173+CX177+CX181+CX185</f>
        <v>0</v>
      </c>
      <c r="CY169" s="464"/>
      <c r="CZ169" s="451"/>
      <c r="DA169" s="452"/>
      <c r="DB169" s="465"/>
      <c r="DC169" s="463">
        <f>DC173+DC177+DC181+DC185</f>
        <v>0</v>
      </c>
      <c r="DD169" s="464"/>
      <c r="DE169" s="451"/>
      <c r="DF169" s="452"/>
      <c r="DG169" s="465"/>
      <c r="DH169" s="463">
        <f>DH173+DH177+DH181+DH185</f>
        <v>0</v>
      </c>
      <c r="DI169" s="464"/>
      <c r="DJ169" s="451"/>
      <c r="DK169" s="452"/>
      <c r="DL169" s="465"/>
      <c r="DM169" s="463">
        <f>DM173+DM177+DM181+DM185</f>
        <v>0</v>
      </c>
      <c r="DN169" s="464"/>
      <c r="DO169" s="451"/>
      <c r="DP169" s="452"/>
      <c r="DQ169" s="465"/>
      <c r="DR169" s="463">
        <f>DR173+DR177+DR181+DR185</f>
        <v>0</v>
      </c>
      <c r="DS169" s="464"/>
      <c r="DT169" s="451"/>
      <c r="DU169" s="452"/>
      <c r="DV169" s="465"/>
      <c r="DW169" s="463">
        <f>DW173+DW177+DW181+DW185</f>
        <v>0</v>
      </c>
      <c r="DX169" s="464"/>
      <c r="DY169" s="451"/>
      <c r="DZ169" s="452"/>
      <c r="EA169" s="465"/>
      <c r="EB169" s="463">
        <f>EB173+EB177+EB181+EB185</f>
        <v>0</v>
      </c>
      <c r="EC169" s="464"/>
      <c r="ED169" s="451"/>
      <c r="EE169" s="452"/>
      <c r="EF169" s="465"/>
      <c r="EG169" s="463">
        <f>EG173+EG177+EG181+EG185</f>
        <v>0</v>
      </c>
      <c r="EH169" s="464"/>
      <c r="EI169" s="451"/>
      <c r="EJ169" s="452"/>
      <c r="EK169" s="465"/>
      <c r="EL169" s="463">
        <f>EL173+EL177+EL181+EL185</f>
        <v>0</v>
      </c>
      <c r="EM169" s="464"/>
      <c r="EN169" s="451"/>
      <c r="EO169" s="13"/>
    </row>
    <row r="170" spans="4:148" hidden="1" x14ac:dyDescent="0.2">
      <c r="D170" s="13"/>
      <c r="E170" s="198"/>
      <c r="G170" s="451"/>
      <c r="H170" s="451"/>
      <c r="I170" s="451"/>
      <c r="J170" s="452"/>
      <c r="K170" s="451"/>
      <c r="L170" s="451"/>
      <c r="M170" s="451"/>
      <c r="N170" s="451"/>
      <c r="O170" s="452"/>
      <c r="P170" s="451"/>
      <c r="Q170" s="451"/>
      <c r="R170" s="451"/>
      <c r="S170" s="451"/>
      <c r="T170" s="452"/>
      <c r="U170" s="451"/>
      <c r="V170" s="451"/>
      <c r="W170" s="451"/>
      <c r="X170" s="451"/>
      <c r="Y170" s="452"/>
      <c r="Z170" s="451"/>
      <c r="AA170" s="451"/>
      <c r="AB170" s="451"/>
      <c r="AC170" s="451"/>
      <c r="AD170" s="452"/>
      <c r="AE170" s="451"/>
      <c r="AF170" s="451"/>
      <c r="AG170" s="451"/>
      <c r="AH170" s="451"/>
      <c r="AI170" s="452"/>
      <c r="AJ170" s="451"/>
      <c r="AK170" s="451"/>
      <c r="AL170" s="451"/>
      <c r="AM170" s="451"/>
      <c r="AN170" s="452"/>
      <c r="AO170" s="451"/>
      <c r="AP170" s="451"/>
      <c r="AQ170" s="451"/>
      <c r="AR170" s="451"/>
      <c r="AS170" s="452"/>
      <c r="AT170" s="451"/>
      <c r="AU170" s="451"/>
      <c r="AV170" s="451"/>
      <c r="AW170" s="451"/>
      <c r="AX170" s="452"/>
      <c r="AY170" s="451"/>
      <c r="AZ170" s="451"/>
      <c r="BA170" s="451"/>
      <c r="BB170" s="451"/>
      <c r="BC170" s="452"/>
      <c r="BD170" s="451"/>
      <c r="BE170" s="451"/>
      <c r="BF170" s="451"/>
      <c r="BG170" s="451"/>
      <c r="BH170" s="452"/>
      <c r="BI170" s="451"/>
      <c r="BJ170" s="451"/>
      <c r="BK170" s="451"/>
      <c r="BL170" s="451"/>
      <c r="BM170" s="452"/>
      <c r="BN170" s="451"/>
      <c r="BO170" s="451"/>
      <c r="BP170" s="451"/>
      <c r="BQ170" s="451"/>
      <c r="BR170" s="452"/>
      <c r="BS170" s="451"/>
      <c r="BT170" s="451"/>
      <c r="BU170" s="451"/>
      <c r="BV170" s="451"/>
      <c r="BW170" s="452"/>
      <c r="BX170" s="451"/>
      <c r="BY170" s="451"/>
      <c r="BZ170" s="451"/>
      <c r="CA170" s="451"/>
      <c r="CB170" s="452"/>
      <c r="CC170" s="451"/>
      <c r="CD170" s="451"/>
      <c r="CE170" s="451"/>
      <c r="CF170" s="451"/>
      <c r="CG170" s="452"/>
      <c r="CH170" s="451"/>
      <c r="CI170" s="451"/>
      <c r="CJ170" s="451"/>
      <c r="CK170" s="451"/>
      <c r="CL170" s="452"/>
      <c r="CM170" s="451"/>
      <c r="CN170" s="451"/>
      <c r="CO170" s="451"/>
      <c r="CP170" s="451"/>
      <c r="CQ170" s="452"/>
      <c r="CR170" s="451"/>
      <c r="CS170" s="451"/>
      <c r="CT170" s="451"/>
      <c r="CU170" s="451"/>
      <c r="CV170" s="452"/>
      <c r="CW170" s="451"/>
      <c r="CX170" s="451"/>
      <c r="CY170" s="451"/>
      <c r="CZ170" s="451"/>
      <c r="DA170" s="452"/>
      <c r="DB170" s="451"/>
      <c r="DC170" s="451"/>
      <c r="DD170" s="451"/>
      <c r="DE170" s="451"/>
      <c r="DF170" s="452"/>
      <c r="DG170" s="451"/>
      <c r="DH170" s="451"/>
      <c r="DI170" s="451"/>
      <c r="DJ170" s="451"/>
      <c r="DK170" s="452"/>
      <c r="DL170" s="451"/>
      <c r="DM170" s="451"/>
      <c r="DN170" s="451"/>
      <c r="DO170" s="451"/>
      <c r="DP170" s="452"/>
      <c r="DQ170" s="451"/>
      <c r="DR170" s="451"/>
      <c r="DS170" s="451"/>
      <c r="DT170" s="451"/>
      <c r="DU170" s="452"/>
      <c r="DV170" s="451"/>
      <c r="DW170" s="451"/>
      <c r="DX170" s="451"/>
      <c r="DY170" s="451"/>
      <c r="DZ170" s="452"/>
      <c r="EA170" s="451"/>
      <c r="EB170" s="451"/>
      <c r="EC170" s="451"/>
      <c r="ED170" s="451"/>
      <c r="EE170" s="452"/>
      <c r="EF170" s="451"/>
      <c r="EG170" s="451"/>
      <c r="EH170" s="451"/>
      <c r="EI170" s="451"/>
      <c r="EJ170" s="452"/>
      <c r="EK170" s="451"/>
      <c r="EL170" s="451"/>
      <c r="EM170" s="451"/>
      <c r="EN170" s="451"/>
      <c r="EO170" s="13"/>
    </row>
    <row r="171" spans="4:148" hidden="1" x14ac:dyDescent="0.2">
      <c r="D171" s="13" t="s">
        <v>487</v>
      </c>
      <c r="E171" s="198"/>
      <c r="G171" s="451">
        <v>0</v>
      </c>
      <c r="H171" s="451"/>
      <c r="I171" s="451"/>
      <c r="J171" s="452"/>
      <c r="K171" s="451"/>
      <c r="L171" s="451">
        <f>SUM(L172:L173)</f>
        <v>0</v>
      </c>
      <c r="M171" s="451"/>
      <c r="N171" s="451"/>
      <c r="O171" s="452"/>
      <c r="P171" s="451"/>
      <c r="Q171" s="451">
        <f>SUM(Q172:Q173)</f>
        <v>0</v>
      </c>
      <c r="R171" s="451"/>
      <c r="S171" s="451"/>
      <c r="T171" s="452"/>
      <c r="U171" s="451"/>
      <c r="V171" s="451">
        <f>SUM(V172:V173)</f>
        <v>0</v>
      </c>
      <c r="W171" s="451"/>
      <c r="X171" s="451"/>
      <c r="Y171" s="452"/>
      <c r="Z171" s="451"/>
      <c r="AA171" s="451">
        <f>SUM(AA172:AA173)</f>
        <v>0</v>
      </c>
      <c r="AB171" s="451"/>
      <c r="AC171" s="451"/>
      <c r="AD171" s="452"/>
      <c r="AE171" s="451"/>
      <c r="AF171" s="451">
        <f>SUM(AF172:AF173)</f>
        <v>0</v>
      </c>
      <c r="AG171" s="451"/>
      <c r="AH171" s="451"/>
      <c r="AI171" s="452"/>
      <c r="AJ171" s="451"/>
      <c r="AK171" s="451">
        <f>SUM(AK172:AK173)</f>
        <v>0</v>
      </c>
      <c r="AL171" s="451"/>
      <c r="AM171" s="451"/>
      <c r="AN171" s="452"/>
      <c r="AO171" s="451"/>
      <c r="AP171" s="451">
        <f>SUM(AP172:AP173)</f>
        <v>0</v>
      </c>
      <c r="AQ171" s="451"/>
      <c r="AR171" s="451"/>
      <c r="AS171" s="452"/>
      <c r="AT171" s="451"/>
      <c r="AU171" s="451">
        <f>SUM(AU172:AU173)</f>
        <v>0</v>
      </c>
      <c r="AV171" s="451"/>
      <c r="AW171" s="451"/>
      <c r="AX171" s="452"/>
      <c r="AY171" s="451"/>
      <c r="AZ171" s="451">
        <f>SUM(AZ172:AZ173)</f>
        <v>0</v>
      </c>
      <c r="BA171" s="451"/>
      <c r="BB171" s="451"/>
      <c r="BC171" s="452"/>
      <c r="BD171" s="451"/>
      <c r="BE171" s="451">
        <f>SUM(BE172:BE173)</f>
        <v>0</v>
      </c>
      <c r="BF171" s="451"/>
      <c r="BG171" s="451"/>
      <c r="BH171" s="452"/>
      <c r="BI171" s="451"/>
      <c r="BJ171" s="451">
        <f>SUM(BJ172:BJ173)</f>
        <v>0</v>
      </c>
      <c r="BK171" s="451"/>
      <c r="BL171" s="451"/>
      <c r="BM171" s="452"/>
      <c r="BN171" s="451"/>
      <c r="BO171" s="451">
        <f>SUM(BO172:BO173)</f>
        <v>0</v>
      </c>
      <c r="BP171" s="451"/>
      <c r="BQ171" s="451"/>
      <c r="BR171" s="452"/>
      <c r="BS171" s="451"/>
      <c r="BT171" s="451">
        <f>SUM(BT172:BT173)</f>
        <v>0</v>
      </c>
      <c r="BU171" s="451"/>
      <c r="BV171" s="451"/>
      <c r="BW171" s="452"/>
      <c r="BX171" s="451"/>
      <c r="BY171" s="451">
        <v>0</v>
      </c>
      <c r="BZ171" s="451"/>
      <c r="CA171" s="451"/>
      <c r="CB171" s="452"/>
      <c r="CC171" s="451"/>
      <c r="CD171" s="451">
        <f>SUM(CD172:CD173)</f>
        <v>0</v>
      </c>
      <c r="CE171" s="451"/>
      <c r="CF171" s="451"/>
      <c r="CG171" s="452"/>
      <c r="CH171" s="451"/>
      <c r="CI171" s="451">
        <f>SUM(CI172:CI173)</f>
        <v>0</v>
      </c>
      <c r="CJ171" s="451"/>
      <c r="CK171" s="451"/>
      <c r="CL171" s="452"/>
      <c r="CM171" s="451"/>
      <c r="CN171" s="451">
        <f>SUM(CN172:CN173)</f>
        <v>0</v>
      </c>
      <c r="CO171" s="451"/>
      <c r="CP171" s="451"/>
      <c r="CQ171" s="452"/>
      <c r="CR171" s="451"/>
      <c r="CS171" s="451">
        <f>SUM(CS172:CS173)</f>
        <v>0</v>
      </c>
      <c r="CT171" s="451"/>
      <c r="CU171" s="451"/>
      <c r="CV171" s="452"/>
      <c r="CW171" s="451"/>
      <c r="CX171" s="451">
        <f>SUM(CX172:CX173)</f>
        <v>0</v>
      </c>
      <c r="CY171" s="451"/>
      <c r="CZ171" s="451"/>
      <c r="DA171" s="452"/>
      <c r="DB171" s="451"/>
      <c r="DC171" s="451">
        <f>SUM(DC172:DC173)</f>
        <v>0</v>
      </c>
      <c r="DD171" s="451"/>
      <c r="DE171" s="451"/>
      <c r="DF171" s="452"/>
      <c r="DG171" s="451"/>
      <c r="DH171" s="451">
        <f>SUM(DH172:DH173)</f>
        <v>0</v>
      </c>
      <c r="DI171" s="451"/>
      <c r="DJ171" s="451"/>
      <c r="DK171" s="452"/>
      <c r="DL171" s="451"/>
      <c r="DM171" s="451">
        <f>SUM(DM172:DM173)</f>
        <v>0</v>
      </c>
      <c r="DN171" s="451"/>
      <c r="DO171" s="451"/>
      <c r="DP171" s="452"/>
      <c r="DQ171" s="451"/>
      <c r="DR171" s="451">
        <f>SUM(DR172:DR173)</f>
        <v>0</v>
      </c>
      <c r="DS171" s="451"/>
      <c r="DT171" s="451"/>
      <c r="DU171" s="452"/>
      <c r="DV171" s="451"/>
      <c r="DW171" s="451">
        <f>SUM(DW172:DW173)</f>
        <v>0</v>
      </c>
      <c r="DX171" s="451"/>
      <c r="DY171" s="451"/>
      <c r="DZ171" s="452"/>
      <c r="EA171" s="451"/>
      <c r="EB171" s="451">
        <f>SUM(EB172:EB173)</f>
        <v>0</v>
      </c>
      <c r="EC171" s="451"/>
      <c r="ED171" s="451"/>
      <c r="EE171" s="452"/>
      <c r="EF171" s="451"/>
      <c r="EG171" s="451">
        <f>SUM(EG172:EG173)</f>
        <v>0</v>
      </c>
      <c r="EH171" s="451"/>
      <c r="EI171" s="451"/>
      <c r="EJ171" s="452"/>
      <c r="EK171" s="451"/>
      <c r="EL171" s="451">
        <f>SUM(EL172:EL173)</f>
        <v>0</v>
      </c>
      <c r="EM171" s="451"/>
      <c r="EN171" s="451"/>
      <c r="EO171" s="13"/>
    </row>
    <row r="172" spans="4:148" hidden="1" x14ac:dyDescent="0.2">
      <c r="D172" s="13" t="s">
        <v>470</v>
      </c>
      <c r="E172" s="198"/>
      <c r="F172" s="374"/>
      <c r="G172" s="449">
        <v>0</v>
      </c>
      <c r="H172" s="450"/>
      <c r="I172" s="451"/>
      <c r="J172" s="452"/>
      <c r="K172" s="453"/>
      <c r="L172" s="449">
        <v>0</v>
      </c>
      <c r="M172" s="450"/>
      <c r="N172" s="451"/>
      <c r="O172" s="452"/>
      <c r="P172" s="453"/>
      <c r="Q172" s="449">
        <v>0</v>
      </c>
      <c r="R172" s="450"/>
      <c r="S172" s="451"/>
      <c r="T172" s="452"/>
      <c r="U172" s="453"/>
      <c r="V172" s="449">
        <v>0</v>
      </c>
      <c r="W172" s="450"/>
      <c r="X172" s="451"/>
      <c r="Y172" s="452"/>
      <c r="Z172" s="453"/>
      <c r="AA172" s="449">
        <v>0</v>
      </c>
      <c r="AB172" s="450"/>
      <c r="AC172" s="451"/>
      <c r="AD172" s="452"/>
      <c r="AE172" s="453"/>
      <c r="AF172" s="449">
        <v>0</v>
      </c>
      <c r="AG172" s="450"/>
      <c r="AH172" s="451"/>
      <c r="AI172" s="452"/>
      <c r="AJ172" s="453"/>
      <c r="AK172" s="449">
        <v>0</v>
      </c>
      <c r="AL172" s="450"/>
      <c r="AM172" s="451"/>
      <c r="AN172" s="452"/>
      <c r="AO172" s="453"/>
      <c r="AP172" s="449">
        <v>0</v>
      </c>
      <c r="AQ172" s="450"/>
      <c r="AR172" s="451"/>
      <c r="AS172" s="452"/>
      <c r="AT172" s="453"/>
      <c r="AU172" s="449">
        <v>0</v>
      </c>
      <c r="AV172" s="450"/>
      <c r="AW172" s="451"/>
      <c r="AX172" s="452"/>
      <c r="AY172" s="453"/>
      <c r="AZ172" s="449">
        <v>0</v>
      </c>
      <c r="BA172" s="450"/>
      <c r="BB172" s="451"/>
      <c r="BC172" s="452"/>
      <c r="BD172" s="453"/>
      <c r="BE172" s="449">
        <v>0</v>
      </c>
      <c r="BF172" s="450"/>
      <c r="BG172" s="451"/>
      <c r="BH172" s="452"/>
      <c r="BI172" s="453"/>
      <c r="BJ172" s="449">
        <v>0</v>
      </c>
      <c r="BK172" s="450"/>
      <c r="BL172" s="451"/>
      <c r="BM172" s="452"/>
      <c r="BN172" s="453"/>
      <c r="BO172" s="449">
        <v>0</v>
      </c>
      <c r="BP172" s="450"/>
      <c r="BQ172" s="451"/>
      <c r="BR172" s="452"/>
      <c r="BS172" s="453"/>
      <c r="BT172" s="449">
        <f>SUM(L172:BO172)</f>
        <v>0</v>
      </c>
      <c r="BU172" s="450"/>
      <c r="BV172" s="451"/>
      <c r="BW172" s="452"/>
      <c r="BX172" s="453"/>
      <c r="BY172" s="449">
        <v>0</v>
      </c>
      <c r="BZ172" s="450"/>
      <c r="CA172" s="451"/>
      <c r="CB172" s="452"/>
      <c r="CC172" s="453"/>
      <c r="CD172" s="449">
        <v>0</v>
      </c>
      <c r="CE172" s="450"/>
      <c r="CF172" s="451"/>
      <c r="CG172" s="452"/>
      <c r="CH172" s="453"/>
      <c r="CI172" s="449">
        <v>0</v>
      </c>
      <c r="CJ172" s="450"/>
      <c r="CK172" s="451"/>
      <c r="CL172" s="452"/>
      <c r="CM172" s="453"/>
      <c r="CN172" s="449">
        <v>0</v>
      </c>
      <c r="CO172" s="450"/>
      <c r="CP172" s="451"/>
      <c r="CQ172" s="452"/>
      <c r="CR172" s="453"/>
      <c r="CS172" s="449">
        <v>0</v>
      </c>
      <c r="CT172" s="450"/>
      <c r="CU172" s="451"/>
      <c r="CV172" s="452"/>
      <c r="CW172" s="453"/>
      <c r="CX172" s="449">
        <v>0</v>
      </c>
      <c r="CY172" s="450"/>
      <c r="CZ172" s="451"/>
      <c r="DA172" s="452"/>
      <c r="DB172" s="453"/>
      <c r="DC172" s="449">
        <v>0</v>
      </c>
      <c r="DD172" s="450"/>
      <c r="DE172" s="451"/>
      <c r="DF172" s="452"/>
      <c r="DG172" s="453"/>
      <c r="DH172" s="449">
        <v>0</v>
      </c>
      <c r="DI172" s="450"/>
      <c r="DJ172" s="451"/>
      <c r="DK172" s="452"/>
      <c r="DL172" s="453"/>
      <c r="DM172" s="449">
        <v>0</v>
      </c>
      <c r="DN172" s="450"/>
      <c r="DO172" s="451"/>
      <c r="DP172" s="452"/>
      <c r="DQ172" s="453"/>
      <c r="DR172" s="449">
        <v>0</v>
      </c>
      <c r="DS172" s="450"/>
      <c r="DT172" s="451"/>
      <c r="DU172" s="452"/>
      <c r="DV172" s="453"/>
      <c r="DW172" s="449">
        <v>0</v>
      </c>
      <c r="DX172" s="450"/>
      <c r="DY172" s="451"/>
      <c r="DZ172" s="452"/>
      <c r="EA172" s="453"/>
      <c r="EB172" s="449">
        <v>0</v>
      </c>
      <c r="EC172" s="450"/>
      <c r="ED172" s="451"/>
      <c r="EE172" s="452"/>
      <c r="EF172" s="453"/>
      <c r="EG172" s="449">
        <v>0</v>
      </c>
      <c r="EH172" s="450"/>
      <c r="EI172" s="451"/>
      <c r="EJ172" s="452"/>
      <c r="EK172" s="453"/>
      <c r="EL172" s="449">
        <f>SUM(CD172:EG172)</f>
        <v>0</v>
      </c>
      <c r="EM172" s="450"/>
      <c r="EN172" s="451"/>
      <c r="EO172" s="13"/>
    </row>
    <row r="173" spans="4:148" hidden="1" x14ac:dyDescent="0.2">
      <c r="D173" s="13" t="s">
        <v>471</v>
      </c>
      <c r="E173" s="198"/>
      <c r="F173" s="385"/>
      <c r="G173" s="463">
        <v>0</v>
      </c>
      <c r="H173" s="464"/>
      <c r="I173" s="451"/>
      <c r="J173" s="452"/>
      <c r="K173" s="465"/>
      <c r="L173" s="463">
        <v>0</v>
      </c>
      <c r="M173" s="464"/>
      <c r="N173" s="451"/>
      <c r="O173" s="452"/>
      <c r="P173" s="465"/>
      <c r="Q173" s="463">
        <v>0</v>
      </c>
      <c r="R173" s="464"/>
      <c r="S173" s="451"/>
      <c r="T173" s="452"/>
      <c r="U173" s="465"/>
      <c r="V173" s="463">
        <v>0</v>
      </c>
      <c r="W173" s="464"/>
      <c r="X173" s="451"/>
      <c r="Y173" s="452"/>
      <c r="Z173" s="465"/>
      <c r="AA173" s="463">
        <v>0</v>
      </c>
      <c r="AB173" s="464"/>
      <c r="AC173" s="451"/>
      <c r="AD173" s="452"/>
      <c r="AE173" s="465"/>
      <c r="AF173" s="463">
        <v>0</v>
      </c>
      <c r="AG173" s="464"/>
      <c r="AH173" s="451"/>
      <c r="AI173" s="452"/>
      <c r="AJ173" s="465"/>
      <c r="AK173" s="463">
        <v>0</v>
      </c>
      <c r="AL173" s="464"/>
      <c r="AM173" s="451"/>
      <c r="AN173" s="452"/>
      <c r="AO173" s="465"/>
      <c r="AP173" s="463">
        <v>0</v>
      </c>
      <c r="AQ173" s="464"/>
      <c r="AR173" s="451"/>
      <c r="AS173" s="452"/>
      <c r="AT173" s="465"/>
      <c r="AU173" s="463">
        <v>0</v>
      </c>
      <c r="AV173" s="464"/>
      <c r="AW173" s="451"/>
      <c r="AX173" s="452"/>
      <c r="AY173" s="465"/>
      <c r="AZ173" s="463">
        <v>0</v>
      </c>
      <c r="BA173" s="464"/>
      <c r="BB173" s="451"/>
      <c r="BC173" s="452"/>
      <c r="BD173" s="465"/>
      <c r="BE173" s="463">
        <v>0</v>
      </c>
      <c r="BF173" s="464"/>
      <c r="BG173" s="451"/>
      <c r="BH173" s="452"/>
      <c r="BI173" s="465"/>
      <c r="BJ173" s="463">
        <v>0</v>
      </c>
      <c r="BK173" s="464"/>
      <c r="BL173" s="451"/>
      <c r="BM173" s="452"/>
      <c r="BN173" s="465"/>
      <c r="BO173" s="463">
        <v>0</v>
      </c>
      <c r="BP173" s="464"/>
      <c r="BQ173" s="451"/>
      <c r="BR173" s="452"/>
      <c r="BS173" s="465"/>
      <c r="BT173" s="463">
        <f>SUM(L173:BO173)</f>
        <v>0</v>
      </c>
      <c r="BU173" s="464"/>
      <c r="BV173" s="451"/>
      <c r="BW173" s="452"/>
      <c r="BX173" s="465"/>
      <c r="BY173" s="463">
        <v>0</v>
      </c>
      <c r="BZ173" s="464"/>
      <c r="CA173" s="451"/>
      <c r="CB173" s="452"/>
      <c r="CC173" s="465"/>
      <c r="CD173" s="463">
        <v>0</v>
      </c>
      <c r="CE173" s="464"/>
      <c r="CF173" s="451"/>
      <c r="CG173" s="452"/>
      <c r="CH173" s="465"/>
      <c r="CI173" s="463">
        <v>0</v>
      </c>
      <c r="CJ173" s="464"/>
      <c r="CK173" s="451"/>
      <c r="CL173" s="452"/>
      <c r="CM173" s="465"/>
      <c r="CN173" s="463">
        <v>0</v>
      </c>
      <c r="CO173" s="464"/>
      <c r="CP173" s="451"/>
      <c r="CQ173" s="452"/>
      <c r="CR173" s="465"/>
      <c r="CS173" s="463">
        <v>0</v>
      </c>
      <c r="CT173" s="464"/>
      <c r="CU173" s="451"/>
      <c r="CV173" s="452"/>
      <c r="CW173" s="465"/>
      <c r="CX173" s="463">
        <v>0</v>
      </c>
      <c r="CY173" s="464"/>
      <c r="CZ173" s="451"/>
      <c r="DA173" s="452"/>
      <c r="DB173" s="465"/>
      <c r="DC173" s="463">
        <v>0</v>
      </c>
      <c r="DD173" s="464"/>
      <c r="DE173" s="451"/>
      <c r="DF173" s="452"/>
      <c r="DG173" s="465"/>
      <c r="DH173" s="463">
        <v>0</v>
      </c>
      <c r="DI173" s="464"/>
      <c r="DJ173" s="451"/>
      <c r="DK173" s="452"/>
      <c r="DL173" s="465"/>
      <c r="DM173" s="463">
        <v>0</v>
      </c>
      <c r="DN173" s="464"/>
      <c r="DO173" s="451"/>
      <c r="DP173" s="452"/>
      <c r="DQ173" s="465"/>
      <c r="DR173" s="463">
        <v>0</v>
      </c>
      <c r="DS173" s="464"/>
      <c r="DT173" s="451"/>
      <c r="DU173" s="452"/>
      <c r="DV173" s="465"/>
      <c r="DW173" s="463">
        <v>0</v>
      </c>
      <c r="DX173" s="464"/>
      <c r="DY173" s="451"/>
      <c r="DZ173" s="452"/>
      <c r="EA173" s="465"/>
      <c r="EB173" s="463">
        <v>0</v>
      </c>
      <c r="EC173" s="464"/>
      <c r="ED173" s="451"/>
      <c r="EE173" s="452"/>
      <c r="EF173" s="465"/>
      <c r="EG173" s="463">
        <v>0</v>
      </c>
      <c r="EH173" s="464"/>
      <c r="EI173" s="451"/>
      <c r="EJ173" s="452"/>
      <c r="EK173" s="465"/>
      <c r="EL173" s="463">
        <f>SUM(CD173:EG173)</f>
        <v>0</v>
      </c>
      <c r="EM173" s="464"/>
      <c r="EN173" s="451"/>
      <c r="EO173" s="13"/>
    </row>
    <row r="174" spans="4:148" hidden="1" x14ac:dyDescent="0.2">
      <c r="D174" s="13"/>
      <c r="E174" s="198"/>
      <c r="G174" s="451"/>
      <c r="H174" s="451"/>
      <c r="I174" s="451"/>
      <c r="J174" s="452"/>
      <c r="K174" s="451"/>
      <c r="L174" s="451"/>
      <c r="M174" s="451"/>
      <c r="N174" s="451"/>
      <c r="O174" s="452"/>
      <c r="P174" s="451"/>
      <c r="Q174" s="451"/>
      <c r="R174" s="451"/>
      <c r="S174" s="451"/>
      <c r="T174" s="452"/>
      <c r="U174" s="451"/>
      <c r="V174" s="451"/>
      <c r="W174" s="451"/>
      <c r="X174" s="451"/>
      <c r="Y174" s="452"/>
      <c r="Z174" s="451"/>
      <c r="AA174" s="451"/>
      <c r="AB174" s="451"/>
      <c r="AC174" s="451"/>
      <c r="AD174" s="452"/>
      <c r="AE174" s="451"/>
      <c r="AF174" s="451"/>
      <c r="AG174" s="451"/>
      <c r="AH174" s="451"/>
      <c r="AI174" s="452"/>
      <c r="AJ174" s="451"/>
      <c r="AK174" s="451"/>
      <c r="AL174" s="451"/>
      <c r="AM174" s="451"/>
      <c r="AN174" s="452"/>
      <c r="AO174" s="451"/>
      <c r="AP174" s="451"/>
      <c r="AQ174" s="451"/>
      <c r="AR174" s="451"/>
      <c r="AS174" s="452"/>
      <c r="AT174" s="451"/>
      <c r="AU174" s="451"/>
      <c r="AV174" s="451"/>
      <c r="AW174" s="451"/>
      <c r="AX174" s="452"/>
      <c r="AY174" s="451"/>
      <c r="AZ174" s="451"/>
      <c r="BA174" s="451"/>
      <c r="BB174" s="451"/>
      <c r="BC174" s="452"/>
      <c r="BD174" s="451"/>
      <c r="BE174" s="451"/>
      <c r="BF174" s="451"/>
      <c r="BG174" s="451"/>
      <c r="BH174" s="452"/>
      <c r="BI174" s="451"/>
      <c r="BJ174" s="451"/>
      <c r="BK174" s="451"/>
      <c r="BL174" s="451"/>
      <c r="BM174" s="452"/>
      <c r="BN174" s="451"/>
      <c r="BO174" s="451"/>
      <c r="BP174" s="451"/>
      <c r="BQ174" s="451"/>
      <c r="BR174" s="452"/>
      <c r="BS174" s="451"/>
      <c r="BT174" s="451"/>
      <c r="BU174" s="451"/>
      <c r="BV174" s="451"/>
      <c r="BW174" s="452"/>
      <c r="BX174" s="451"/>
      <c r="BY174" s="451"/>
      <c r="BZ174" s="451"/>
      <c r="CA174" s="451"/>
      <c r="CB174" s="452"/>
      <c r="CC174" s="451"/>
      <c r="CD174" s="451"/>
      <c r="CE174" s="451"/>
      <c r="CF174" s="451"/>
      <c r="CG174" s="452"/>
      <c r="CH174" s="451"/>
      <c r="CI174" s="451"/>
      <c r="CJ174" s="451"/>
      <c r="CK174" s="451"/>
      <c r="CL174" s="452"/>
      <c r="CM174" s="451"/>
      <c r="CN174" s="451"/>
      <c r="CO174" s="451"/>
      <c r="CP174" s="451"/>
      <c r="CQ174" s="452"/>
      <c r="CR174" s="451"/>
      <c r="CS174" s="451"/>
      <c r="CT174" s="451"/>
      <c r="CU174" s="451"/>
      <c r="CV174" s="452"/>
      <c r="CW174" s="451"/>
      <c r="CX174" s="451"/>
      <c r="CY174" s="451"/>
      <c r="CZ174" s="451"/>
      <c r="DA174" s="452"/>
      <c r="DB174" s="451"/>
      <c r="DC174" s="451"/>
      <c r="DD174" s="451"/>
      <c r="DE174" s="451"/>
      <c r="DF174" s="452"/>
      <c r="DG174" s="451"/>
      <c r="DH174" s="451"/>
      <c r="DI174" s="451"/>
      <c r="DJ174" s="451"/>
      <c r="DK174" s="452"/>
      <c r="DL174" s="451"/>
      <c r="DM174" s="451"/>
      <c r="DN174" s="451"/>
      <c r="DO174" s="451"/>
      <c r="DP174" s="452"/>
      <c r="DQ174" s="451"/>
      <c r="DR174" s="451"/>
      <c r="DS174" s="451"/>
      <c r="DT174" s="451"/>
      <c r="DU174" s="452"/>
      <c r="DV174" s="451"/>
      <c r="DW174" s="451"/>
      <c r="DX174" s="451"/>
      <c r="DY174" s="451"/>
      <c r="DZ174" s="452"/>
      <c r="EA174" s="451"/>
      <c r="EB174" s="451"/>
      <c r="EC174" s="451"/>
      <c r="ED174" s="451"/>
      <c r="EE174" s="452"/>
      <c r="EF174" s="451"/>
      <c r="EG174" s="451"/>
      <c r="EH174" s="451"/>
      <c r="EI174" s="451"/>
      <c r="EJ174" s="452"/>
      <c r="EK174" s="451"/>
      <c r="EL174" s="451"/>
      <c r="EM174" s="451"/>
      <c r="EN174" s="451"/>
      <c r="EO174" s="13"/>
    </row>
    <row r="175" spans="4:148" hidden="1" x14ac:dyDescent="0.2">
      <c r="D175" s="13" t="s">
        <v>488</v>
      </c>
      <c r="E175" s="198"/>
      <c r="G175" s="451">
        <f>SUM(G176:G177)</f>
        <v>0</v>
      </c>
      <c r="H175" s="451"/>
      <c r="I175" s="451"/>
      <c r="J175" s="452"/>
      <c r="K175" s="451"/>
      <c r="L175" s="451">
        <f>SUM(L176:L177)</f>
        <v>0</v>
      </c>
      <c r="M175" s="451"/>
      <c r="N175" s="451"/>
      <c r="O175" s="452"/>
      <c r="P175" s="451"/>
      <c r="Q175" s="451">
        <f>SUM(Q176:Q177)</f>
        <v>0</v>
      </c>
      <c r="R175" s="451"/>
      <c r="S175" s="451"/>
      <c r="T175" s="452"/>
      <c r="U175" s="451"/>
      <c r="V175" s="451">
        <f>SUM(V176:V177)</f>
        <v>0</v>
      </c>
      <c r="W175" s="451"/>
      <c r="X175" s="451"/>
      <c r="Y175" s="452"/>
      <c r="Z175" s="451"/>
      <c r="AA175" s="451">
        <f>SUM(AA176:AA177)</f>
        <v>0</v>
      </c>
      <c r="AB175" s="451"/>
      <c r="AC175" s="451"/>
      <c r="AD175" s="452"/>
      <c r="AE175" s="451"/>
      <c r="AF175" s="451">
        <f>SUM(AF176:AF177)</f>
        <v>0</v>
      </c>
      <c r="AG175" s="451"/>
      <c r="AH175" s="451"/>
      <c r="AI175" s="452"/>
      <c r="AJ175" s="451"/>
      <c r="AK175" s="451">
        <f>SUM(AK176:AK177)</f>
        <v>0</v>
      </c>
      <c r="AL175" s="451"/>
      <c r="AM175" s="451"/>
      <c r="AN175" s="452"/>
      <c r="AO175" s="451"/>
      <c r="AP175" s="451">
        <f>SUM(AP176:AP177)</f>
        <v>0</v>
      </c>
      <c r="AQ175" s="451"/>
      <c r="AR175" s="451"/>
      <c r="AS175" s="452"/>
      <c r="AT175" s="451"/>
      <c r="AU175" s="451">
        <f>SUM(AU176:AU177)</f>
        <v>0</v>
      </c>
      <c r="AV175" s="451"/>
      <c r="AW175" s="451"/>
      <c r="AX175" s="452"/>
      <c r="AY175" s="451"/>
      <c r="AZ175" s="451">
        <f>SUM(AZ176:AZ177)</f>
        <v>0</v>
      </c>
      <c r="BA175" s="451"/>
      <c r="BB175" s="451"/>
      <c r="BC175" s="452"/>
      <c r="BD175" s="451"/>
      <c r="BE175" s="451">
        <f>SUM(BE176:BE177)</f>
        <v>0</v>
      </c>
      <c r="BF175" s="451"/>
      <c r="BG175" s="451"/>
      <c r="BH175" s="452"/>
      <c r="BI175" s="451"/>
      <c r="BJ175" s="451">
        <f>SUM(BJ176:BJ177)</f>
        <v>0</v>
      </c>
      <c r="BK175" s="451"/>
      <c r="BL175" s="451"/>
      <c r="BM175" s="452"/>
      <c r="BN175" s="451"/>
      <c r="BO175" s="451">
        <f>SUM(BO176:BO177)</f>
        <v>0</v>
      </c>
      <c r="BP175" s="451"/>
      <c r="BQ175" s="451"/>
      <c r="BR175" s="452"/>
      <c r="BS175" s="451"/>
      <c r="BT175" s="451">
        <f>SUM(BT176:BT177)</f>
        <v>0</v>
      </c>
      <c r="BU175" s="451"/>
      <c r="BV175" s="451"/>
      <c r="BW175" s="452"/>
      <c r="BX175" s="451"/>
      <c r="BY175" s="451">
        <f>SUM(BY176:BY177)</f>
        <v>0</v>
      </c>
      <c r="BZ175" s="451"/>
      <c r="CA175" s="451"/>
      <c r="CB175" s="452"/>
      <c r="CC175" s="451"/>
      <c r="CD175" s="451">
        <f>SUM(CD176:CD177)</f>
        <v>0</v>
      </c>
      <c r="CE175" s="451"/>
      <c r="CF175" s="451"/>
      <c r="CG175" s="452"/>
      <c r="CH175" s="451"/>
      <c r="CI175" s="451">
        <f>SUM(CI176:CI177)</f>
        <v>0</v>
      </c>
      <c r="CJ175" s="451"/>
      <c r="CK175" s="451"/>
      <c r="CL175" s="452"/>
      <c r="CM175" s="451"/>
      <c r="CN175" s="451">
        <f>SUM(CN176:CN177)</f>
        <v>0</v>
      </c>
      <c r="CO175" s="451"/>
      <c r="CP175" s="451"/>
      <c r="CQ175" s="452"/>
      <c r="CR175" s="451"/>
      <c r="CS175" s="451">
        <f>SUM(CS176:CS177)</f>
        <v>0</v>
      </c>
      <c r="CT175" s="451"/>
      <c r="CU175" s="451"/>
      <c r="CV175" s="452"/>
      <c r="CW175" s="451"/>
      <c r="CX175" s="451">
        <f>SUM(CX176:CX177)</f>
        <v>0</v>
      </c>
      <c r="CY175" s="451"/>
      <c r="CZ175" s="451"/>
      <c r="DA175" s="452"/>
      <c r="DB175" s="451"/>
      <c r="DC175" s="451">
        <f>SUM(DC176:DC177)</f>
        <v>0</v>
      </c>
      <c r="DD175" s="451"/>
      <c r="DE175" s="451"/>
      <c r="DF175" s="452"/>
      <c r="DG175" s="451"/>
      <c r="DH175" s="451">
        <f>SUM(DH176:DH177)</f>
        <v>0</v>
      </c>
      <c r="DI175" s="451"/>
      <c r="DJ175" s="451"/>
      <c r="DK175" s="452"/>
      <c r="DL175" s="451"/>
      <c r="DM175" s="451">
        <f>SUM(DM176:DM177)</f>
        <v>0</v>
      </c>
      <c r="DN175" s="451"/>
      <c r="DO175" s="451"/>
      <c r="DP175" s="452"/>
      <c r="DQ175" s="451"/>
      <c r="DR175" s="451">
        <f>SUM(DR176:DR177)</f>
        <v>0</v>
      </c>
      <c r="DS175" s="451"/>
      <c r="DT175" s="451"/>
      <c r="DU175" s="452"/>
      <c r="DV175" s="451"/>
      <c r="DW175" s="451">
        <f>SUM(DW176:DW177)</f>
        <v>0</v>
      </c>
      <c r="DX175" s="451"/>
      <c r="DY175" s="451"/>
      <c r="DZ175" s="452"/>
      <c r="EA175" s="451"/>
      <c r="EB175" s="451">
        <f>SUM(EB176:EB177)</f>
        <v>0</v>
      </c>
      <c r="EC175" s="451"/>
      <c r="ED175" s="451"/>
      <c r="EE175" s="452"/>
      <c r="EF175" s="451"/>
      <c r="EG175" s="451">
        <f>SUM(EG176:EG177)</f>
        <v>0</v>
      </c>
      <c r="EH175" s="451"/>
      <c r="EI175" s="451"/>
      <c r="EJ175" s="452"/>
      <c r="EK175" s="451"/>
      <c r="EL175" s="451">
        <f>SUM(EL176:EL177)</f>
        <v>0</v>
      </c>
      <c r="EM175" s="451"/>
      <c r="EN175" s="451"/>
      <c r="EO175" s="13"/>
    </row>
    <row r="176" spans="4:148" hidden="1" x14ac:dyDescent="0.2">
      <c r="D176" s="13" t="s">
        <v>470</v>
      </c>
      <c r="E176" s="198"/>
      <c r="F176" s="374"/>
      <c r="G176" s="449">
        <v>0</v>
      </c>
      <c r="H176" s="450"/>
      <c r="I176" s="451"/>
      <c r="J176" s="452"/>
      <c r="K176" s="453"/>
      <c r="L176" s="449">
        <v>0</v>
      </c>
      <c r="M176" s="450"/>
      <c r="N176" s="451"/>
      <c r="O176" s="452"/>
      <c r="P176" s="453"/>
      <c r="Q176" s="449">
        <v>0</v>
      </c>
      <c r="R176" s="450"/>
      <c r="S176" s="451"/>
      <c r="T176" s="452"/>
      <c r="U176" s="453"/>
      <c r="V176" s="449">
        <v>0</v>
      </c>
      <c r="W176" s="450"/>
      <c r="X176" s="451"/>
      <c r="Y176" s="452"/>
      <c r="Z176" s="453"/>
      <c r="AA176" s="449">
        <v>0</v>
      </c>
      <c r="AB176" s="450"/>
      <c r="AC176" s="451"/>
      <c r="AD176" s="452"/>
      <c r="AE176" s="453"/>
      <c r="AF176" s="449">
        <v>0</v>
      </c>
      <c r="AG176" s="450"/>
      <c r="AH176" s="451"/>
      <c r="AI176" s="452"/>
      <c r="AJ176" s="453"/>
      <c r="AK176" s="449">
        <v>0</v>
      </c>
      <c r="AL176" s="450"/>
      <c r="AM176" s="451"/>
      <c r="AN176" s="452"/>
      <c r="AO176" s="453"/>
      <c r="AP176" s="449">
        <v>0</v>
      </c>
      <c r="AQ176" s="450"/>
      <c r="AR176" s="451"/>
      <c r="AS176" s="452"/>
      <c r="AT176" s="453"/>
      <c r="AU176" s="449">
        <v>0</v>
      </c>
      <c r="AV176" s="450"/>
      <c r="AW176" s="451"/>
      <c r="AX176" s="452"/>
      <c r="AY176" s="453"/>
      <c r="AZ176" s="449">
        <v>0</v>
      </c>
      <c r="BA176" s="450"/>
      <c r="BB176" s="451"/>
      <c r="BC176" s="452"/>
      <c r="BD176" s="453"/>
      <c r="BE176" s="449">
        <v>0</v>
      </c>
      <c r="BF176" s="450"/>
      <c r="BG176" s="451"/>
      <c r="BH176" s="452"/>
      <c r="BI176" s="453"/>
      <c r="BJ176" s="449">
        <v>0</v>
      </c>
      <c r="BK176" s="450"/>
      <c r="BL176" s="451"/>
      <c r="BM176" s="452"/>
      <c r="BN176" s="453"/>
      <c r="BO176" s="449">
        <v>0</v>
      </c>
      <c r="BP176" s="450"/>
      <c r="BQ176" s="451"/>
      <c r="BR176" s="452"/>
      <c r="BS176" s="453"/>
      <c r="BT176" s="449">
        <f>SUM(L176:BO176)</f>
        <v>0</v>
      </c>
      <c r="BU176" s="450"/>
      <c r="BV176" s="451"/>
      <c r="BW176" s="452"/>
      <c r="BX176" s="453"/>
      <c r="BY176" s="449">
        <v>0</v>
      </c>
      <c r="BZ176" s="450"/>
      <c r="CA176" s="451"/>
      <c r="CB176" s="452"/>
      <c r="CC176" s="453"/>
      <c r="CD176" s="449">
        <v>0</v>
      </c>
      <c r="CE176" s="450"/>
      <c r="CF176" s="451"/>
      <c r="CG176" s="452"/>
      <c r="CH176" s="453"/>
      <c r="CI176" s="449">
        <v>0</v>
      </c>
      <c r="CJ176" s="450"/>
      <c r="CK176" s="451"/>
      <c r="CL176" s="452"/>
      <c r="CM176" s="453"/>
      <c r="CN176" s="449">
        <v>0</v>
      </c>
      <c r="CO176" s="450"/>
      <c r="CP176" s="451"/>
      <c r="CQ176" s="452"/>
      <c r="CR176" s="453"/>
      <c r="CS176" s="449">
        <v>0</v>
      </c>
      <c r="CT176" s="450"/>
      <c r="CU176" s="451"/>
      <c r="CV176" s="452"/>
      <c r="CW176" s="453"/>
      <c r="CX176" s="449">
        <v>0</v>
      </c>
      <c r="CY176" s="450"/>
      <c r="CZ176" s="451"/>
      <c r="DA176" s="452"/>
      <c r="DB176" s="453"/>
      <c r="DC176" s="449">
        <v>0</v>
      </c>
      <c r="DD176" s="450"/>
      <c r="DE176" s="451"/>
      <c r="DF176" s="452"/>
      <c r="DG176" s="453"/>
      <c r="DH176" s="449">
        <v>0</v>
      </c>
      <c r="DI176" s="450"/>
      <c r="DJ176" s="451"/>
      <c r="DK176" s="452"/>
      <c r="DL176" s="453"/>
      <c r="DM176" s="449">
        <v>0</v>
      </c>
      <c r="DN176" s="450"/>
      <c r="DO176" s="451"/>
      <c r="DP176" s="452"/>
      <c r="DQ176" s="453"/>
      <c r="DR176" s="449">
        <v>0</v>
      </c>
      <c r="DS176" s="450"/>
      <c r="DT176" s="451"/>
      <c r="DU176" s="452"/>
      <c r="DV176" s="453"/>
      <c r="DW176" s="449">
        <v>0</v>
      </c>
      <c r="DX176" s="450"/>
      <c r="DY176" s="451"/>
      <c r="DZ176" s="452"/>
      <c r="EA176" s="453"/>
      <c r="EB176" s="449">
        <v>0</v>
      </c>
      <c r="EC176" s="450"/>
      <c r="ED176" s="451"/>
      <c r="EE176" s="452"/>
      <c r="EF176" s="453"/>
      <c r="EG176" s="449">
        <v>0</v>
      </c>
      <c r="EH176" s="450"/>
      <c r="EI176" s="451"/>
      <c r="EJ176" s="452"/>
      <c r="EK176" s="453"/>
      <c r="EL176" s="449">
        <f>SUM(CD176:EG176)</f>
        <v>0</v>
      </c>
      <c r="EM176" s="450"/>
      <c r="EN176" s="451"/>
      <c r="EO176" s="13"/>
    </row>
    <row r="177" spans="4:145" hidden="1" x14ac:dyDescent="0.2">
      <c r="D177" s="13" t="s">
        <v>471</v>
      </c>
      <c r="E177" s="198"/>
      <c r="F177" s="385"/>
      <c r="G177" s="463">
        <v>0</v>
      </c>
      <c r="H177" s="464"/>
      <c r="I177" s="451"/>
      <c r="J177" s="452"/>
      <c r="K177" s="465"/>
      <c r="L177" s="463">
        <v>0</v>
      </c>
      <c r="M177" s="464"/>
      <c r="N177" s="451"/>
      <c r="O177" s="452"/>
      <c r="P177" s="465"/>
      <c r="Q177" s="463">
        <v>0</v>
      </c>
      <c r="R177" s="464"/>
      <c r="S177" s="451"/>
      <c r="T177" s="452"/>
      <c r="U177" s="465"/>
      <c r="V177" s="463">
        <v>0</v>
      </c>
      <c r="W177" s="464"/>
      <c r="X177" s="451"/>
      <c r="Y177" s="452"/>
      <c r="Z177" s="465"/>
      <c r="AA177" s="463">
        <v>0</v>
      </c>
      <c r="AB177" s="464"/>
      <c r="AC177" s="451"/>
      <c r="AD177" s="452"/>
      <c r="AE177" s="465"/>
      <c r="AF177" s="463">
        <v>0</v>
      </c>
      <c r="AG177" s="464"/>
      <c r="AH177" s="451"/>
      <c r="AI177" s="452"/>
      <c r="AJ177" s="465"/>
      <c r="AK177" s="463">
        <v>0</v>
      </c>
      <c r="AL177" s="464"/>
      <c r="AM177" s="451"/>
      <c r="AN177" s="452"/>
      <c r="AO177" s="465"/>
      <c r="AP177" s="463">
        <v>0</v>
      </c>
      <c r="AQ177" s="464"/>
      <c r="AR177" s="451"/>
      <c r="AS177" s="452"/>
      <c r="AT177" s="465"/>
      <c r="AU177" s="463">
        <v>0</v>
      </c>
      <c r="AV177" s="464"/>
      <c r="AW177" s="451"/>
      <c r="AX177" s="452"/>
      <c r="AY177" s="465"/>
      <c r="AZ177" s="463">
        <v>0</v>
      </c>
      <c r="BA177" s="464"/>
      <c r="BB177" s="451"/>
      <c r="BC177" s="452"/>
      <c r="BD177" s="465"/>
      <c r="BE177" s="463">
        <v>0</v>
      </c>
      <c r="BF177" s="464"/>
      <c r="BG177" s="451"/>
      <c r="BH177" s="452"/>
      <c r="BI177" s="465"/>
      <c r="BJ177" s="463">
        <v>0</v>
      </c>
      <c r="BK177" s="464"/>
      <c r="BL177" s="451"/>
      <c r="BM177" s="452"/>
      <c r="BN177" s="465"/>
      <c r="BO177" s="463">
        <v>0</v>
      </c>
      <c r="BP177" s="464"/>
      <c r="BQ177" s="451"/>
      <c r="BR177" s="452"/>
      <c r="BS177" s="465"/>
      <c r="BT177" s="463">
        <f>SUM(L177:BO177)</f>
        <v>0</v>
      </c>
      <c r="BU177" s="464"/>
      <c r="BV177" s="451"/>
      <c r="BW177" s="452"/>
      <c r="BX177" s="465"/>
      <c r="BY177" s="463">
        <v>0</v>
      </c>
      <c r="BZ177" s="464"/>
      <c r="CA177" s="451"/>
      <c r="CB177" s="452"/>
      <c r="CC177" s="465"/>
      <c r="CD177" s="463">
        <v>0</v>
      </c>
      <c r="CE177" s="464"/>
      <c r="CF177" s="451"/>
      <c r="CG177" s="452"/>
      <c r="CH177" s="465"/>
      <c r="CI177" s="463">
        <v>0</v>
      </c>
      <c r="CJ177" s="464"/>
      <c r="CK177" s="451"/>
      <c r="CL177" s="452"/>
      <c r="CM177" s="465"/>
      <c r="CN177" s="463">
        <v>0</v>
      </c>
      <c r="CO177" s="464"/>
      <c r="CP177" s="451"/>
      <c r="CQ177" s="452"/>
      <c r="CR177" s="465"/>
      <c r="CS177" s="463">
        <v>0</v>
      </c>
      <c r="CT177" s="464"/>
      <c r="CU177" s="451"/>
      <c r="CV177" s="452"/>
      <c r="CW177" s="465"/>
      <c r="CX177" s="463">
        <v>0</v>
      </c>
      <c r="CY177" s="464"/>
      <c r="CZ177" s="451"/>
      <c r="DA177" s="452"/>
      <c r="DB177" s="465"/>
      <c r="DC177" s="463">
        <v>0</v>
      </c>
      <c r="DD177" s="464"/>
      <c r="DE177" s="451"/>
      <c r="DF177" s="452"/>
      <c r="DG177" s="465"/>
      <c r="DH177" s="463">
        <v>0</v>
      </c>
      <c r="DI177" s="464"/>
      <c r="DJ177" s="451"/>
      <c r="DK177" s="452"/>
      <c r="DL177" s="465"/>
      <c r="DM177" s="463">
        <v>0</v>
      </c>
      <c r="DN177" s="464"/>
      <c r="DO177" s="451"/>
      <c r="DP177" s="452"/>
      <c r="DQ177" s="465"/>
      <c r="DR177" s="463">
        <v>0</v>
      </c>
      <c r="DS177" s="464"/>
      <c r="DT177" s="451"/>
      <c r="DU177" s="452"/>
      <c r="DV177" s="465"/>
      <c r="DW177" s="463">
        <v>0</v>
      </c>
      <c r="DX177" s="464"/>
      <c r="DY177" s="451"/>
      <c r="DZ177" s="452"/>
      <c r="EA177" s="465"/>
      <c r="EB177" s="463">
        <v>0</v>
      </c>
      <c r="EC177" s="464"/>
      <c r="ED177" s="451"/>
      <c r="EE177" s="452"/>
      <c r="EF177" s="465"/>
      <c r="EG177" s="463">
        <v>0</v>
      </c>
      <c r="EH177" s="464"/>
      <c r="EI177" s="451"/>
      <c r="EJ177" s="452"/>
      <c r="EK177" s="465"/>
      <c r="EL177" s="463">
        <f>SUM(CD177:EG177)</f>
        <v>0</v>
      </c>
      <c r="EM177" s="464"/>
      <c r="EN177" s="451"/>
      <c r="EO177" s="13"/>
    </row>
    <row r="178" spans="4:145" hidden="1" x14ac:dyDescent="0.2">
      <c r="D178" s="13"/>
      <c r="E178" s="198"/>
      <c r="G178" s="451"/>
      <c r="H178" s="451"/>
      <c r="I178" s="451"/>
      <c r="J178" s="452"/>
      <c r="K178" s="451"/>
      <c r="L178" s="451"/>
      <c r="M178" s="451"/>
      <c r="N178" s="451"/>
      <c r="O178" s="452"/>
      <c r="P178" s="451"/>
      <c r="Q178" s="451"/>
      <c r="R178" s="451"/>
      <c r="S178" s="451"/>
      <c r="T178" s="452"/>
      <c r="U178" s="451"/>
      <c r="V178" s="451"/>
      <c r="W178" s="451"/>
      <c r="X178" s="451"/>
      <c r="Y178" s="452"/>
      <c r="Z178" s="451"/>
      <c r="AA178" s="451"/>
      <c r="AB178" s="451"/>
      <c r="AC178" s="451"/>
      <c r="AD178" s="452"/>
      <c r="AE178" s="451"/>
      <c r="AF178" s="451"/>
      <c r="AG178" s="451"/>
      <c r="AH178" s="451"/>
      <c r="AI178" s="452"/>
      <c r="AJ178" s="451"/>
      <c r="AK178" s="451"/>
      <c r="AL178" s="451"/>
      <c r="AM178" s="451"/>
      <c r="AN178" s="452"/>
      <c r="AO178" s="451"/>
      <c r="AP178" s="451"/>
      <c r="AQ178" s="451"/>
      <c r="AR178" s="451"/>
      <c r="AS178" s="452"/>
      <c r="AT178" s="451"/>
      <c r="AU178" s="451"/>
      <c r="AV178" s="451"/>
      <c r="AW178" s="451"/>
      <c r="AX178" s="452"/>
      <c r="AY178" s="451"/>
      <c r="AZ178" s="451"/>
      <c r="BA178" s="451"/>
      <c r="BB178" s="451"/>
      <c r="BC178" s="452"/>
      <c r="BD178" s="451"/>
      <c r="BE178" s="451"/>
      <c r="BF178" s="451"/>
      <c r="BG178" s="451"/>
      <c r="BH178" s="452"/>
      <c r="BI178" s="451"/>
      <c r="BJ178" s="451"/>
      <c r="BK178" s="451"/>
      <c r="BL178" s="451"/>
      <c r="BM178" s="452"/>
      <c r="BN178" s="451"/>
      <c r="BO178" s="451"/>
      <c r="BP178" s="451"/>
      <c r="BQ178" s="451"/>
      <c r="BR178" s="452"/>
      <c r="BS178" s="451"/>
      <c r="BT178" s="451"/>
      <c r="BU178" s="451"/>
      <c r="BV178" s="451"/>
      <c r="BW178" s="452"/>
      <c r="BX178" s="451"/>
      <c r="BY178" s="451"/>
      <c r="BZ178" s="451"/>
      <c r="CA178" s="451"/>
      <c r="CB178" s="452"/>
      <c r="CC178" s="451"/>
      <c r="CD178" s="451"/>
      <c r="CE178" s="451"/>
      <c r="CF178" s="451"/>
      <c r="CG178" s="452"/>
      <c r="CH178" s="451"/>
      <c r="CI178" s="451"/>
      <c r="CJ178" s="451"/>
      <c r="CK178" s="451"/>
      <c r="CL178" s="452"/>
      <c r="CM178" s="451"/>
      <c r="CN178" s="451"/>
      <c r="CO178" s="451"/>
      <c r="CP178" s="451"/>
      <c r="CQ178" s="452"/>
      <c r="CR178" s="451"/>
      <c r="CS178" s="451"/>
      <c r="CT178" s="451"/>
      <c r="CU178" s="451"/>
      <c r="CV178" s="452"/>
      <c r="CW178" s="451"/>
      <c r="CX178" s="451"/>
      <c r="CY178" s="451"/>
      <c r="CZ178" s="451"/>
      <c r="DA178" s="452"/>
      <c r="DB178" s="451"/>
      <c r="DC178" s="451"/>
      <c r="DD178" s="451"/>
      <c r="DE178" s="451"/>
      <c r="DF178" s="452"/>
      <c r="DG178" s="451"/>
      <c r="DH178" s="451"/>
      <c r="DI178" s="451"/>
      <c r="DJ178" s="451"/>
      <c r="DK178" s="452"/>
      <c r="DL178" s="451"/>
      <c r="DM178" s="451"/>
      <c r="DN178" s="451"/>
      <c r="DO178" s="451"/>
      <c r="DP178" s="452"/>
      <c r="DQ178" s="451"/>
      <c r="DR178" s="451"/>
      <c r="DS178" s="451"/>
      <c r="DT178" s="451"/>
      <c r="DU178" s="452"/>
      <c r="DV178" s="451"/>
      <c r="DW178" s="451"/>
      <c r="DX178" s="451"/>
      <c r="DY178" s="451"/>
      <c r="DZ178" s="452"/>
      <c r="EA178" s="451"/>
      <c r="EB178" s="451"/>
      <c r="EC178" s="451"/>
      <c r="ED178" s="451"/>
      <c r="EE178" s="452"/>
      <c r="EF178" s="451"/>
      <c r="EG178" s="451"/>
      <c r="EH178" s="451"/>
      <c r="EI178" s="451"/>
      <c r="EJ178" s="452"/>
      <c r="EK178" s="451"/>
      <c r="EL178" s="451"/>
      <c r="EM178" s="451"/>
      <c r="EN178" s="451"/>
      <c r="EO178" s="13"/>
    </row>
    <row r="179" spans="4:145" hidden="1" x14ac:dyDescent="0.2">
      <c r="D179" s="13" t="s">
        <v>489</v>
      </c>
      <c r="E179" s="198"/>
      <c r="G179" s="451">
        <f>SUM(G180:G181)</f>
        <v>0</v>
      </c>
      <c r="H179" s="451"/>
      <c r="I179" s="451"/>
      <c r="J179" s="452"/>
      <c r="K179" s="451"/>
      <c r="L179" s="451">
        <f>SUM(L180:L181)</f>
        <v>0</v>
      </c>
      <c r="M179" s="451"/>
      <c r="N179" s="451"/>
      <c r="O179" s="452"/>
      <c r="P179" s="451"/>
      <c r="Q179" s="451">
        <f>SUM(Q180:Q181)</f>
        <v>0</v>
      </c>
      <c r="R179" s="451"/>
      <c r="S179" s="451"/>
      <c r="T179" s="452"/>
      <c r="U179" s="451"/>
      <c r="V179" s="451">
        <f>SUM(V180:V181)</f>
        <v>0</v>
      </c>
      <c r="W179" s="451"/>
      <c r="X179" s="451"/>
      <c r="Y179" s="452"/>
      <c r="Z179" s="451"/>
      <c r="AA179" s="451">
        <f>SUM(AA180:AA181)</f>
        <v>0</v>
      </c>
      <c r="AB179" s="451"/>
      <c r="AC179" s="451"/>
      <c r="AD179" s="452"/>
      <c r="AE179" s="451"/>
      <c r="AF179" s="451">
        <f>SUM(AF180:AF181)</f>
        <v>0</v>
      </c>
      <c r="AG179" s="451"/>
      <c r="AH179" s="451"/>
      <c r="AI179" s="452"/>
      <c r="AJ179" s="451"/>
      <c r="AK179" s="451">
        <f>SUM(AK180:AK181)</f>
        <v>0</v>
      </c>
      <c r="AL179" s="451"/>
      <c r="AM179" s="451"/>
      <c r="AN179" s="452"/>
      <c r="AO179" s="451"/>
      <c r="AP179" s="451">
        <f>SUM(AP180:AP181)</f>
        <v>0</v>
      </c>
      <c r="AQ179" s="451"/>
      <c r="AR179" s="451"/>
      <c r="AS179" s="452"/>
      <c r="AT179" s="451"/>
      <c r="AU179" s="451">
        <f>SUM(AU180:AU181)</f>
        <v>0</v>
      </c>
      <c r="AV179" s="451"/>
      <c r="AW179" s="451"/>
      <c r="AX179" s="452"/>
      <c r="AY179" s="451"/>
      <c r="AZ179" s="451">
        <f>SUM(AZ180:AZ181)</f>
        <v>0</v>
      </c>
      <c r="BA179" s="451"/>
      <c r="BB179" s="451"/>
      <c r="BC179" s="452"/>
      <c r="BD179" s="451"/>
      <c r="BE179" s="451">
        <f>SUM(BE180:BE181)</f>
        <v>0</v>
      </c>
      <c r="BF179" s="451"/>
      <c r="BG179" s="451"/>
      <c r="BH179" s="452"/>
      <c r="BI179" s="451"/>
      <c r="BJ179" s="451">
        <f>SUM(BJ180:BJ181)</f>
        <v>0</v>
      </c>
      <c r="BK179" s="451"/>
      <c r="BL179" s="451"/>
      <c r="BM179" s="452"/>
      <c r="BN179" s="451"/>
      <c r="BO179" s="451">
        <f>SUM(BO180:BO181)</f>
        <v>0</v>
      </c>
      <c r="BP179" s="451"/>
      <c r="BQ179" s="451"/>
      <c r="BR179" s="452"/>
      <c r="BS179" s="451"/>
      <c r="BT179" s="451">
        <f>SUM(BT180:BT181)</f>
        <v>0</v>
      </c>
      <c r="BU179" s="451"/>
      <c r="BV179" s="451"/>
      <c r="BW179" s="452"/>
      <c r="BX179" s="451"/>
      <c r="BY179" s="451">
        <f>SUM(BY180:BY181)</f>
        <v>0</v>
      </c>
      <c r="BZ179" s="451"/>
      <c r="CA179" s="451"/>
      <c r="CB179" s="452"/>
      <c r="CC179" s="451"/>
      <c r="CD179" s="451">
        <f>SUM(CD180:CD181)</f>
        <v>0</v>
      </c>
      <c r="CE179" s="451"/>
      <c r="CF179" s="451"/>
      <c r="CG179" s="452"/>
      <c r="CH179" s="451"/>
      <c r="CI179" s="451">
        <f>SUM(CI180:CI181)</f>
        <v>0</v>
      </c>
      <c r="CJ179" s="451"/>
      <c r="CK179" s="451"/>
      <c r="CL179" s="452"/>
      <c r="CM179" s="451"/>
      <c r="CN179" s="451">
        <f>SUM(CN180:CN181)</f>
        <v>0</v>
      </c>
      <c r="CO179" s="451"/>
      <c r="CP179" s="451"/>
      <c r="CQ179" s="452"/>
      <c r="CR179" s="451"/>
      <c r="CS179" s="451">
        <f>SUM(CS180:CS181)</f>
        <v>0</v>
      </c>
      <c r="CT179" s="451"/>
      <c r="CU179" s="451"/>
      <c r="CV179" s="452"/>
      <c r="CW179" s="451"/>
      <c r="CX179" s="451">
        <f>SUM(CX180:CX181)</f>
        <v>0</v>
      </c>
      <c r="CY179" s="451"/>
      <c r="CZ179" s="451"/>
      <c r="DA179" s="452"/>
      <c r="DB179" s="451"/>
      <c r="DC179" s="451">
        <f>SUM(DC180:DC181)</f>
        <v>0</v>
      </c>
      <c r="DD179" s="451"/>
      <c r="DE179" s="451"/>
      <c r="DF179" s="452"/>
      <c r="DG179" s="451"/>
      <c r="DH179" s="451">
        <f>SUM(DH180:DH181)</f>
        <v>0</v>
      </c>
      <c r="DI179" s="451"/>
      <c r="DJ179" s="451"/>
      <c r="DK179" s="452"/>
      <c r="DL179" s="451"/>
      <c r="DM179" s="451">
        <f>SUM(DM180:DM181)</f>
        <v>0</v>
      </c>
      <c r="DN179" s="451"/>
      <c r="DO179" s="451"/>
      <c r="DP179" s="452"/>
      <c r="DQ179" s="451"/>
      <c r="DR179" s="451">
        <f>SUM(DR180:DR181)</f>
        <v>0</v>
      </c>
      <c r="DS179" s="451"/>
      <c r="DT179" s="451"/>
      <c r="DU179" s="452"/>
      <c r="DV179" s="451"/>
      <c r="DW179" s="451">
        <f>SUM(DW180:DW181)</f>
        <v>0</v>
      </c>
      <c r="DX179" s="451"/>
      <c r="DY179" s="451"/>
      <c r="DZ179" s="452"/>
      <c r="EA179" s="451"/>
      <c r="EB179" s="451">
        <f>SUM(EB180:EB181)</f>
        <v>0</v>
      </c>
      <c r="EC179" s="451"/>
      <c r="ED179" s="451"/>
      <c r="EE179" s="452"/>
      <c r="EF179" s="451"/>
      <c r="EG179" s="451">
        <f>SUM(EG180:EG181)</f>
        <v>0</v>
      </c>
      <c r="EH179" s="451"/>
      <c r="EI179" s="451"/>
      <c r="EJ179" s="452"/>
      <c r="EK179" s="451"/>
      <c r="EL179" s="451">
        <f>SUM(EL180:EL181)</f>
        <v>0</v>
      </c>
      <c r="EM179" s="451"/>
      <c r="EN179" s="451"/>
      <c r="EO179" s="13"/>
    </row>
    <row r="180" spans="4:145" hidden="1" x14ac:dyDescent="0.2">
      <c r="D180" s="13" t="s">
        <v>470</v>
      </c>
      <c r="E180" s="198"/>
      <c r="F180" s="374"/>
      <c r="G180" s="449">
        <v>0</v>
      </c>
      <c r="H180" s="450"/>
      <c r="I180" s="451"/>
      <c r="J180" s="452"/>
      <c r="K180" s="453"/>
      <c r="L180" s="449">
        <v>0</v>
      </c>
      <c r="M180" s="450"/>
      <c r="N180" s="451"/>
      <c r="O180" s="452"/>
      <c r="P180" s="453"/>
      <c r="Q180" s="449">
        <v>0</v>
      </c>
      <c r="R180" s="450"/>
      <c r="S180" s="451"/>
      <c r="T180" s="452"/>
      <c r="U180" s="453"/>
      <c r="V180" s="449">
        <v>0</v>
      </c>
      <c r="W180" s="450"/>
      <c r="X180" s="451"/>
      <c r="Y180" s="452"/>
      <c r="Z180" s="453"/>
      <c r="AA180" s="449">
        <v>0</v>
      </c>
      <c r="AB180" s="450"/>
      <c r="AC180" s="451"/>
      <c r="AD180" s="452"/>
      <c r="AE180" s="453"/>
      <c r="AF180" s="449">
        <v>0</v>
      </c>
      <c r="AG180" s="450"/>
      <c r="AH180" s="451"/>
      <c r="AI180" s="452"/>
      <c r="AJ180" s="453"/>
      <c r="AK180" s="449">
        <v>0</v>
      </c>
      <c r="AL180" s="450"/>
      <c r="AM180" s="451"/>
      <c r="AN180" s="452"/>
      <c r="AO180" s="453"/>
      <c r="AP180" s="449">
        <v>0</v>
      </c>
      <c r="AQ180" s="450"/>
      <c r="AR180" s="451"/>
      <c r="AS180" s="452"/>
      <c r="AT180" s="453"/>
      <c r="AU180" s="449">
        <v>0</v>
      </c>
      <c r="AV180" s="450"/>
      <c r="AW180" s="451"/>
      <c r="AX180" s="452"/>
      <c r="AY180" s="453"/>
      <c r="AZ180" s="449">
        <v>0</v>
      </c>
      <c r="BA180" s="450"/>
      <c r="BB180" s="451"/>
      <c r="BC180" s="452"/>
      <c r="BD180" s="453"/>
      <c r="BE180" s="449">
        <v>0</v>
      </c>
      <c r="BF180" s="450"/>
      <c r="BG180" s="451"/>
      <c r="BH180" s="452"/>
      <c r="BI180" s="453"/>
      <c r="BJ180" s="449">
        <v>0</v>
      </c>
      <c r="BK180" s="450"/>
      <c r="BL180" s="451"/>
      <c r="BM180" s="452"/>
      <c r="BN180" s="453"/>
      <c r="BO180" s="449">
        <v>0</v>
      </c>
      <c r="BP180" s="450"/>
      <c r="BQ180" s="451"/>
      <c r="BR180" s="452"/>
      <c r="BS180" s="453"/>
      <c r="BT180" s="449">
        <f>SUM(L180:BO180)</f>
        <v>0</v>
      </c>
      <c r="BU180" s="450"/>
      <c r="BV180" s="451"/>
      <c r="BW180" s="452"/>
      <c r="BX180" s="453"/>
      <c r="BY180" s="449">
        <v>0</v>
      </c>
      <c r="BZ180" s="450"/>
      <c r="CA180" s="451"/>
      <c r="CB180" s="452"/>
      <c r="CC180" s="453"/>
      <c r="CD180" s="449">
        <v>0</v>
      </c>
      <c r="CE180" s="450"/>
      <c r="CF180" s="451"/>
      <c r="CG180" s="452"/>
      <c r="CH180" s="453"/>
      <c r="CI180" s="449">
        <v>0</v>
      </c>
      <c r="CJ180" s="450"/>
      <c r="CK180" s="451"/>
      <c r="CL180" s="452"/>
      <c r="CM180" s="453"/>
      <c r="CN180" s="449">
        <v>0</v>
      </c>
      <c r="CO180" s="450"/>
      <c r="CP180" s="451"/>
      <c r="CQ180" s="452"/>
      <c r="CR180" s="453"/>
      <c r="CS180" s="449">
        <v>0</v>
      </c>
      <c r="CT180" s="450"/>
      <c r="CU180" s="451"/>
      <c r="CV180" s="452"/>
      <c r="CW180" s="453"/>
      <c r="CX180" s="449">
        <v>0</v>
      </c>
      <c r="CY180" s="450"/>
      <c r="CZ180" s="451"/>
      <c r="DA180" s="452"/>
      <c r="DB180" s="453"/>
      <c r="DC180" s="449">
        <v>0</v>
      </c>
      <c r="DD180" s="450"/>
      <c r="DE180" s="451"/>
      <c r="DF180" s="452"/>
      <c r="DG180" s="453"/>
      <c r="DH180" s="449">
        <v>0</v>
      </c>
      <c r="DI180" s="450"/>
      <c r="DJ180" s="451"/>
      <c r="DK180" s="452"/>
      <c r="DL180" s="453"/>
      <c r="DM180" s="449">
        <v>0</v>
      </c>
      <c r="DN180" s="450"/>
      <c r="DO180" s="451"/>
      <c r="DP180" s="452"/>
      <c r="DQ180" s="453"/>
      <c r="DR180" s="449">
        <v>0</v>
      </c>
      <c r="DS180" s="450"/>
      <c r="DT180" s="451"/>
      <c r="DU180" s="452"/>
      <c r="DV180" s="453"/>
      <c r="DW180" s="449">
        <v>0</v>
      </c>
      <c r="DX180" s="450"/>
      <c r="DY180" s="451"/>
      <c r="DZ180" s="452"/>
      <c r="EA180" s="453"/>
      <c r="EB180" s="449">
        <v>0</v>
      </c>
      <c r="EC180" s="450"/>
      <c r="ED180" s="451"/>
      <c r="EE180" s="452"/>
      <c r="EF180" s="453"/>
      <c r="EG180" s="449">
        <v>0</v>
      </c>
      <c r="EH180" s="450"/>
      <c r="EI180" s="451"/>
      <c r="EJ180" s="452"/>
      <c r="EK180" s="453"/>
      <c r="EL180" s="449">
        <f>SUM(CD180:EG180)</f>
        <v>0</v>
      </c>
      <c r="EM180" s="450"/>
      <c r="EN180" s="451"/>
      <c r="EO180" s="13"/>
    </row>
    <row r="181" spans="4:145" hidden="1" x14ac:dyDescent="0.2">
      <c r="D181" s="13" t="s">
        <v>471</v>
      </c>
      <c r="E181" s="198"/>
      <c r="F181" s="385"/>
      <c r="G181" s="463">
        <v>0</v>
      </c>
      <c r="H181" s="464"/>
      <c r="I181" s="451"/>
      <c r="J181" s="452"/>
      <c r="K181" s="465"/>
      <c r="L181" s="463">
        <v>0</v>
      </c>
      <c r="M181" s="464"/>
      <c r="N181" s="451"/>
      <c r="O181" s="452"/>
      <c r="P181" s="465"/>
      <c r="Q181" s="463">
        <v>0</v>
      </c>
      <c r="R181" s="464"/>
      <c r="S181" s="451"/>
      <c r="T181" s="452"/>
      <c r="U181" s="465"/>
      <c r="V181" s="463">
        <v>0</v>
      </c>
      <c r="W181" s="464"/>
      <c r="X181" s="451"/>
      <c r="Y181" s="452"/>
      <c r="Z181" s="465"/>
      <c r="AA181" s="463">
        <v>0</v>
      </c>
      <c r="AB181" s="464"/>
      <c r="AC181" s="451"/>
      <c r="AD181" s="452"/>
      <c r="AE181" s="465"/>
      <c r="AF181" s="463">
        <v>0</v>
      </c>
      <c r="AG181" s="464"/>
      <c r="AH181" s="451"/>
      <c r="AI181" s="452"/>
      <c r="AJ181" s="465"/>
      <c r="AK181" s="463">
        <v>0</v>
      </c>
      <c r="AL181" s="464"/>
      <c r="AM181" s="451"/>
      <c r="AN181" s="452"/>
      <c r="AO181" s="465"/>
      <c r="AP181" s="463">
        <v>0</v>
      </c>
      <c r="AQ181" s="464"/>
      <c r="AR181" s="451"/>
      <c r="AS181" s="452"/>
      <c r="AT181" s="465"/>
      <c r="AU181" s="463">
        <v>0</v>
      </c>
      <c r="AV181" s="464"/>
      <c r="AW181" s="451"/>
      <c r="AX181" s="452"/>
      <c r="AY181" s="465"/>
      <c r="AZ181" s="463">
        <v>0</v>
      </c>
      <c r="BA181" s="464"/>
      <c r="BB181" s="451"/>
      <c r="BC181" s="452"/>
      <c r="BD181" s="465"/>
      <c r="BE181" s="463">
        <v>0</v>
      </c>
      <c r="BF181" s="464"/>
      <c r="BG181" s="451"/>
      <c r="BH181" s="452"/>
      <c r="BI181" s="465"/>
      <c r="BJ181" s="463">
        <v>0</v>
      </c>
      <c r="BK181" s="464"/>
      <c r="BL181" s="451"/>
      <c r="BM181" s="452"/>
      <c r="BN181" s="465"/>
      <c r="BO181" s="463">
        <v>0</v>
      </c>
      <c r="BP181" s="464"/>
      <c r="BQ181" s="451"/>
      <c r="BR181" s="452"/>
      <c r="BS181" s="465"/>
      <c r="BT181" s="463">
        <f>SUM(L181:BO181)</f>
        <v>0</v>
      </c>
      <c r="BU181" s="464"/>
      <c r="BV181" s="451"/>
      <c r="BW181" s="452"/>
      <c r="BX181" s="465"/>
      <c r="BY181" s="463">
        <v>0</v>
      </c>
      <c r="BZ181" s="464"/>
      <c r="CA181" s="451"/>
      <c r="CB181" s="452"/>
      <c r="CC181" s="465"/>
      <c r="CD181" s="463">
        <v>0</v>
      </c>
      <c r="CE181" s="464"/>
      <c r="CF181" s="451"/>
      <c r="CG181" s="452"/>
      <c r="CH181" s="465"/>
      <c r="CI181" s="463">
        <v>0</v>
      </c>
      <c r="CJ181" s="464"/>
      <c r="CK181" s="451"/>
      <c r="CL181" s="452"/>
      <c r="CM181" s="465"/>
      <c r="CN181" s="463">
        <v>0</v>
      </c>
      <c r="CO181" s="464"/>
      <c r="CP181" s="451"/>
      <c r="CQ181" s="452"/>
      <c r="CR181" s="465"/>
      <c r="CS181" s="463">
        <v>0</v>
      </c>
      <c r="CT181" s="464"/>
      <c r="CU181" s="451"/>
      <c r="CV181" s="452"/>
      <c r="CW181" s="465"/>
      <c r="CX181" s="463">
        <v>0</v>
      </c>
      <c r="CY181" s="464"/>
      <c r="CZ181" s="451"/>
      <c r="DA181" s="452"/>
      <c r="DB181" s="465"/>
      <c r="DC181" s="463">
        <v>0</v>
      </c>
      <c r="DD181" s="464"/>
      <c r="DE181" s="451"/>
      <c r="DF181" s="452"/>
      <c r="DG181" s="465"/>
      <c r="DH181" s="463">
        <v>0</v>
      </c>
      <c r="DI181" s="464"/>
      <c r="DJ181" s="451"/>
      <c r="DK181" s="452"/>
      <c r="DL181" s="465"/>
      <c r="DM181" s="463">
        <v>0</v>
      </c>
      <c r="DN181" s="464"/>
      <c r="DO181" s="451"/>
      <c r="DP181" s="452"/>
      <c r="DQ181" s="465"/>
      <c r="DR181" s="463">
        <v>0</v>
      </c>
      <c r="DS181" s="464"/>
      <c r="DT181" s="451"/>
      <c r="DU181" s="452"/>
      <c r="DV181" s="465"/>
      <c r="DW181" s="463">
        <v>0</v>
      </c>
      <c r="DX181" s="464"/>
      <c r="DY181" s="451"/>
      <c r="DZ181" s="452"/>
      <c r="EA181" s="465"/>
      <c r="EB181" s="463">
        <v>0</v>
      </c>
      <c r="EC181" s="464"/>
      <c r="ED181" s="451"/>
      <c r="EE181" s="452"/>
      <c r="EF181" s="465"/>
      <c r="EG181" s="463">
        <v>0</v>
      </c>
      <c r="EH181" s="464"/>
      <c r="EI181" s="451"/>
      <c r="EJ181" s="452"/>
      <c r="EK181" s="465"/>
      <c r="EL181" s="463">
        <f>SUM(CD181:EG181)</f>
        <v>0</v>
      </c>
      <c r="EM181" s="464"/>
      <c r="EN181" s="451"/>
      <c r="EO181" s="13"/>
    </row>
    <row r="182" spans="4:145" hidden="1" x14ac:dyDescent="0.2">
      <c r="D182" s="13"/>
      <c r="E182" s="198"/>
      <c r="G182" s="451"/>
      <c r="H182" s="451"/>
      <c r="I182" s="451"/>
      <c r="J182" s="452"/>
      <c r="K182" s="451"/>
      <c r="L182" s="451"/>
      <c r="M182" s="451"/>
      <c r="N182" s="451"/>
      <c r="O182" s="452"/>
      <c r="P182" s="451"/>
      <c r="Q182" s="451"/>
      <c r="R182" s="451"/>
      <c r="S182" s="451"/>
      <c r="T182" s="452"/>
      <c r="U182" s="451"/>
      <c r="V182" s="451"/>
      <c r="W182" s="451"/>
      <c r="X182" s="451"/>
      <c r="Y182" s="452"/>
      <c r="Z182" s="451"/>
      <c r="AA182" s="451"/>
      <c r="AB182" s="451"/>
      <c r="AC182" s="451"/>
      <c r="AD182" s="452"/>
      <c r="AE182" s="451"/>
      <c r="AF182" s="451"/>
      <c r="AG182" s="451"/>
      <c r="AH182" s="451"/>
      <c r="AI182" s="452"/>
      <c r="AJ182" s="451"/>
      <c r="AK182" s="451"/>
      <c r="AL182" s="451"/>
      <c r="AM182" s="451"/>
      <c r="AN182" s="452"/>
      <c r="AO182" s="451"/>
      <c r="AP182" s="451"/>
      <c r="AQ182" s="451"/>
      <c r="AR182" s="451"/>
      <c r="AS182" s="452"/>
      <c r="AT182" s="451"/>
      <c r="AU182" s="451"/>
      <c r="AV182" s="451"/>
      <c r="AW182" s="451"/>
      <c r="AX182" s="452"/>
      <c r="AY182" s="451"/>
      <c r="AZ182" s="451"/>
      <c r="BA182" s="451"/>
      <c r="BB182" s="451"/>
      <c r="BC182" s="452"/>
      <c r="BD182" s="451"/>
      <c r="BE182" s="451"/>
      <c r="BF182" s="451"/>
      <c r="BG182" s="451"/>
      <c r="BH182" s="452"/>
      <c r="BI182" s="451"/>
      <c r="BJ182" s="451"/>
      <c r="BK182" s="451"/>
      <c r="BL182" s="451"/>
      <c r="BM182" s="452"/>
      <c r="BN182" s="451"/>
      <c r="BO182" s="451"/>
      <c r="BP182" s="451"/>
      <c r="BQ182" s="451"/>
      <c r="BR182" s="452"/>
      <c r="BS182" s="451"/>
      <c r="BT182" s="451"/>
      <c r="BU182" s="451"/>
      <c r="BV182" s="451"/>
      <c r="BW182" s="452"/>
      <c r="BX182" s="451"/>
      <c r="BY182" s="451"/>
      <c r="BZ182" s="451"/>
      <c r="CA182" s="451"/>
      <c r="CB182" s="452"/>
      <c r="CC182" s="451"/>
      <c r="CD182" s="451"/>
      <c r="CE182" s="451"/>
      <c r="CF182" s="451"/>
      <c r="CG182" s="452"/>
      <c r="CH182" s="451"/>
      <c r="CI182" s="451"/>
      <c r="CJ182" s="451"/>
      <c r="CK182" s="451"/>
      <c r="CL182" s="452"/>
      <c r="CM182" s="451"/>
      <c r="CN182" s="451"/>
      <c r="CO182" s="451"/>
      <c r="CP182" s="451"/>
      <c r="CQ182" s="452"/>
      <c r="CR182" s="451"/>
      <c r="CS182" s="451"/>
      <c r="CT182" s="451"/>
      <c r="CU182" s="451"/>
      <c r="CV182" s="452"/>
      <c r="CW182" s="451"/>
      <c r="CX182" s="451"/>
      <c r="CY182" s="451"/>
      <c r="CZ182" s="451"/>
      <c r="DA182" s="452"/>
      <c r="DB182" s="451"/>
      <c r="DC182" s="451"/>
      <c r="DD182" s="451"/>
      <c r="DE182" s="451"/>
      <c r="DF182" s="452"/>
      <c r="DG182" s="451"/>
      <c r="DH182" s="451"/>
      <c r="DI182" s="451"/>
      <c r="DJ182" s="451"/>
      <c r="DK182" s="452"/>
      <c r="DL182" s="451"/>
      <c r="DM182" s="451"/>
      <c r="DN182" s="451"/>
      <c r="DO182" s="451"/>
      <c r="DP182" s="452"/>
      <c r="DQ182" s="451"/>
      <c r="DR182" s="451"/>
      <c r="DS182" s="451"/>
      <c r="DT182" s="451"/>
      <c r="DU182" s="452"/>
      <c r="DV182" s="451"/>
      <c r="DW182" s="451"/>
      <c r="DX182" s="451"/>
      <c r="DY182" s="451"/>
      <c r="DZ182" s="452"/>
      <c r="EA182" s="451"/>
      <c r="EB182" s="451"/>
      <c r="EC182" s="451"/>
      <c r="ED182" s="451"/>
      <c r="EE182" s="452"/>
      <c r="EF182" s="451"/>
      <c r="EG182" s="451"/>
      <c r="EH182" s="451"/>
      <c r="EI182" s="451"/>
      <c r="EJ182" s="452"/>
      <c r="EK182" s="451"/>
      <c r="EL182" s="451"/>
      <c r="EM182" s="451"/>
      <c r="EN182" s="451"/>
      <c r="EO182" s="13"/>
    </row>
    <row r="183" spans="4:145" hidden="1" x14ac:dyDescent="0.2">
      <c r="D183" s="13" t="s">
        <v>490</v>
      </c>
      <c r="E183" s="198"/>
      <c r="G183" s="451">
        <f>SUM(G184:G185)</f>
        <v>0</v>
      </c>
      <c r="H183" s="451"/>
      <c r="I183" s="451"/>
      <c r="J183" s="452"/>
      <c r="K183" s="451"/>
      <c r="L183" s="451">
        <f>SUM(L184:L185)</f>
        <v>0</v>
      </c>
      <c r="M183" s="451"/>
      <c r="N183" s="451"/>
      <c r="O183" s="452"/>
      <c r="P183" s="451"/>
      <c r="Q183" s="451">
        <f>SUM(Q184:Q185)</f>
        <v>0</v>
      </c>
      <c r="R183" s="451"/>
      <c r="S183" s="451"/>
      <c r="T183" s="452"/>
      <c r="U183" s="451"/>
      <c r="V183" s="451">
        <f>SUM(V184:V185)</f>
        <v>0</v>
      </c>
      <c r="W183" s="451"/>
      <c r="X183" s="451"/>
      <c r="Y183" s="452"/>
      <c r="Z183" s="451"/>
      <c r="AA183" s="451">
        <f>SUM(AA184:AA185)</f>
        <v>0</v>
      </c>
      <c r="AB183" s="451"/>
      <c r="AC183" s="451"/>
      <c r="AD183" s="452"/>
      <c r="AE183" s="451"/>
      <c r="AF183" s="451">
        <f>SUM(AF184:AF185)</f>
        <v>0</v>
      </c>
      <c r="AG183" s="451"/>
      <c r="AH183" s="451"/>
      <c r="AI183" s="452"/>
      <c r="AJ183" s="451"/>
      <c r="AK183" s="451">
        <f>SUM(AK184:AK185)</f>
        <v>0</v>
      </c>
      <c r="AL183" s="451"/>
      <c r="AM183" s="451"/>
      <c r="AN183" s="452"/>
      <c r="AO183" s="451"/>
      <c r="AP183" s="451">
        <f>SUM(AP184:AP185)</f>
        <v>0</v>
      </c>
      <c r="AQ183" s="451"/>
      <c r="AR183" s="451"/>
      <c r="AS183" s="452"/>
      <c r="AT183" s="451"/>
      <c r="AU183" s="451">
        <f>SUM(AU184:AU185)</f>
        <v>0</v>
      </c>
      <c r="AV183" s="451"/>
      <c r="AW183" s="451"/>
      <c r="AX183" s="452"/>
      <c r="AY183" s="451"/>
      <c r="AZ183" s="451">
        <f>SUM(AZ184:AZ185)</f>
        <v>0</v>
      </c>
      <c r="BA183" s="451"/>
      <c r="BB183" s="451"/>
      <c r="BC183" s="452"/>
      <c r="BD183" s="451"/>
      <c r="BE183" s="451">
        <f>SUM(BE184:BE185)</f>
        <v>0</v>
      </c>
      <c r="BF183" s="451"/>
      <c r="BG183" s="451"/>
      <c r="BH183" s="452"/>
      <c r="BI183" s="451"/>
      <c r="BJ183" s="451">
        <f>SUM(BJ184:BJ185)</f>
        <v>0</v>
      </c>
      <c r="BK183" s="451"/>
      <c r="BL183" s="451"/>
      <c r="BM183" s="452"/>
      <c r="BN183" s="451"/>
      <c r="BO183" s="451">
        <f>SUM(BO184:BO185)</f>
        <v>0</v>
      </c>
      <c r="BP183" s="451"/>
      <c r="BQ183" s="451"/>
      <c r="BR183" s="452"/>
      <c r="BS183" s="451"/>
      <c r="BT183" s="451">
        <f>SUM(BT184:BT185)</f>
        <v>0</v>
      </c>
      <c r="BU183" s="451"/>
      <c r="BV183" s="451"/>
      <c r="BW183" s="452"/>
      <c r="BX183" s="451"/>
      <c r="BY183" s="451">
        <f>SUM(BY184:BY185)</f>
        <v>0</v>
      </c>
      <c r="BZ183" s="451"/>
      <c r="CA183" s="451"/>
      <c r="CB183" s="452"/>
      <c r="CC183" s="451"/>
      <c r="CD183" s="451">
        <f>SUM(CD184:CD185)</f>
        <v>0</v>
      </c>
      <c r="CE183" s="451"/>
      <c r="CF183" s="451"/>
      <c r="CG183" s="452"/>
      <c r="CH183" s="451"/>
      <c r="CI183" s="451">
        <f>SUM(CI184:CI185)</f>
        <v>0</v>
      </c>
      <c r="CJ183" s="451"/>
      <c r="CK183" s="451"/>
      <c r="CL183" s="452"/>
      <c r="CM183" s="451"/>
      <c r="CN183" s="451">
        <f>SUM(CN184:CN185)</f>
        <v>0</v>
      </c>
      <c r="CO183" s="451"/>
      <c r="CP183" s="451"/>
      <c r="CQ183" s="452"/>
      <c r="CR183" s="451"/>
      <c r="CS183" s="451">
        <f>SUM(CS184:CS185)</f>
        <v>0</v>
      </c>
      <c r="CT183" s="451"/>
      <c r="CU183" s="451"/>
      <c r="CV183" s="452"/>
      <c r="CW183" s="451"/>
      <c r="CX183" s="451">
        <f>SUM(CX184:CX185)</f>
        <v>0</v>
      </c>
      <c r="CY183" s="451"/>
      <c r="CZ183" s="451"/>
      <c r="DA183" s="452"/>
      <c r="DB183" s="451"/>
      <c r="DC183" s="451">
        <f>SUM(DC184:DC185)</f>
        <v>0</v>
      </c>
      <c r="DD183" s="451"/>
      <c r="DE183" s="451"/>
      <c r="DF183" s="452"/>
      <c r="DG183" s="451"/>
      <c r="DH183" s="451">
        <f>SUM(DH184:DH185)</f>
        <v>0</v>
      </c>
      <c r="DI183" s="451"/>
      <c r="DJ183" s="451"/>
      <c r="DK183" s="452"/>
      <c r="DL183" s="451"/>
      <c r="DM183" s="451">
        <f>SUM(DM184:DM185)</f>
        <v>0</v>
      </c>
      <c r="DN183" s="451"/>
      <c r="DO183" s="451"/>
      <c r="DP183" s="452"/>
      <c r="DQ183" s="451"/>
      <c r="DR183" s="451">
        <f>SUM(DR184:DR185)</f>
        <v>0</v>
      </c>
      <c r="DS183" s="451"/>
      <c r="DT183" s="451"/>
      <c r="DU183" s="452"/>
      <c r="DV183" s="451"/>
      <c r="DW183" s="451">
        <f>SUM(DW184:DW185)</f>
        <v>0</v>
      </c>
      <c r="DX183" s="451"/>
      <c r="DY183" s="451"/>
      <c r="DZ183" s="452"/>
      <c r="EA183" s="451"/>
      <c r="EB183" s="451">
        <f>SUM(EB184:EB185)</f>
        <v>0</v>
      </c>
      <c r="EC183" s="451"/>
      <c r="ED183" s="451"/>
      <c r="EE183" s="452"/>
      <c r="EF183" s="451"/>
      <c r="EG183" s="451">
        <f>SUM(EG184:EG185)</f>
        <v>0</v>
      </c>
      <c r="EH183" s="451"/>
      <c r="EI183" s="451"/>
      <c r="EJ183" s="452"/>
      <c r="EK183" s="451"/>
      <c r="EL183" s="451">
        <f>SUM(EL184:EL185)</f>
        <v>0</v>
      </c>
      <c r="EM183" s="451"/>
      <c r="EN183" s="451"/>
      <c r="EO183" s="13"/>
    </row>
    <row r="184" spans="4:145" hidden="1" x14ac:dyDescent="0.2">
      <c r="D184" s="13" t="s">
        <v>470</v>
      </c>
      <c r="E184" s="198"/>
      <c r="F184" s="374"/>
      <c r="G184" s="449">
        <v>0</v>
      </c>
      <c r="H184" s="450"/>
      <c r="I184" s="451"/>
      <c r="J184" s="452"/>
      <c r="K184" s="453"/>
      <c r="L184" s="449">
        <v>0</v>
      </c>
      <c r="M184" s="450"/>
      <c r="N184" s="451"/>
      <c r="O184" s="452"/>
      <c r="P184" s="453"/>
      <c r="Q184" s="449">
        <v>0</v>
      </c>
      <c r="R184" s="450"/>
      <c r="S184" s="451"/>
      <c r="T184" s="452"/>
      <c r="U184" s="453"/>
      <c r="V184" s="449">
        <v>0</v>
      </c>
      <c r="W184" s="450"/>
      <c r="X184" s="451"/>
      <c r="Y184" s="452"/>
      <c r="Z184" s="453"/>
      <c r="AA184" s="449">
        <v>0</v>
      </c>
      <c r="AB184" s="450"/>
      <c r="AC184" s="451"/>
      <c r="AD184" s="452"/>
      <c r="AE184" s="453"/>
      <c r="AF184" s="449">
        <v>0</v>
      </c>
      <c r="AG184" s="450"/>
      <c r="AH184" s="451"/>
      <c r="AI184" s="452"/>
      <c r="AJ184" s="453"/>
      <c r="AK184" s="449">
        <v>0</v>
      </c>
      <c r="AL184" s="450"/>
      <c r="AM184" s="451"/>
      <c r="AN184" s="452"/>
      <c r="AO184" s="453"/>
      <c r="AP184" s="449">
        <v>0</v>
      </c>
      <c r="AQ184" s="450"/>
      <c r="AR184" s="451"/>
      <c r="AS184" s="452"/>
      <c r="AT184" s="453"/>
      <c r="AU184" s="449">
        <v>0</v>
      </c>
      <c r="AV184" s="450"/>
      <c r="AW184" s="451"/>
      <c r="AX184" s="452"/>
      <c r="AY184" s="453"/>
      <c r="AZ184" s="449">
        <v>0</v>
      </c>
      <c r="BA184" s="450"/>
      <c r="BB184" s="451"/>
      <c r="BC184" s="452"/>
      <c r="BD184" s="453"/>
      <c r="BE184" s="449">
        <v>0</v>
      </c>
      <c r="BF184" s="450"/>
      <c r="BG184" s="451"/>
      <c r="BH184" s="452"/>
      <c r="BI184" s="453"/>
      <c r="BJ184" s="449">
        <v>0</v>
      </c>
      <c r="BK184" s="450"/>
      <c r="BL184" s="451"/>
      <c r="BM184" s="452"/>
      <c r="BN184" s="453"/>
      <c r="BO184" s="449">
        <v>0</v>
      </c>
      <c r="BP184" s="450"/>
      <c r="BQ184" s="451"/>
      <c r="BR184" s="452"/>
      <c r="BS184" s="453"/>
      <c r="BT184" s="449">
        <f>SUM(L184:BO184)</f>
        <v>0</v>
      </c>
      <c r="BU184" s="450"/>
      <c r="BV184" s="451"/>
      <c r="BW184" s="452"/>
      <c r="BX184" s="453"/>
      <c r="BY184" s="449">
        <v>0</v>
      </c>
      <c r="BZ184" s="450"/>
      <c r="CA184" s="451"/>
      <c r="CB184" s="452"/>
      <c r="CC184" s="453"/>
      <c r="CD184" s="449">
        <v>0</v>
      </c>
      <c r="CE184" s="450"/>
      <c r="CF184" s="451"/>
      <c r="CG184" s="452"/>
      <c r="CH184" s="453"/>
      <c r="CI184" s="449">
        <v>0</v>
      </c>
      <c r="CJ184" s="450"/>
      <c r="CK184" s="451"/>
      <c r="CL184" s="452"/>
      <c r="CM184" s="453"/>
      <c r="CN184" s="449">
        <v>0</v>
      </c>
      <c r="CO184" s="450"/>
      <c r="CP184" s="451"/>
      <c r="CQ184" s="452"/>
      <c r="CR184" s="453"/>
      <c r="CS184" s="449">
        <v>0</v>
      </c>
      <c r="CT184" s="450"/>
      <c r="CU184" s="451"/>
      <c r="CV184" s="452"/>
      <c r="CW184" s="453"/>
      <c r="CX184" s="449">
        <v>0</v>
      </c>
      <c r="CY184" s="450"/>
      <c r="CZ184" s="451"/>
      <c r="DA184" s="452"/>
      <c r="DB184" s="453"/>
      <c r="DC184" s="449">
        <v>0</v>
      </c>
      <c r="DD184" s="450"/>
      <c r="DE184" s="451"/>
      <c r="DF184" s="452"/>
      <c r="DG184" s="453"/>
      <c r="DH184" s="449">
        <v>0</v>
      </c>
      <c r="DI184" s="450"/>
      <c r="DJ184" s="451"/>
      <c r="DK184" s="452"/>
      <c r="DL184" s="453"/>
      <c r="DM184" s="449">
        <v>0</v>
      </c>
      <c r="DN184" s="450"/>
      <c r="DO184" s="451"/>
      <c r="DP184" s="452"/>
      <c r="DQ184" s="453"/>
      <c r="DR184" s="449">
        <v>0</v>
      </c>
      <c r="DS184" s="450"/>
      <c r="DT184" s="451"/>
      <c r="DU184" s="452"/>
      <c r="DV184" s="453"/>
      <c r="DW184" s="449">
        <v>0</v>
      </c>
      <c r="DX184" s="450"/>
      <c r="DY184" s="451"/>
      <c r="DZ184" s="452"/>
      <c r="EA184" s="453"/>
      <c r="EB184" s="449">
        <v>0</v>
      </c>
      <c r="EC184" s="450"/>
      <c r="ED184" s="451"/>
      <c r="EE184" s="452"/>
      <c r="EF184" s="453"/>
      <c r="EG184" s="449">
        <v>0</v>
      </c>
      <c r="EH184" s="450"/>
      <c r="EI184" s="451"/>
      <c r="EJ184" s="452"/>
      <c r="EK184" s="453"/>
      <c r="EL184" s="449">
        <f>SUM(CD184:EG184)</f>
        <v>0</v>
      </c>
      <c r="EM184" s="450"/>
      <c r="EN184" s="451"/>
      <c r="EO184" s="13"/>
    </row>
    <row r="185" spans="4:145" hidden="1" x14ac:dyDescent="0.2">
      <c r="D185" s="13" t="s">
        <v>471</v>
      </c>
      <c r="E185" s="198"/>
      <c r="F185" s="385"/>
      <c r="G185" s="463">
        <v>0</v>
      </c>
      <c r="H185" s="464"/>
      <c r="I185" s="451"/>
      <c r="J185" s="452"/>
      <c r="K185" s="465"/>
      <c r="L185" s="463">
        <v>0</v>
      </c>
      <c r="M185" s="464"/>
      <c r="N185" s="451"/>
      <c r="O185" s="452"/>
      <c r="P185" s="465"/>
      <c r="Q185" s="463">
        <v>0</v>
      </c>
      <c r="R185" s="464"/>
      <c r="S185" s="451"/>
      <c r="T185" s="452"/>
      <c r="U185" s="465"/>
      <c r="V185" s="463">
        <v>0</v>
      </c>
      <c r="W185" s="464"/>
      <c r="X185" s="451"/>
      <c r="Y185" s="452"/>
      <c r="Z185" s="465"/>
      <c r="AA185" s="463">
        <v>0</v>
      </c>
      <c r="AB185" s="464"/>
      <c r="AC185" s="451"/>
      <c r="AD185" s="452"/>
      <c r="AE185" s="465"/>
      <c r="AF185" s="463">
        <v>0</v>
      </c>
      <c r="AG185" s="464"/>
      <c r="AH185" s="451"/>
      <c r="AI185" s="452"/>
      <c r="AJ185" s="465"/>
      <c r="AK185" s="463">
        <v>0</v>
      </c>
      <c r="AL185" s="464"/>
      <c r="AM185" s="451"/>
      <c r="AN185" s="452"/>
      <c r="AO185" s="465"/>
      <c r="AP185" s="463">
        <v>0</v>
      </c>
      <c r="AQ185" s="464"/>
      <c r="AR185" s="451"/>
      <c r="AS185" s="452"/>
      <c r="AT185" s="465"/>
      <c r="AU185" s="463">
        <v>0</v>
      </c>
      <c r="AV185" s="464"/>
      <c r="AW185" s="451"/>
      <c r="AX185" s="452"/>
      <c r="AY185" s="465"/>
      <c r="AZ185" s="463">
        <v>0</v>
      </c>
      <c r="BA185" s="464"/>
      <c r="BB185" s="451"/>
      <c r="BC185" s="452"/>
      <c r="BD185" s="465"/>
      <c r="BE185" s="463">
        <v>0</v>
      </c>
      <c r="BF185" s="464"/>
      <c r="BG185" s="451"/>
      <c r="BH185" s="452"/>
      <c r="BI185" s="465"/>
      <c r="BJ185" s="463">
        <v>0</v>
      </c>
      <c r="BK185" s="464"/>
      <c r="BL185" s="451"/>
      <c r="BM185" s="452"/>
      <c r="BN185" s="465"/>
      <c r="BO185" s="463">
        <v>0</v>
      </c>
      <c r="BP185" s="464"/>
      <c r="BQ185" s="451"/>
      <c r="BR185" s="452"/>
      <c r="BS185" s="465"/>
      <c r="BT185" s="463">
        <f>SUM(L185:BO185)</f>
        <v>0</v>
      </c>
      <c r="BU185" s="464"/>
      <c r="BV185" s="451"/>
      <c r="BW185" s="452"/>
      <c r="BX185" s="465"/>
      <c r="BY185" s="463">
        <v>0</v>
      </c>
      <c r="BZ185" s="464"/>
      <c r="CA185" s="451"/>
      <c r="CB185" s="452"/>
      <c r="CC185" s="465"/>
      <c r="CD185" s="463">
        <v>0</v>
      </c>
      <c r="CE185" s="464"/>
      <c r="CF185" s="451"/>
      <c r="CG185" s="452"/>
      <c r="CH185" s="465"/>
      <c r="CI185" s="463">
        <v>0</v>
      </c>
      <c r="CJ185" s="464"/>
      <c r="CK185" s="451"/>
      <c r="CL185" s="452"/>
      <c r="CM185" s="465"/>
      <c r="CN185" s="463">
        <v>0</v>
      </c>
      <c r="CO185" s="464"/>
      <c r="CP185" s="451"/>
      <c r="CQ185" s="452"/>
      <c r="CR185" s="465"/>
      <c r="CS185" s="463">
        <v>0</v>
      </c>
      <c r="CT185" s="464"/>
      <c r="CU185" s="451"/>
      <c r="CV185" s="452"/>
      <c r="CW185" s="465"/>
      <c r="CX185" s="463">
        <v>0</v>
      </c>
      <c r="CY185" s="464"/>
      <c r="CZ185" s="451"/>
      <c r="DA185" s="452"/>
      <c r="DB185" s="465"/>
      <c r="DC185" s="463">
        <v>0</v>
      </c>
      <c r="DD185" s="464"/>
      <c r="DE185" s="451"/>
      <c r="DF185" s="452"/>
      <c r="DG185" s="465"/>
      <c r="DH185" s="463">
        <v>0</v>
      </c>
      <c r="DI185" s="464"/>
      <c r="DJ185" s="451"/>
      <c r="DK185" s="452"/>
      <c r="DL185" s="465"/>
      <c r="DM185" s="463">
        <v>0</v>
      </c>
      <c r="DN185" s="464"/>
      <c r="DO185" s="451"/>
      <c r="DP185" s="452"/>
      <c r="DQ185" s="465"/>
      <c r="DR185" s="463">
        <v>0</v>
      </c>
      <c r="DS185" s="464"/>
      <c r="DT185" s="451"/>
      <c r="DU185" s="452"/>
      <c r="DV185" s="465"/>
      <c r="DW185" s="463">
        <v>0</v>
      </c>
      <c r="DX185" s="464"/>
      <c r="DY185" s="451"/>
      <c r="DZ185" s="452"/>
      <c r="EA185" s="465"/>
      <c r="EB185" s="463">
        <v>0</v>
      </c>
      <c r="EC185" s="464"/>
      <c r="ED185" s="451"/>
      <c r="EE185" s="452"/>
      <c r="EF185" s="465"/>
      <c r="EG185" s="463">
        <v>0</v>
      </c>
      <c r="EH185" s="464"/>
      <c r="EI185" s="451"/>
      <c r="EJ185" s="452"/>
      <c r="EK185" s="465"/>
      <c r="EL185" s="463">
        <f>SUM(CD185:EG185)</f>
        <v>0</v>
      </c>
      <c r="EM185" s="464"/>
      <c r="EN185" s="451"/>
      <c r="EO185" s="13"/>
    </row>
    <row r="186" spans="4:145" hidden="1" x14ac:dyDescent="0.2">
      <c r="D186" s="13"/>
      <c r="E186" s="198"/>
      <c r="G186" s="451"/>
      <c r="H186" s="451"/>
      <c r="I186" s="451"/>
      <c r="J186" s="452"/>
      <c r="K186" s="451"/>
      <c r="L186" s="451"/>
      <c r="M186" s="451"/>
      <c r="N186" s="451"/>
      <c r="O186" s="452"/>
      <c r="P186" s="451"/>
      <c r="Q186" s="451"/>
      <c r="R186" s="451"/>
      <c r="S186" s="451"/>
      <c r="T186" s="452"/>
      <c r="U186" s="451"/>
      <c r="V186" s="451"/>
      <c r="W186" s="451"/>
      <c r="X186" s="451"/>
      <c r="Y186" s="452"/>
      <c r="Z186" s="451"/>
      <c r="AA186" s="451"/>
      <c r="AB186" s="451"/>
      <c r="AC186" s="451"/>
      <c r="AD186" s="452"/>
      <c r="AE186" s="451"/>
      <c r="AF186" s="451"/>
      <c r="AG186" s="451"/>
      <c r="AH186" s="451"/>
      <c r="AI186" s="452"/>
      <c r="AJ186" s="451"/>
      <c r="AK186" s="451"/>
      <c r="AL186" s="451"/>
      <c r="AM186" s="451"/>
      <c r="AN186" s="452"/>
      <c r="AO186" s="451"/>
      <c r="AP186" s="451"/>
      <c r="AQ186" s="451"/>
      <c r="AR186" s="451"/>
      <c r="AS186" s="452"/>
      <c r="AT186" s="451"/>
      <c r="AU186" s="451"/>
      <c r="AV186" s="451"/>
      <c r="AW186" s="451"/>
      <c r="AX186" s="452"/>
      <c r="AY186" s="451"/>
      <c r="AZ186" s="451"/>
      <c r="BA186" s="451"/>
      <c r="BB186" s="451"/>
      <c r="BC186" s="452"/>
      <c r="BD186" s="451"/>
      <c r="BE186" s="451"/>
      <c r="BF186" s="451"/>
      <c r="BG186" s="451"/>
      <c r="BH186" s="452"/>
      <c r="BI186" s="451"/>
      <c r="BJ186" s="451"/>
      <c r="BK186" s="451"/>
      <c r="BL186" s="451"/>
      <c r="BM186" s="452"/>
      <c r="BN186" s="451"/>
      <c r="BO186" s="451"/>
      <c r="BP186" s="451"/>
      <c r="BQ186" s="451"/>
      <c r="BR186" s="452"/>
      <c r="BS186" s="451"/>
      <c r="BT186" s="451"/>
      <c r="BU186" s="451"/>
      <c r="BV186" s="451"/>
      <c r="BW186" s="452"/>
      <c r="BX186" s="451"/>
      <c r="BY186" s="451"/>
      <c r="BZ186" s="451"/>
      <c r="CA186" s="451"/>
      <c r="CB186" s="452"/>
      <c r="CC186" s="451"/>
      <c r="CD186" s="451"/>
      <c r="CE186" s="451"/>
      <c r="CF186" s="451"/>
      <c r="CG186" s="452"/>
      <c r="CH186" s="451"/>
      <c r="CI186" s="451"/>
      <c r="CJ186" s="451"/>
      <c r="CK186" s="451"/>
      <c r="CL186" s="452"/>
      <c r="CM186" s="451"/>
      <c r="CN186" s="451"/>
      <c r="CO186" s="451"/>
      <c r="CP186" s="451"/>
      <c r="CQ186" s="452"/>
      <c r="CR186" s="451"/>
      <c r="CS186" s="451"/>
      <c r="CT186" s="451"/>
      <c r="CU186" s="451"/>
      <c r="CV186" s="452"/>
      <c r="CW186" s="451"/>
      <c r="CX186" s="451"/>
      <c r="CY186" s="451"/>
      <c r="CZ186" s="451"/>
      <c r="DA186" s="452"/>
      <c r="DB186" s="451"/>
      <c r="DC186" s="451"/>
      <c r="DD186" s="451"/>
      <c r="DE186" s="451"/>
      <c r="DF186" s="452"/>
      <c r="DG186" s="451"/>
      <c r="DH186" s="451"/>
      <c r="DI186" s="451"/>
      <c r="DJ186" s="451"/>
      <c r="DK186" s="452"/>
      <c r="DL186" s="451"/>
      <c r="DM186" s="451"/>
      <c r="DN186" s="451"/>
      <c r="DO186" s="451"/>
      <c r="DP186" s="452"/>
      <c r="DQ186" s="451"/>
      <c r="DR186" s="451"/>
      <c r="DS186" s="451"/>
      <c r="DT186" s="451"/>
      <c r="DU186" s="452"/>
      <c r="DV186" s="451"/>
      <c r="DW186" s="451"/>
      <c r="DX186" s="451"/>
      <c r="DY186" s="451"/>
      <c r="DZ186" s="452"/>
      <c r="EA186" s="451"/>
      <c r="EB186" s="451"/>
      <c r="EC186" s="451"/>
      <c r="ED186" s="451"/>
      <c r="EE186" s="452"/>
      <c r="EF186" s="451"/>
      <c r="EG186" s="451"/>
      <c r="EH186" s="451"/>
      <c r="EI186" s="451"/>
      <c r="EJ186" s="452"/>
      <c r="EK186" s="451"/>
      <c r="EL186" s="451"/>
      <c r="EM186" s="451"/>
      <c r="EN186" s="451"/>
      <c r="EO186" s="13"/>
    </row>
    <row r="187" spans="4:145" x14ac:dyDescent="0.2">
      <c r="D187" s="116"/>
      <c r="E187" s="470"/>
      <c r="F187" s="3"/>
      <c r="G187" s="471"/>
      <c r="H187" s="471"/>
      <c r="I187" s="471"/>
      <c r="J187" s="472"/>
      <c r="K187" s="471"/>
      <c r="L187" s="471"/>
      <c r="M187" s="471"/>
      <c r="N187" s="471"/>
      <c r="O187" s="472"/>
      <c r="P187" s="471"/>
      <c r="Q187" s="471"/>
      <c r="R187" s="471"/>
      <c r="S187" s="471"/>
      <c r="T187" s="472"/>
      <c r="U187" s="471"/>
      <c r="V187" s="471"/>
      <c r="W187" s="471"/>
      <c r="X187" s="471"/>
      <c r="Y187" s="472"/>
      <c r="Z187" s="471"/>
      <c r="AA187" s="471"/>
      <c r="AB187" s="471"/>
      <c r="AC187" s="471"/>
      <c r="AD187" s="472"/>
      <c r="AE187" s="471"/>
      <c r="AF187" s="471"/>
      <c r="AG187" s="471"/>
      <c r="AH187" s="471"/>
      <c r="AI187" s="472"/>
      <c r="AJ187" s="471"/>
      <c r="AK187" s="471"/>
      <c r="AL187" s="471"/>
      <c r="AM187" s="471"/>
      <c r="AN187" s="472"/>
      <c r="AO187" s="471"/>
      <c r="AP187" s="471"/>
      <c r="AQ187" s="471"/>
      <c r="AR187" s="471"/>
      <c r="AS187" s="472"/>
      <c r="AT187" s="471"/>
      <c r="AU187" s="471"/>
      <c r="AV187" s="471"/>
      <c r="AW187" s="471"/>
      <c r="AX187" s="472"/>
      <c r="AY187" s="471"/>
      <c r="AZ187" s="471"/>
      <c r="BA187" s="471"/>
      <c r="BB187" s="471"/>
      <c r="BC187" s="472"/>
      <c r="BD187" s="471"/>
      <c r="BE187" s="471"/>
      <c r="BF187" s="471"/>
      <c r="BG187" s="471"/>
      <c r="BH187" s="472"/>
      <c r="BI187" s="471"/>
      <c r="BJ187" s="471"/>
      <c r="BK187" s="471"/>
      <c r="BL187" s="471"/>
      <c r="BM187" s="472"/>
      <c r="BN187" s="471"/>
      <c r="BO187" s="471"/>
      <c r="BP187" s="471"/>
      <c r="BQ187" s="471"/>
      <c r="BR187" s="472"/>
      <c r="BS187" s="471"/>
      <c r="BT187" s="471"/>
      <c r="BU187" s="471"/>
      <c r="BV187" s="471"/>
      <c r="BW187" s="472"/>
      <c r="BX187" s="471"/>
      <c r="BY187" s="471"/>
      <c r="BZ187" s="471"/>
      <c r="CA187" s="471"/>
      <c r="CB187" s="472"/>
      <c r="CC187" s="471"/>
      <c r="CD187" s="471"/>
      <c r="CE187" s="471"/>
      <c r="CF187" s="471"/>
      <c r="CG187" s="472"/>
      <c r="CH187" s="471"/>
      <c r="CI187" s="471"/>
      <c r="CJ187" s="471"/>
      <c r="CK187" s="471"/>
      <c r="CL187" s="472"/>
      <c r="CM187" s="471"/>
      <c r="CN187" s="471"/>
      <c r="CO187" s="471"/>
      <c r="CP187" s="471"/>
      <c r="CQ187" s="472"/>
      <c r="CR187" s="471"/>
      <c r="CS187" s="471"/>
      <c r="CT187" s="471"/>
      <c r="CU187" s="471"/>
      <c r="CV187" s="472"/>
      <c r="CW187" s="471"/>
      <c r="CX187" s="471"/>
      <c r="CY187" s="471"/>
      <c r="CZ187" s="471"/>
      <c r="DA187" s="472"/>
      <c r="DB187" s="471"/>
      <c r="DC187" s="471"/>
      <c r="DD187" s="471"/>
      <c r="DE187" s="471"/>
      <c r="DF187" s="472"/>
      <c r="DG187" s="471"/>
      <c r="DH187" s="471"/>
      <c r="DI187" s="471"/>
      <c r="DJ187" s="471"/>
      <c r="DK187" s="472"/>
      <c r="DL187" s="471"/>
      <c r="DM187" s="471"/>
      <c r="DN187" s="471"/>
      <c r="DO187" s="471"/>
      <c r="DP187" s="472"/>
      <c r="DQ187" s="471"/>
      <c r="DR187" s="471"/>
      <c r="DS187" s="471"/>
      <c r="DT187" s="471"/>
      <c r="DU187" s="472"/>
      <c r="DV187" s="471"/>
      <c r="DW187" s="471"/>
      <c r="DX187" s="471"/>
      <c r="DY187" s="471"/>
      <c r="DZ187" s="472"/>
      <c r="EA187" s="471"/>
      <c r="EB187" s="471"/>
      <c r="EC187" s="471"/>
      <c r="ED187" s="471"/>
      <c r="EE187" s="472"/>
      <c r="EF187" s="471"/>
      <c r="EG187" s="471"/>
      <c r="EH187" s="471"/>
      <c r="EI187" s="471"/>
      <c r="EJ187" s="472"/>
      <c r="EK187" s="471"/>
      <c r="EL187" s="471"/>
      <c r="EM187" s="471"/>
      <c r="EN187" s="473"/>
      <c r="EO187" s="13"/>
    </row>
    <row r="188" spans="4:145" x14ac:dyDescent="0.2">
      <c r="G188" s="451"/>
      <c r="H188" s="451"/>
      <c r="I188" s="451"/>
      <c r="J188" s="451"/>
      <c r="K188" s="451"/>
      <c r="L188" s="451"/>
      <c r="M188" s="451"/>
      <c r="N188" s="451"/>
      <c r="O188" s="451"/>
      <c r="P188" s="451"/>
      <c r="Q188" s="451"/>
      <c r="R188" s="451"/>
      <c r="S188" s="451"/>
      <c r="T188" s="451"/>
      <c r="U188" s="451"/>
      <c r="V188" s="451"/>
      <c r="W188" s="451"/>
      <c r="X188" s="451"/>
      <c r="Y188" s="451"/>
      <c r="Z188" s="451"/>
      <c r="AA188" s="451"/>
      <c r="AB188" s="451"/>
      <c r="AC188" s="451"/>
      <c r="AD188" s="451"/>
      <c r="AE188" s="451"/>
      <c r="AF188" s="451"/>
      <c r="AG188" s="451"/>
      <c r="AH188" s="451"/>
      <c r="AI188" s="451"/>
      <c r="AJ188" s="451"/>
      <c r="AK188" s="451"/>
      <c r="AL188" s="451"/>
      <c r="AM188" s="451"/>
      <c r="AN188" s="451"/>
      <c r="AO188" s="451"/>
      <c r="AP188" s="451"/>
      <c r="AQ188" s="451"/>
      <c r="AR188" s="451"/>
      <c r="AS188" s="451"/>
      <c r="AT188" s="451"/>
      <c r="AU188" s="451"/>
      <c r="AV188" s="451"/>
      <c r="AW188" s="451"/>
      <c r="AX188" s="451"/>
      <c r="AY188" s="451"/>
      <c r="AZ188" s="451"/>
      <c r="BA188" s="451"/>
      <c r="BB188" s="451"/>
      <c r="BC188" s="451"/>
      <c r="BD188" s="451"/>
      <c r="BE188" s="451"/>
      <c r="BF188" s="451"/>
      <c r="BG188" s="451"/>
      <c r="BH188" s="451"/>
      <c r="BI188" s="451"/>
      <c r="BJ188" s="451"/>
      <c r="BK188" s="451"/>
      <c r="BL188" s="451"/>
      <c r="BM188" s="451"/>
      <c r="BN188" s="451"/>
      <c r="BO188" s="451"/>
      <c r="BP188" s="451"/>
      <c r="BQ188" s="451"/>
      <c r="BR188" s="451"/>
      <c r="BS188" s="451"/>
      <c r="BT188" s="451"/>
      <c r="BU188" s="451"/>
      <c r="BV188" s="451"/>
      <c r="BW188" s="451"/>
      <c r="BX188" s="451"/>
      <c r="BY188" s="451"/>
      <c r="BZ188" s="451"/>
      <c r="CA188" s="451"/>
      <c r="CB188" s="451"/>
      <c r="CC188" s="451"/>
      <c r="CD188" s="451"/>
      <c r="CE188" s="451"/>
      <c r="CF188" s="451"/>
      <c r="CG188" s="451"/>
      <c r="CH188" s="451"/>
      <c r="CI188" s="451"/>
      <c r="CJ188" s="451"/>
      <c r="CK188" s="451"/>
      <c r="CL188" s="451"/>
      <c r="CM188" s="451"/>
      <c r="CN188" s="451"/>
      <c r="CO188" s="451"/>
      <c r="CP188" s="451"/>
      <c r="CQ188" s="451"/>
      <c r="CR188" s="451"/>
      <c r="CS188" s="451"/>
      <c r="CT188" s="451"/>
      <c r="CU188" s="451"/>
      <c r="CV188" s="451"/>
      <c r="CW188" s="451"/>
      <c r="CX188" s="451"/>
      <c r="CY188" s="451"/>
      <c r="CZ188" s="451"/>
      <c r="DA188" s="451"/>
      <c r="DB188" s="451"/>
      <c r="DC188" s="451"/>
      <c r="DD188" s="451"/>
      <c r="DE188" s="451"/>
      <c r="DF188" s="451"/>
      <c r="DG188" s="451"/>
      <c r="DH188" s="451"/>
      <c r="DI188" s="451"/>
      <c r="DJ188" s="451"/>
      <c r="DK188" s="451"/>
      <c r="DL188" s="451"/>
      <c r="DM188" s="451"/>
      <c r="DN188" s="451"/>
      <c r="DO188" s="451"/>
      <c r="DP188" s="451"/>
      <c r="DQ188" s="451"/>
      <c r="DR188" s="451"/>
      <c r="DS188" s="451"/>
      <c r="DT188" s="451"/>
      <c r="DU188" s="451"/>
      <c r="DV188" s="451"/>
      <c r="DW188" s="451"/>
      <c r="DX188" s="451"/>
      <c r="DY188" s="451"/>
      <c r="DZ188" s="451"/>
      <c r="EA188" s="451"/>
      <c r="EB188" s="451"/>
      <c r="EC188" s="451"/>
      <c r="ED188" s="451"/>
      <c r="EE188" s="451"/>
      <c r="EF188" s="451"/>
      <c r="EG188" s="451"/>
      <c r="EH188" s="451"/>
      <c r="EI188" s="451"/>
      <c r="EJ188" s="451"/>
      <c r="EK188" s="451"/>
      <c r="EL188" s="451"/>
      <c r="EM188" s="451"/>
      <c r="EN188" s="451"/>
    </row>
    <row r="189" spans="4:145" ht="6" customHeight="1" x14ac:dyDescent="0.2">
      <c r="G189" s="451"/>
      <c r="H189" s="451"/>
      <c r="I189" s="451"/>
      <c r="J189" s="451"/>
      <c r="K189" s="451"/>
      <c r="L189" s="451"/>
      <c r="M189" s="451"/>
      <c r="N189" s="451"/>
      <c r="O189" s="451"/>
      <c r="P189" s="451"/>
      <c r="Q189" s="451"/>
      <c r="R189" s="451"/>
      <c r="S189" s="451"/>
      <c r="T189" s="451"/>
      <c r="U189" s="451"/>
      <c r="V189" s="451"/>
      <c r="W189" s="451"/>
      <c r="X189" s="451"/>
      <c r="Y189" s="451"/>
      <c r="Z189" s="451"/>
      <c r="AA189" s="451"/>
      <c r="AB189" s="451"/>
      <c r="AC189" s="451"/>
      <c r="AD189" s="451"/>
      <c r="AE189" s="451"/>
      <c r="AF189" s="451"/>
      <c r="AG189" s="451"/>
      <c r="AH189" s="451"/>
      <c r="AI189" s="451"/>
      <c r="AJ189" s="451"/>
      <c r="AK189" s="451"/>
      <c r="AL189" s="451"/>
      <c r="AM189" s="451"/>
      <c r="AN189" s="451"/>
      <c r="AO189" s="451"/>
      <c r="AP189" s="451"/>
      <c r="AQ189" s="451"/>
      <c r="AR189" s="451"/>
      <c r="AS189" s="451"/>
      <c r="AT189" s="451"/>
      <c r="AU189" s="451"/>
      <c r="AV189" s="451"/>
      <c r="AW189" s="451"/>
      <c r="AX189" s="451"/>
      <c r="AY189" s="451"/>
      <c r="AZ189" s="451"/>
      <c r="BA189" s="451"/>
      <c r="BB189" s="451"/>
      <c r="BC189" s="451"/>
      <c r="BD189" s="451"/>
      <c r="BE189" s="451"/>
      <c r="BF189" s="451"/>
      <c r="BG189" s="451"/>
      <c r="BH189" s="451"/>
      <c r="BI189" s="451"/>
      <c r="BJ189" s="451"/>
      <c r="BK189" s="451"/>
      <c r="BL189" s="451"/>
      <c r="BM189" s="451"/>
      <c r="BN189" s="451"/>
      <c r="BO189" s="451"/>
      <c r="BP189" s="451"/>
      <c r="BQ189" s="451"/>
      <c r="BR189" s="451"/>
      <c r="BS189" s="451"/>
      <c r="BT189" s="451"/>
      <c r="BU189" s="451"/>
      <c r="BV189" s="451"/>
      <c r="BW189" s="451"/>
      <c r="BX189" s="451"/>
      <c r="BY189" s="451"/>
      <c r="BZ189" s="451"/>
      <c r="CA189" s="451"/>
      <c r="CB189" s="451"/>
      <c r="CC189" s="451"/>
      <c r="CD189" s="451"/>
      <c r="CE189" s="451"/>
      <c r="CF189" s="451"/>
      <c r="CG189" s="451"/>
      <c r="CH189" s="451"/>
      <c r="CI189" s="451"/>
      <c r="CJ189" s="451"/>
      <c r="CK189" s="451"/>
      <c r="CL189" s="451"/>
      <c r="CM189" s="451"/>
      <c r="CN189" s="451"/>
      <c r="CO189" s="451"/>
      <c r="CP189" s="451"/>
      <c r="CQ189" s="451"/>
      <c r="CR189" s="451"/>
      <c r="CS189" s="451"/>
      <c r="CT189" s="451"/>
      <c r="CU189" s="451"/>
      <c r="CV189" s="451"/>
      <c r="CW189" s="451"/>
      <c r="CX189" s="451"/>
      <c r="CY189" s="451"/>
      <c r="CZ189" s="451"/>
      <c r="DA189" s="451"/>
      <c r="DB189" s="451"/>
      <c r="DC189" s="451"/>
      <c r="DD189" s="451"/>
      <c r="DE189" s="451"/>
      <c r="DF189" s="451"/>
      <c r="DG189" s="451"/>
      <c r="DH189" s="451"/>
      <c r="DI189" s="451"/>
      <c r="DJ189" s="451"/>
      <c r="DK189" s="451"/>
      <c r="DL189" s="451"/>
      <c r="DM189" s="451"/>
      <c r="DN189" s="451"/>
      <c r="DO189" s="451"/>
      <c r="DP189" s="451"/>
      <c r="DQ189" s="451"/>
      <c r="DR189" s="451"/>
      <c r="DS189" s="451"/>
      <c r="DT189" s="451"/>
      <c r="DU189" s="451"/>
      <c r="DV189" s="451"/>
      <c r="DW189" s="451"/>
      <c r="DX189" s="451"/>
      <c r="DY189" s="451"/>
      <c r="DZ189" s="451"/>
      <c r="EA189" s="451"/>
      <c r="EB189" s="451"/>
      <c r="EC189" s="451"/>
      <c r="ED189" s="451"/>
      <c r="EE189" s="451"/>
      <c r="EF189" s="451"/>
      <c r="EG189" s="451"/>
      <c r="EH189" s="451"/>
      <c r="EI189" s="451"/>
      <c r="EJ189" s="451"/>
      <c r="EK189" s="451"/>
      <c r="EL189" s="451"/>
      <c r="EM189" s="451"/>
      <c r="EN189" s="451"/>
    </row>
    <row r="190" spans="4:145" x14ac:dyDescent="0.2">
      <c r="G190" s="451"/>
      <c r="H190" s="451"/>
      <c r="I190" s="451"/>
      <c r="J190" s="451"/>
      <c r="K190" s="451"/>
      <c r="L190" s="451"/>
      <c r="M190" s="451"/>
      <c r="N190" s="451"/>
      <c r="O190" s="451"/>
      <c r="P190" s="451"/>
      <c r="Q190" s="451"/>
      <c r="R190" s="451"/>
      <c r="S190" s="451"/>
      <c r="T190" s="451"/>
      <c r="U190" s="451"/>
      <c r="V190" s="451"/>
      <c r="W190" s="451"/>
      <c r="X190" s="451"/>
      <c r="Y190" s="451"/>
      <c r="Z190" s="451"/>
      <c r="AA190" s="451"/>
      <c r="AB190" s="451"/>
      <c r="AC190" s="451"/>
      <c r="AD190" s="451"/>
      <c r="AE190" s="451"/>
      <c r="AF190" s="451"/>
      <c r="AG190" s="451"/>
      <c r="AH190" s="451"/>
      <c r="AI190" s="451"/>
      <c r="AJ190" s="451"/>
      <c r="AK190" s="451"/>
      <c r="AL190" s="451"/>
      <c r="AM190" s="451"/>
      <c r="AN190" s="451"/>
      <c r="AO190" s="451"/>
      <c r="AP190" s="451"/>
      <c r="AQ190" s="451"/>
      <c r="AR190" s="451"/>
      <c r="AS190" s="451"/>
      <c r="AT190" s="451"/>
      <c r="AU190" s="451"/>
      <c r="AV190" s="451"/>
      <c r="AW190" s="451"/>
      <c r="AX190" s="451"/>
      <c r="AY190" s="451"/>
      <c r="AZ190" s="451"/>
      <c r="BA190" s="451"/>
      <c r="BB190" s="451"/>
      <c r="BC190" s="451"/>
      <c r="BD190" s="451"/>
      <c r="BE190" s="451"/>
      <c r="BF190" s="451"/>
      <c r="BG190" s="451"/>
      <c r="BH190" s="451"/>
      <c r="BI190" s="451"/>
      <c r="BJ190" s="451"/>
      <c r="BK190" s="451"/>
      <c r="BL190" s="451"/>
      <c r="BM190" s="451"/>
      <c r="BN190" s="451"/>
      <c r="BO190" s="451"/>
      <c r="BP190" s="451"/>
      <c r="BQ190" s="451"/>
      <c r="BR190" s="451"/>
      <c r="BS190" s="451"/>
      <c r="BT190" s="451"/>
      <c r="BU190" s="451"/>
      <c r="BV190" s="451"/>
      <c r="BW190" s="451"/>
      <c r="BX190" s="451"/>
      <c r="BY190" s="451"/>
      <c r="BZ190" s="451"/>
      <c r="CA190" s="451"/>
      <c r="CB190" s="451"/>
      <c r="CC190" s="451"/>
      <c r="CD190" s="451"/>
      <c r="CE190" s="451"/>
      <c r="CF190" s="451"/>
      <c r="CG190" s="451"/>
      <c r="CH190" s="451"/>
      <c r="CI190" s="451"/>
      <c r="CJ190" s="451"/>
      <c r="CK190" s="451"/>
      <c r="CL190" s="451"/>
      <c r="CM190" s="451"/>
      <c r="CN190" s="451"/>
      <c r="CO190" s="451"/>
      <c r="CP190" s="451"/>
      <c r="CQ190" s="451"/>
      <c r="CR190" s="451"/>
      <c r="CS190" s="451"/>
      <c r="CT190" s="451"/>
      <c r="CU190" s="451"/>
      <c r="CV190" s="451"/>
      <c r="CW190" s="451"/>
      <c r="CX190" s="451"/>
      <c r="CY190" s="451"/>
      <c r="CZ190" s="451"/>
      <c r="DA190" s="451"/>
      <c r="DB190" s="451"/>
      <c r="DC190" s="451"/>
      <c r="DD190" s="451"/>
      <c r="DE190" s="451"/>
      <c r="DF190" s="451"/>
      <c r="DG190" s="451"/>
      <c r="DH190" s="451"/>
      <c r="DI190" s="451"/>
      <c r="DJ190" s="451"/>
      <c r="DK190" s="451"/>
      <c r="DL190" s="451"/>
      <c r="DM190" s="451"/>
      <c r="DN190" s="451"/>
      <c r="DO190" s="451"/>
      <c r="DP190" s="451"/>
      <c r="DQ190" s="451"/>
      <c r="DR190" s="451"/>
      <c r="DS190" s="451"/>
      <c r="DT190" s="451"/>
      <c r="DU190" s="451"/>
      <c r="DV190" s="451"/>
      <c r="DW190" s="451"/>
      <c r="DX190" s="451"/>
      <c r="DY190" s="451"/>
      <c r="DZ190" s="451"/>
      <c r="EA190" s="451"/>
      <c r="EB190" s="451"/>
      <c r="EC190" s="451"/>
      <c r="ED190" s="451"/>
      <c r="EE190" s="451"/>
      <c r="EF190" s="451"/>
      <c r="EG190" s="451"/>
      <c r="EH190" s="451"/>
      <c r="EI190" s="451"/>
      <c r="EJ190" s="451"/>
      <c r="EK190" s="451"/>
      <c r="EL190" s="451"/>
      <c r="EM190" s="451"/>
      <c r="EN190" s="451"/>
    </row>
    <row r="191" spans="4:145" x14ac:dyDescent="0.2">
      <c r="D191" s="38"/>
      <c r="E191" s="38"/>
      <c r="F191" s="38"/>
      <c r="G191" s="451"/>
      <c r="H191" s="451"/>
      <c r="I191" s="451"/>
      <c r="J191" s="451"/>
      <c r="K191" s="451"/>
      <c r="L191" s="451"/>
      <c r="M191" s="451"/>
      <c r="N191" s="451"/>
      <c r="O191" s="451"/>
      <c r="P191" s="451"/>
      <c r="Q191" s="451"/>
      <c r="R191" s="451"/>
      <c r="S191" s="451"/>
      <c r="T191" s="451"/>
      <c r="U191" s="451"/>
      <c r="V191" s="451"/>
      <c r="W191" s="451"/>
      <c r="X191" s="451"/>
      <c r="Y191" s="451"/>
      <c r="Z191" s="451"/>
      <c r="AA191" s="451"/>
      <c r="AB191" s="451"/>
      <c r="AC191" s="451"/>
      <c r="AD191" s="451"/>
      <c r="AE191" s="451"/>
      <c r="AF191" s="451"/>
      <c r="AG191" s="451"/>
      <c r="AH191" s="451"/>
      <c r="AI191" s="451"/>
      <c r="AJ191" s="451"/>
      <c r="AK191" s="451"/>
      <c r="AL191" s="451"/>
      <c r="AM191" s="451"/>
      <c r="AN191" s="451"/>
      <c r="AO191" s="451"/>
      <c r="AP191" s="451"/>
      <c r="AQ191" s="451"/>
      <c r="AR191" s="451"/>
      <c r="AS191" s="451"/>
      <c r="AT191" s="451"/>
      <c r="AU191" s="451"/>
      <c r="AV191" s="451"/>
      <c r="AW191" s="451"/>
      <c r="AX191" s="451"/>
      <c r="AY191" s="451"/>
      <c r="AZ191" s="451"/>
      <c r="BA191" s="451"/>
      <c r="BB191" s="451"/>
      <c r="BC191" s="451"/>
      <c r="BD191" s="451"/>
      <c r="BE191" s="451"/>
      <c r="BF191" s="451"/>
      <c r="BG191" s="451"/>
      <c r="BH191" s="451"/>
      <c r="BI191" s="451"/>
      <c r="BJ191" s="451"/>
      <c r="BK191" s="451"/>
      <c r="BL191" s="451"/>
      <c r="BM191" s="451"/>
      <c r="BN191" s="451"/>
      <c r="BO191" s="451"/>
      <c r="BP191" s="451"/>
      <c r="BQ191" s="451"/>
      <c r="BR191" s="451"/>
      <c r="BS191" s="451"/>
      <c r="BT191" s="451"/>
      <c r="BU191" s="451"/>
      <c r="BV191" s="451"/>
      <c r="BW191" s="451"/>
      <c r="BX191" s="451"/>
      <c r="BY191" s="451"/>
      <c r="BZ191" s="451"/>
      <c r="CA191" s="451"/>
      <c r="CB191" s="451"/>
      <c r="CC191" s="451"/>
      <c r="CD191" s="451"/>
      <c r="CE191" s="451"/>
      <c r="CF191" s="451"/>
      <c r="CG191" s="451"/>
      <c r="CH191" s="451"/>
      <c r="CI191" s="451"/>
      <c r="CJ191" s="451"/>
      <c r="CK191" s="451"/>
      <c r="CL191" s="451"/>
      <c r="CM191" s="451"/>
      <c r="CN191" s="451"/>
      <c r="CO191" s="451"/>
      <c r="CP191" s="451"/>
      <c r="CQ191" s="451"/>
      <c r="CR191" s="451"/>
      <c r="CS191" s="451"/>
      <c r="CT191" s="451"/>
      <c r="CU191" s="451"/>
      <c r="CV191" s="451"/>
      <c r="CW191" s="451"/>
      <c r="CX191" s="451"/>
      <c r="CY191" s="451"/>
      <c r="CZ191" s="451"/>
      <c r="DA191" s="451"/>
      <c r="DB191" s="451"/>
      <c r="DC191" s="451"/>
      <c r="DD191" s="451"/>
      <c r="DE191" s="451"/>
      <c r="DF191" s="451"/>
      <c r="DG191" s="451"/>
      <c r="DH191" s="451"/>
      <c r="DI191" s="451"/>
      <c r="DJ191" s="451"/>
      <c r="DK191" s="451"/>
      <c r="DL191" s="451"/>
      <c r="DM191" s="451"/>
      <c r="DN191" s="451"/>
      <c r="DO191" s="451"/>
      <c r="DP191" s="451"/>
      <c r="DQ191" s="451"/>
      <c r="DR191" s="451"/>
      <c r="DS191" s="451"/>
      <c r="DT191" s="451"/>
      <c r="DU191" s="451"/>
      <c r="DV191" s="451"/>
      <c r="DW191" s="451"/>
      <c r="DX191" s="451"/>
      <c r="DY191" s="451"/>
      <c r="DZ191" s="451"/>
      <c r="EA191" s="451"/>
      <c r="EB191" s="451"/>
      <c r="EC191" s="451"/>
      <c r="ED191" s="451"/>
      <c r="EE191" s="451"/>
      <c r="EF191" s="451"/>
      <c r="EG191" s="451"/>
      <c r="EH191" s="451"/>
      <c r="EI191" s="451"/>
      <c r="EJ191" s="451"/>
      <c r="EK191" s="451"/>
      <c r="EL191" s="451"/>
      <c r="EM191" s="451"/>
      <c r="EN191" s="451"/>
    </row>
  </sheetData>
  <mergeCells count="2">
    <mergeCell ref="G8:BT8"/>
    <mergeCell ref="BY8:EL8"/>
  </mergeCells>
  <pageMargins left="0.7" right="0.7" top="0.75" bottom="0.75" header="0.3" footer="0.3"/>
  <pageSetup paperSize="9" scale="4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CFF38-697F-42B7-8914-AE6FB1776709}">
  <dimension ref="A1:EX107"/>
  <sheetViews>
    <sheetView view="pageBreakPreview" topLeftCell="E4" zoomScaleNormal="100" zoomScaleSheetLayoutView="100" workbookViewId="0">
      <selection activeCell="J22" sqref="J22"/>
    </sheetView>
  </sheetViews>
  <sheetFormatPr defaultColWidth="10" defaultRowHeight="12.75" x14ac:dyDescent="0.2"/>
  <cols>
    <col min="1" max="1" width="1.85546875" style="1" hidden="1" customWidth="1"/>
    <col min="2" max="3" width="0.85546875" style="1" hidden="1" customWidth="1"/>
    <col min="4" max="4" width="64.85546875" style="1" customWidth="1"/>
    <col min="5" max="5" width="7" style="85" customWidth="1"/>
    <col min="6" max="7" width="1" style="1" customWidth="1"/>
    <col min="8" max="8" width="15.140625" style="1" customWidth="1"/>
    <col min="9" max="10" width="1" style="1" customWidth="1"/>
    <col min="11" max="11" width="0.85546875" style="1" hidden="1" customWidth="1"/>
    <col min="12" max="12" width="1" style="1" hidden="1" customWidth="1"/>
    <col min="13" max="13" width="17.85546875" style="1" hidden="1" customWidth="1"/>
    <col min="14" max="17" width="1" style="1" hidden="1" customWidth="1"/>
    <col min="18" max="18" width="17.85546875" style="1" hidden="1" customWidth="1"/>
    <col min="19" max="22" width="1" style="1" hidden="1" customWidth="1"/>
    <col min="23" max="23" width="17.85546875" style="1" hidden="1" customWidth="1"/>
    <col min="24" max="27" width="1" style="1" hidden="1" customWidth="1"/>
    <col min="28" max="28" width="17.85546875" style="1" hidden="1" customWidth="1"/>
    <col min="29" max="32" width="1" style="1" hidden="1" customWidth="1"/>
    <col min="33" max="33" width="17.85546875" style="1" hidden="1" customWidth="1"/>
    <col min="34" max="37" width="1" style="1" hidden="1" customWidth="1"/>
    <col min="38" max="38" width="17.85546875" style="1" hidden="1" customWidth="1"/>
    <col min="39" max="40" width="1" style="1" hidden="1" customWidth="1"/>
    <col min="41" max="41" width="1.28515625" style="1" hidden="1" customWidth="1"/>
    <col min="42" max="42" width="1" style="1" hidden="1" customWidth="1"/>
    <col min="43" max="43" width="17.85546875" style="1" hidden="1" customWidth="1"/>
    <col min="44" max="47" width="1" style="1" hidden="1" customWidth="1"/>
    <col min="48" max="48" width="14.7109375" style="1" hidden="1" customWidth="1"/>
    <col min="49" max="52" width="1" style="1" hidden="1" customWidth="1"/>
    <col min="53" max="53" width="17.85546875" style="1" hidden="1" customWidth="1"/>
    <col min="54" max="55" width="1" style="1" hidden="1" customWidth="1"/>
    <col min="56" max="57" width="1" style="1" customWidth="1"/>
    <col min="58" max="58" width="17.85546875" style="1" customWidth="1"/>
    <col min="59" max="60" width="1" style="1" customWidth="1"/>
    <col min="61" max="62" width="1" style="1" hidden="1" customWidth="1"/>
    <col min="63" max="63" width="17.85546875" style="1" hidden="1" customWidth="1"/>
    <col min="64" max="67" width="1" style="1" hidden="1" customWidth="1"/>
    <col min="68" max="68" width="17.85546875" style="1" hidden="1" customWidth="1"/>
    <col min="69" max="70" width="1" style="1" hidden="1" customWidth="1"/>
    <col min="71" max="72" width="1" style="1" customWidth="1"/>
    <col min="73" max="73" width="18.7109375" style="1" bestFit="1" customWidth="1"/>
    <col min="74" max="77" width="1" style="1" customWidth="1"/>
    <col min="78" max="78" width="16.85546875" style="1" bestFit="1" customWidth="1"/>
    <col min="79" max="80" width="1" style="1" customWidth="1"/>
    <col min="81" max="82" width="1" style="1" hidden="1" customWidth="1"/>
    <col min="83" max="83" width="17.85546875" style="1" hidden="1" customWidth="1"/>
    <col min="84" max="87" width="1" style="1" hidden="1" customWidth="1"/>
    <col min="88" max="88" width="17.85546875" style="1" hidden="1" customWidth="1"/>
    <col min="89" max="89" width="1" style="1" hidden="1" customWidth="1"/>
    <col min="90" max="90" width="1.5703125" style="1" hidden="1" customWidth="1"/>
    <col min="91" max="92" width="1" style="1" hidden="1" customWidth="1"/>
    <col min="93" max="93" width="17.85546875" style="1" hidden="1" customWidth="1"/>
    <col min="94" max="95" width="1" style="1" hidden="1" customWidth="1"/>
    <col min="96" max="96" width="0.85546875" style="1" hidden="1" customWidth="1"/>
    <col min="97" max="97" width="1.140625" style="1" hidden="1" customWidth="1"/>
    <col min="98" max="98" width="17.85546875" style="1" hidden="1" customWidth="1"/>
    <col min="99" max="102" width="1" style="1" hidden="1" customWidth="1"/>
    <col min="103" max="103" width="17.85546875" style="1" hidden="1" customWidth="1"/>
    <col min="104" max="107" width="1" style="1" hidden="1" customWidth="1"/>
    <col min="108" max="108" width="17.85546875" style="1" hidden="1" customWidth="1"/>
    <col min="109" max="112" width="1" style="1" hidden="1" customWidth="1"/>
    <col min="113" max="113" width="17.85546875" style="1" hidden="1" customWidth="1"/>
    <col min="114" max="114" width="1" style="1" hidden="1" customWidth="1"/>
    <col min="115" max="115" width="0.7109375" style="1" hidden="1" customWidth="1"/>
    <col min="116" max="117" width="1" style="1" hidden="1" customWidth="1"/>
    <col min="118" max="118" width="14.28515625" style="1" hidden="1" customWidth="1"/>
    <col min="119" max="122" width="1" style="1" hidden="1" customWidth="1"/>
    <col min="123" max="123" width="17.85546875" style="1" hidden="1" customWidth="1"/>
    <col min="124" max="125" width="1" style="1" hidden="1" customWidth="1"/>
    <col min="126" max="127" width="1" style="1" customWidth="1"/>
    <col min="128" max="128" width="17.85546875" style="1" customWidth="1"/>
    <col min="129" max="130" width="1" style="1" customWidth="1"/>
    <col min="131" max="132" width="1" style="1" hidden="1" customWidth="1"/>
    <col min="133" max="133" width="17.85546875" style="1" hidden="1" customWidth="1"/>
    <col min="134" max="137" width="1" style="1" hidden="1" customWidth="1"/>
    <col min="138" max="138" width="17.85546875" style="1" hidden="1" customWidth="1"/>
    <col min="139" max="140" width="1" style="1" hidden="1" customWidth="1"/>
    <col min="141" max="142" width="1" style="1" customWidth="1"/>
    <col min="143" max="143" width="17.85546875" style="1" customWidth="1"/>
    <col min="144" max="146" width="1" style="1" customWidth="1"/>
    <col min="147" max="147" width="1.85546875" style="1" customWidth="1"/>
    <col min="148" max="148" width="11.28515625" style="1" bestFit="1" customWidth="1"/>
    <col min="149" max="149" width="10" style="1"/>
    <col min="150" max="150" width="10.42578125" style="1" bestFit="1" customWidth="1"/>
    <col min="151" max="153" width="10" style="1"/>
    <col min="154" max="154" width="13.42578125" style="1" bestFit="1" customWidth="1"/>
    <col min="155" max="256" width="10" style="1"/>
    <col min="257" max="259" width="0" style="1" hidden="1" customWidth="1"/>
    <col min="260" max="260" width="64.85546875" style="1" customWidth="1"/>
    <col min="261" max="261" width="7" style="1" customWidth="1"/>
    <col min="262" max="263" width="1" style="1" customWidth="1"/>
    <col min="264" max="264" width="15.140625" style="1" customWidth="1"/>
    <col min="265" max="266" width="1" style="1" customWidth="1"/>
    <col min="267" max="311" width="0" style="1" hidden="1" customWidth="1"/>
    <col min="312" max="313" width="1" style="1" customWidth="1"/>
    <col min="314" max="314" width="17.85546875" style="1" customWidth="1"/>
    <col min="315" max="316" width="1" style="1" customWidth="1"/>
    <col min="317" max="326" width="0" style="1" hidden="1" customWidth="1"/>
    <col min="327" max="328" width="1" style="1" customWidth="1"/>
    <col min="329" max="329" width="18.7109375" style="1" bestFit="1" customWidth="1"/>
    <col min="330" max="333" width="1" style="1" customWidth="1"/>
    <col min="334" max="334" width="16.85546875" style="1" bestFit="1" customWidth="1"/>
    <col min="335" max="336" width="1" style="1" customWidth="1"/>
    <col min="337" max="381" width="0" style="1" hidden="1" customWidth="1"/>
    <col min="382" max="383" width="1" style="1" customWidth="1"/>
    <col min="384" max="384" width="17.85546875" style="1" customWidth="1"/>
    <col min="385" max="386" width="1" style="1" customWidth="1"/>
    <col min="387" max="396" width="0" style="1" hidden="1" customWidth="1"/>
    <col min="397" max="398" width="1" style="1" customWidth="1"/>
    <col min="399" max="399" width="17.85546875" style="1" customWidth="1"/>
    <col min="400" max="402" width="1" style="1" customWidth="1"/>
    <col min="403" max="403" width="1.85546875" style="1" customWidth="1"/>
    <col min="404" max="404" width="11.28515625" style="1" bestFit="1" customWidth="1"/>
    <col min="405" max="405" width="10" style="1"/>
    <col min="406" max="406" width="10.42578125" style="1" bestFit="1" customWidth="1"/>
    <col min="407" max="409" width="10" style="1"/>
    <col min="410" max="410" width="13.42578125" style="1" bestFit="1" customWidth="1"/>
    <col min="411" max="512" width="10" style="1"/>
    <col min="513" max="515" width="0" style="1" hidden="1" customWidth="1"/>
    <col min="516" max="516" width="64.85546875" style="1" customWidth="1"/>
    <col min="517" max="517" width="7" style="1" customWidth="1"/>
    <col min="518" max="519" width="1" style="1" customWidth="1"/>
    <col min="520" max="520" width="15.140625" style="1" customWidth="1"/>
    <col min="521" max="522" width="1" style="1" customWidth="1"/>
    <col min="523" max="567" width="0" style="1" hidden="1" customWidth="1"/>
    <col min="568" max="569" width="1" style="1" customWidth="1"/>
    <col min="570" max="570" width="17.85546875" style="1" customWidth="1"/>
    <col min="571" max="572" width="1" style="1" customWidth="1"/>
    <col min="573" max="582" width="0" style="1" hidden="1" customWidth="1"/>
    <col min="583" max="584" width="1" style="1" customWidth="1"/>
    <col min="585" max="585" width="18.7109375" style="1" bestFit="1" customWidth="1"/>
    <col min="586" max="589" width="1" style="1" customWidth="1"/>
    <col min="590" max="590" width="16.85546875" style="1" bestFit="1" customWidth="1"/>
    <col min="591" max="592" width="1" style="1" customWidth="1"/>
    <col min="593" max="637" width="0" style="1" hidden="1" customWidth="1"/>
    <col min="638" max="639" width="1" style="1" customWidth="1"/>
    <col min="640" max="640" width="17.85546875" style="1" customWidth="1"/>
    <col min="641" max="642" width="1" style="1" customWidth="1"/>
    <col min="643" max="652" width="0" style="1" hidden="1" customWidth="1"/>
    <col min="653" max="654" width="1" style="1" customWidth="1"/>
    <col min="655" max="655" width="17.85546875" style="1" customWidth="1"/>
    <col min="656" max="658" width="1" style="1" customWidth="1"/>
    <col min="659" max="659" width="1.85546875" style="1" customWidth="1"/>
    <col min="660" max="660" width="11.28515625" style="1" bestFit="1" customWidth="1"/>
    <col min="661" max="661" width="10" style="1"/>
    <col min="662" max="662" width="10.42578125" style="1" bestFit="1" customWidth="1"/>
    <col min="663" max="665" width="10" style="1"/>
    <col min="666" max="666" width="13.42578125" style="1" bestFit="1" customWidth="1"/>
    <col min="667" max="768" width="10" style="1"/>
    <col min="769" max="771" width="0" style="1" hidden="1" customWidth="1"/>
    <col min="772" max="772" width="64.85546875" style="1" customWidth="1"/>
    <col min="773" max="773" width="7" style="1" customWidth="1"/>
    <col min="774" max="775" width="1" style="1" customWidth="1"/>
    <col min="776" max="776" width="15.140625" style="1" customWidth="1"/>
    <col min="777" max="778" width="1" style="1" customWidth="1"/>
    <col min="779" max="823" width="0" style="1" hidden="1" customWidth="1"/>
    <col min="824" max="825" width="1" style="1" customWidth="1"/>
    <col min="826" max="826" width="17.85546875" style="1" customWidth="1"/>
    <col min="827" max="828" width="1" style="1" customWidth="1"/>
    <col min="829" max="838" width="0" style="1" hidden="1" customWidth="1"/>
    <col min="839" max="840" width="1" style="1" customWidth="1"/>
    <col min="841" max="841" width="18.7109375" style="1" bestFit="1" customWidth="1"/>
    <col min="842" max="845" width="1" style="1" customWidth="1"/>
    <col min="846" max="846" width="16.85546875" style="1" bestFit="1" customWidth="1"/>
    <col min="847" max="848" width="1" style="1" customWidth="1"/>
    <col min="849" max="893" width="0" style="1" hidden="1" customWidth="1"/>
    <col min="894" max="895" width="1" style="1" customWidth="1"/>
    <col min="896" max="896" width="17.85546875" style="1" customWidth="1"/>
    <col min="897" max="898" width="1" style="1" customWidth="1"/>
    <col min="899" max="908" width="0" style="1" hidden="1" customWidth="1"/>
    <col min="909" max="910" width="1" style="1" customWidth="1"/>
    <col min="911" max="911" width="17.85546875" style="1" customWidth="1"/>
    <col min="912" max="914" width="1" style="1" customWidth="1"/>
    <col min="915" max="915" width="1.85546875" style="1" customWidth="1"/>
    <col min="916" max="916" width="11.28515625" style="1" bestFit="1" customWidth="1"/>
    <col min="917" max="917" width="10" style="1"/>
    <col min="918" max="918" width="10.42578125" style="1" bestFit="1" customWidth="1"/>
    <col min="919" max="921" width="10" style="1"/>
    <col min="922" max="922" width="13.42578125" style="1" bestFit="1" customWidth="1"/>
    <col min="923" max="1024" width="10" style="1"/>
    <col min="1025" max="1027" width="0" style="1" hidden="1" customWidth="1"/>
    <col min="1028" max="1028" width="64.85546875" style="1" customWidth="1"/>
    <col min="1029" max="1029" width="7" style="1" customWidth="1"/>
    <col min="1030" max="1031" width="1" style="1" customWidth="1"/>
    <col min="1032" max="1032" width="15.140625" style="1" customWidth="1"/>
    <col min="1033" max="1034" width="1" style="1" customWidth="1"/>
    <col min="1035" max="1079" width="0" style="1" hidden="1" customWidth="1"/>
    <col min="1080" max="1081" width="1" style="1" customWidth="1"/>
    <col min="1082" max="1082" width="17.85546875" style="1" customWidth="1"/>
    <col min="1083" max="1084" width="1" style="1" customWidth="1"/>
    <col min="1085" max="1094" width="0" style="1" hidden="1" customWidth="1"/>
    <col min="1095" max="1096" width="1" style="1" customWidth="1"/>
    <col min="1097" max="1097" width="18.7109375" style="1" bestFit="1" customWidth="1"/>
    <col min="1098" max="1101" width="1" style="1" customWidth="1"/>
    <col min="1102" max="1102" width="16.85546875" style="1" bestFit="1" customWidth="1"/>
    <col min="1103" max="1104" width="1" style="1" customWidth="1"/>
    <col min="1105" max="1149" width="0" style="1" hidden="1" customWidth="1"/>
    <col min="1150" max="1151" width="1" style="1" customWidth="1"/>
    <col min="1152" max="1152" width="17.85546875" style="1" customWidth="1"/>
    <col min="1153" max="1154" width="1" style="1" customWidth="1"/>
    <col min="1155" max="1164" width="0" style="1" hidden="1" customWidth="1"/>
    <col min="1165" max="1166" width="1" style="1" customWidth="1"/>
    <col min="1167" max="1167" width="17.85546875" style="1" customWidth="1"/>
    <col min="1168" max="1170" width="1" style="1" customWidth="1"/>
    <col min="1171" max="1171" width="1.85546875" style="1" customWidth="1"/>
    <col min="1172" max="1172" width="11.28515625" style="1" bestFit="1" customWidth="1"/>
    <col min="1173" max="1173" width="10" style="1"/>
    <col min="1174" max="1174" width="10.42578125" style="1" bestFit="1" customWidth="1"/>
    <col min="1175" max="1177" width="10" style="1"/>
    <col min="1178" max="1178" width="13.42578125" style="1" bestFit="1" customWidth="1"/>
    <col min="1179" max="1280" width="10" style="1"/>
    <col min="1281" max="1283" width="0" style="1" hidden="1" customWidth="1"/>
    <col min="1284" max="1284" width="64.85546875" style="1" customWidth="1"/>
    <col min="1285" max="1285" width="7" style="1" customWidth="1"/>
    <col min="1286" max="1287" width="1" style="1" customWidth="1"/>
    <col min="1288" max="1288" width="15.140625" style="1" customWidth="1"/>
    <col min="1289" max="1290" width="1" style="1" customWidth="1"/>
    <col min="1291" max="1335" width="0" style="1" hidden="1" customWidth="1"/>
    <col min="1336" max="1337" width="1" style="1" customWidth="1"/>
    <col min="1338" max="1338" width="17.85546875" style="1" customWidth="1"/>
    <col min="1339" max="1340" width="1" style="1" customWidth="1"/>
    <col min="1341" max="1350" width="0" style="1" hidden="1" customWidth="1"/>
    <col min="1351" max="1352" width="1" style="1" customWidth="1"/>
    <col min="1353" max="1353" width="18.7109375" style="1" bestFit="1" customWidth="1"/>
    <col min="1354" max="1357" width="1" style="1" customWidth="1"/>
    <col min="1358" max="1358" width="16.85546875" style="1" bestFit="1" customWidth="1"/>
    <col min="1359" max="1360" width="1" style="1" customWidth="1"/>
    <col min="1361" max="1405" width="0" style="1" hidden="1" customWidth="1"/>
    <col min="1406" max="1407" width="1" style="1" customWidth="1"/>
    <col min="1408" max="1408" width="17.85546875" style="1" customWidth="1"/>
    <col min="1409" max="1410" width="1" style="1" customWidth="1"/>
    <col min="1411" max="1420" width="0" style="1" hidden="1" customWidth="1"/>
    <col min="1421" max="1422" width="1" style="1" customWidth="1"/>
    <col min="1423" max="1423" width="17.85546875" style="1" customWidth="1"/>
    <col min="1424" max="1426" width="1" style="1" customWidth="1"/>
    <col min="1427" max="1427" width="1.85546875" style="1" customWidth="1"/>
    <col min="1428" max="1428" width="11.28515625" style="1" bestFit="1" customWidth="1"/>
    <col min="1429" max="1429" width="10" style="1"/>
    <col min="1430" max="1430" width="10.42578125" style="1" bestFit="1" customWidth="1"/>
    <col min="1431" max="1433" width="10" style="1"/>
    <col min="1434" max="1434" width="13.42578125" style="1" bestFit="1" customWidth="1"/>
    <col min="1435" max="1536" width="10" style="1"/>
    <col min="1537" max="1539" width="0" style="1" hidden="1" customWidth="1"/>
    <col min="1540" max="1540" width="64.85546875" style="1" customWidth="1"/>
    <col min="1541" max="1541" width="7" style="1" customWidth="1"/>
    <col min="1542" max="1543" width="1" style="1" customWidth="1"/>
    <col min="1544" max="1544" width="15.140625" style="1" customWidth="1"/>
    <col min="1545" max="1546" width="1" style="1" customWidth="1"/>
    <col min="1547" max="1591" width="0" style="1" hidden="1" customWidth="1"/>
    <col min="1592" max="1593" width="1" style="1" customWidth="1"/>
    <col min="1594" max="1594" width="17.85546875" style="1" customWidth="1"/>
    <col min="1595" max="1596" width="1" style="1" customWidth="1"/>
    <col min="1597" max="1606" width="0" style="1" hidden="1" customWidth="1"/>
    <col min="1607" max="1608" width="1" style="1" customWidth="1"/>
    <col min="1609" max="1609" width="18.7109375" style="1" bestFit="1" customWidth="1"/>
    <col min="1610" max="1613" width="1" style="1" customWidth="1"/>
    <col min="1614" max="1614" width="16.85546875" style="1" bestFit="1" customWidth="1"/>
    <col min="1615" max="1616" width="1" style="1" customWidth="1"/>
    <col min="1617" max="1661" width="0" style="1" hidden="1" customWidth="1"/>
    <col min="1662" max="1663" width="1" style="1" customWidth="1"/>
    <col min="1664" max="1664" width="17.85546875" style="1" customWidth="1"/>
    <col min="1665" max="1666" width="1" style="1" customWidth="1"/>
    <col min="1667" max="1676" width="0" style="1" hidden="1" customWidth="1"/>
    <col min="1677" max="1678" width="1" style="1" customWidth="1"/>
    <col min="1679" max="1679" width="17.85546875" style="1" customWidth="1"/>
    <col min="1680" max="1682" width="1" style="1" customWidth="1"/>
    <col min="1683" max="1683" width="1.85546875" style="1" customWidth="1"/>
    <col min="1684" max="1684" width="11.28515625" style="1" bestFit="1" customWidth="1"/>
    <col min="1685" max="1685" width="10" style="1"/>
    <col min="1686" max="1686" width="10.42578125" style="1" bestFit="1" customWidth="1"/>
    <col min="1687" max="1689" width="10" style="1"/>
    <col min="1690" max="1690" width="13.42578125" style="1" bestFit="1" customWidth="1"/>
    <col min="1691" max="1792" width="10" style="1"/>
    <col min="1793" max="1795" width="0" style="1" hidden="1" customWidth="1"/>
    <col min="1796" max="1796" width="64.85546875" style="1" customWidth="1"/>
    <col min="1797" max="1797" width="7" style="1" customWidth="1"/>
    <col min="1798" max="1799" width="1" style="1" customWidth="1"/>
    <col min="1800" max="1800" width="15.140625" style="1" customWidth="1"/>
    <col min="1801" max="1802" width="1" style="1" customWidth="1"/>
    <col min="1803" max="1847" width="0" style="1" hidden="1" customWidth="1"/>
    <col min="1848" max="1849" width="1" style="1" customWidth="1"/>
    <col min="1850" max="1850" width="17.85546875" style="1" customWidth="1"/>
    <col min="1851" max="1852" width="1" style="1" customWidth="1"/>
    <col min="1853" max="1862" width="0" style="1" hidden="1" customWidth="1"/>
    <col min="1863" max="1864" width="1" style="1" customWidth="1"/>
    <col min="1865" max="1865" width="18.7109375" style="1" bestFit="1" customWidth="1"/>
    <col min="1866" max="1869" width="1" style="1" customWidth="1"/>
    <col min="1870" max="1870" width="16.85546875" style="1" bestFit="1" customWidth="1"/>
    <col min="1871" max="1872" width="1" style="1" customWidth="1"/>
    <col min="1873" max="1917" width="0" style="1" hidden="1" customWidth="1"/>
    <col min="1918" max="1919" width="1" style="1" customWidth="1"/>
    <col min="1920" max="1920" width="17.85546875" style="1" customWidth="1"/>
    <col min="1921" max="1922" width="1" style="1" customWidth="1"/>
    <col min="1923" max="1932" width="0" style="1" hidden="1" customWidth="1"/>
    <col min="1933" max="1934" width="1" style="1" customWidth="1"/>
    <col min="1935" max="1935" width="17.85546875" style="1" customWidth="1"/>
    <col min="1936" max="1938" width="1" style="1" customWidth="1"/>
    <col min="1939" max="1939" width="1.85546875" style="1" customWidth="1"/>
    <col min="1940" max="1940" width="11.28515625" style="1" bestFit="1" customWidth="1"/>
    <col min="1941" max="1941" width="10" style="1"/>
    <col min="1942" max="1942" width="10.42578125" style="1" bestFit="1" customWidth="1"/>
    <col min="1943" max="1945" width="10" style="1"/>
    <col min="1946" max="1946" width="13.42578125" style="1" bestFit="1" customWidth="1"/>
    <col min="1947" max="2048" width="10" style="1"/>
    <col min="2049" max="2051" width="0" style="1" hidden="1" customWidth="1"/>
    <col min="2052" max="2052" width="64.85546875" style="1" customWidth="1"/>
    <col min="2053" max="2053" width="7" style="1" customWidth="1"/>
    <col min="2054" max="2055" width="1" style="1" customWidth="1"/>
    <col min="2056" max="2056" width="15.140625" style="1" customWidth="1"/>
    <col min="2057" max="2058" width="1" style="1" customWidth="1"/>
    <col min="2059" max="2103" width="0" style="1" hidden="1" customWidth="1"/>
    <col min="2104" max="2105" width="1" style="1" customWidth="1"/>
    <col min="2106" max="2106" width="17.85546875" style="1" customWidth="1"/>
    <col min="2107" max="2108" width="1" style="1" customWidth="1"/>
    <col min="2109" max="2118" width="0" style="1" hidden="1" customWidth="1"/>
    <col min="2119" max="2120" width="1" style="1" customWidth="1"/>
    <col min="2121" max="2121" width="18.7109375" style="1" bestFit="1" customWidth="1"/>
    <col min="2122" max="2125" width="1" style="1" customWidth="1"/>
    <col min="2126" max="2126" width="16.85546875" style="1" bestFit="1" customWidth="1"/>
    <col min="2127" max="2128" width="1" style="1" customWidth="1"/>
    <col min="2129" max="2173" width="0" style="1" hidden="1" customWidth="1"/>
    <col min="2174" max="2175" width="1" style="1" customWidth="1"/>
    <col min="2176" max="2176" width="17.85546875" style="1" customWidth="1"/>
    <col min="2177" max="2178" width="1" style="1" customWidth="1"/>
    <col min="2179" max="2188" width="0" style="1" hidden="1" customWidth="1"/>
    <col min="2189" max="2190" width="1" style="1" customWidth="1"/>
    <col min="2191" max="2191" width="17.85546875" style="1" customWidth="1"/>
    <col min="2192" max="2194" width="1" style="1" customWidth="1"/>
    <col min="2195" max="2195" width="1.85546875" style="1" customWidth="1"/>
    <col min="2196" max="2196" width="11.28515625" style="1" bestFit="1" customWidth="1"/>
    <col min="2197" max="2197" width="10" style="1"/>
    <col min="2198" max="2198" width="10.42578125" style="1" bestFit="1" customWidth="1"/>
    <col min="2199" max="2201" width="10" style="1"/>
    <col min="2202" max="2202" width="13.42578125" style="1" bestFit="1" customWidth="1"/>
    <col min="2203" max="2304" width="10" style="1"/>
    <col min="2305" max="2307" width="0" style="1" hidden="1" customWidth="1"/>
    <col min="2308" max="2308" width="64.85546875" style="1" customWidth="1"/>
    <col min="2309" max="2309" width="7" style="1" customWidth="1"/>
    <col min="2310" max="2311" width="1" style="1" customWidth="1"/>
    <col min="2312" max="2312" width="15.140625" style="1" customWidth="1"/>
    <col min="2313" max="2314" width="1" style="1" customWidth="1"/>
    <col min="2315" max="2359" width="0" style="1" hidden="1" customWidth="1"/>
    <col min="2360" max="2361" width="1" style="1" customWidth="1"/>
    <col min="2362" max="2362" width="17.85546875" style="1" customWidth="1"/>
    <col min="2363" max="2364" width="1" style="1" customWidth="1"/>
    <col min="2365" max="2374" width="0" style="1" hidden="1" customWidth="1"/>
    <col min="2375" max="2376" width="1" style="1" customWidth="1"/>
    <col min="2377" max="2377" width="18.7109375" style="1" bestFit="1" customWidth="1"/>
    <col min="2378" max="2381" width="1" style="1" customWidth="1"/>
    <col min="2382" max="2382" width="16.85546875" style="1" bestFit="1" customWidth="1"/>
    <col min="2383" max="2384" width="1" style="1" customWidth="1"/>
    <col min="2385" max="2429" width="0" style="1" hidden="1" customWidth="1"/>
    <col min="2430" max="2431" width="1" style="1" customWidth="1"/>
    <col min="2432" max="2432" width="17.85546875" style="1" customWidth="1"/>
    <col min="2433" max="2434" width="1" style="1" customWidth="1"/>
    <col min="2435" max="2444" width="0" style="1" hidden="1" customWidth="1"/>
    <col min="2445" max="2446" width="1" style="1" customWidth="1"/>
    <col min="2447" max="2447" width="17.85546875" style="1" customWidth="1"/>
    <col min="2448" max="2450" width="1" style="1" customWidth="1"/>
    <col min="2451" max="2451" width="1.85546875" style="1" customWidth="1"/>
    <col min="2452" max="2452" width="11.28515625" style="1" bestFit="1" customWidth="1"/>
    <col min="2453" max="2453" width="10" style="1"/>
    <col min="2454" max="2454" width="10.42578125" style="1" bestFit="1" customWidth="1"/>
    <col min="2455" max="2457" width="10" style="1"/>
    <col min="2458" max="2458" width="13.42578125" style="1" bestFit="1" customWidth="1"/>
    <col min="2459" max="2560" width="10" style="1"/>
    <col min="2561" max="2563" width="0" style="1" hidden="1" customWidth="1"/>
    <col min="2564" max="2564" width="64.85546875" style="1" customWidth="1"/>
    <col min="2565" max="2565" width="7" style="1" customWidth="1"/>
    <col min="2566" max="2567" width="1" style="1" customWidth="1"/>
    <col min="2568" max="2568" width="15.140625" style="1" customWidth="1"/>
    <col min="2569" max="2570" width="1" style="1" customWidth="1"/>
    <col min="2571" max="2615" width="0" style="1" hidden="1" customWidth="1"/>
    <col min="2616" max="2617" width="1" style="1" customWidth="1"/>
    <col min="2618" max="2618" width="17.85546875" style="1" customWidth="1"/>
    <col min="2619" max="2620" width="1" style="1" customWidth="1"/>
    <col min="2621" max="2630" width="0" style="1" hidden="1" customWidth="1"/>
    <col min="2631" max="2632" width="1" style="1" customWidth="1"/>
    <col min="2633" max="2633" width="18.7109375" style="1" bestFit="1" customWidth="1"/>
    <col min="2634" max="2637" width="1" style="1" customWidth="1"/>
    <col min="2638" max="2638" width="16.85546875" style="1" bestFit="1" customWidth="1"/>
    <col min="2639" max="2640" width="1" style="1" customWidth="1"/>
    <col min="2641" max="2685" width="0" style="1" hidden="1" customWidth="1"/>
    <col min="2686" max="2687" width="1" style="1" customWidth="1"/>
    <col min="2688" max="2688" width="17.85546875" style="1" customWidth="1"/>
    <col min="2689" max="2690" width="1" style="1" customWidth="1"/>
    <col min="2691" max="2700" width="0" style="1" hidden="1" customWidth="1"/>
    <col min="2701" max="2702" width="1" style="1" customWidth="1"/>
    <col min="2703" max="2703" width="17.85546875" style="1" customWidth="1"/>
    <col min="2704" max="2706" width="1" style="1" customWidth="1"/>
    <col min="2707" max="2707" width="1.85546875" style="1" customWidth="1"/>
    <col min="2708" max="2708" width="11.28515625" style="1" bestFit="1" customWidth="1"/>
    <col min="2709" max="2709" width="10" style="1"/>
    <col min="2710" max="2710" width="10.42578125" style="1" bestFit="1" customWidth="1"/>
    <col min="2711" max="2713" width="10" style="1"/>
    <col min="2714" max="2714" width="13.42578125" style="1" bestFit="1" customWidth="1"/>
    <col min="2715" max="2816" width="10" style="1"/>
    <col min="2817" max="2819" width="0" style="1" hidden="1" customWidth="1"/>
    <col min="2820" max="2820" width="64.85546875" style="1" customWidth="1"/>
    <col min="2821" max="2821" width="7" style="1" customWidth="1"/>
    <col min="2822" max="2823" width="1" style="1" customWidth="1"/>
    <col min="2824" max="2824" width="15.140625" style="1" customWidth="1"/>
    <col min="2825" max="2826" width="1" style="1" customWidth="1"/>
    <col min="2827" max="2871" width="0" style="1" hidden="1" customWidth="1"/>
    <col min="2872" max="2873" width="1" style="1" customWidth="1"/>
    <col min="2874" max="2874" width="17.85546875" style="1" customWidth="1"/>
    <col min="2875" max="2876" width="1" style="1" customWidth="1"/>
    <col min="2877" max="2886" width="0" style="1" hidden="1" customWidth="1"/>
    <col min="2887" max="2888" width="1" style="1" customWidth="1"/>
    <col min="2889" max="2889" width="18.7109375" style="1" bestFit="1" customWidth="1"/>
    <col min="2890" max="2893" width="1" style="1" customWidth="1"/>
    <col min="2894" max="2894" width="16.85546875" style="1" bestFit="1" customWidth="1"/>
    <col min="2895" max="2896" width="1" style="1" customWidth="1"/>
    <col min="2897" max="2941" width="0" style="1" hidden="1" customWidth="1"/>
    <col min="2942" max="2943" width="1" style="1" customWidth="1"/>
    <col min="2944" max="2944" width="17.85546875" style="1" customWidth="1"/>
    <col min="2945" max="2946" width="1" style="1" customWidth="1"/>
    <col min="2947" max="2956" width="0" style="1" hidden="1" customWidth="1"/>
    <col min="2957" max="2958" width="1" style="1" customWidth="1"/>
    <col min="2959" max="2959" width="17.85546875" style="1" customWidth="1"/>
    <col min="2960" max="2962" width="1" style="1" customWidth="1"/>
    <col min="2963" max="2963" width="1.85546875" style="1" customWidth="1"/>
    <col min="2964" max="2964" width="11.28515625" style="1" bestFit="1" customWidth="1"/>
    <col min="2965" max="2965" width="10" style="1"/>
    <col min="2966" max="2966" width="10.42578125" style="1" bestFit="1" customWidth="1"/>
    <col min="2967" max="2969" width="10" style="1"/>
    <col min="2970" max="2970" width="13.42578125" style="1" bestFit="1" customWidth="1"/>
    <col min="2971" max="3072" width="10" style="1"/>
    <col min="3073" max="3075" width="0" style="1" hidden="1" customWidth="1"/>
    <col min="3076" max="3076" width="64.85546875" style="1" customWidth="1"/>
    <col min="3077" max="3077" width="7" style="1" customWidth="1"/>
    <col min="3078" max="3079" width="1" style="1" customWidth="1"/>
    <col min="3080" max="3080" width="15.140625" style="1" customWidth="1"/>
    <col min="3081" max="3082" width="1" style="1" customWidth="1"/>
    <col min="3083" max="3127" width="0" style="1" hidden="1" customWidth="1"/>
    <col min="3128" max="3129" width="1" style="1" customWidth="1"/>
    <col min="3130" max="3130" width="17.85546875" style="1" customWidth="1"/>
    <col min="3131" max="3132" width="1" style="1" customWidth="1"/>
    <col min="3133" max="3142" width="0" style="1" hidden="1" customWidth="1"/>
    <col min="3143" max="3144" width="1" style="1" customWidth="1"/>
    <col min="3145" max="3145" width="18.7109375" style="1" bestFit="1" customWidth="1"/>
    <col min="3146" max="3149" width="1" style="1" customWidth="1"/>
    <col min="3150" max="3150" width="16.85546875" style="1" bestFit="1" customWidth="1"/>
    <col min="3151" max="3152" width="1" style="1" customWidth="1"/>
    <col min="3153" max="3197" width="0" style="1" hidden="1" customWidth="1"/>
    <col min="3198" max="3199" width="1" style="1" customWidth="1"/>
    <col min="3200" max="3200" width="17.85546875" style="1" customWidth="1"/>
    <col min="3201" max="3202" width="1" style="1" customWidth="1"/>
    <col min="3203" max="3212" width="0" style="1" hidden="1" customWidth="1"/>
    <col min="3213" max="3214" width="1" style="1" customWidth="1"/>
    <col min="3215" max="3215" width="17.85546875" style="1" customWidth="1"/>
    <col min="3216" max="3218" width="1" style="1" customWidth="1"/>
    <col min="3219" max="3219" width="1.85546875" style="1" customWidth="1"/>
    <col min="3220" max="3220" width="11.28515625" style="1" bestFit="1" customWidth="1"/>
    <col min="3221" max="3221" width="10" style="1"/>
    <col min="3222" max="3222" width="10.42578125" style="1" bestFit="1" customWidth="1"/>
    <col min="3223" max="3225" width="10" style="1"/>
    <col min="3226" max="3226" width="13.42578125" style="1" bestFit="1" customWidth="1"/>
    <col min="3227" max="3328" width="10" style="1"/>
    <col min="3329" max="3331" width="0" style="1" hidden="1" customWidth="1"/>
    <col min="3332" max="3332" width="64.85546875" style="1" customWidth="1"/>
    <col min="3333" max="3333" width="7" style="1" customWidth="1"/>
    <col min="3334" max="3335" width="1" style="1" customWidth="1"/>
    <col min="3336" max="3336" width="15.140625" style="1" customWidth="1"/>
    <col min="3337" max="3338" width="1" style="1" customWidth="1"/>
    <col min="3339" max="3383" width="0" style="1" hidden="1" customWidth="1"/>
    <col min="3384" max="3385" width="1" style="1" customWidth="1"/>
    <col min="3386" max="3386" width="17.85546875" style="1" customWidth="1"/>
    <col min="3387" max="3388" width="1" style="1" customWidth="1"/>
    <col min="3389" max="3398" width="0" style="1" hidden="1" customWidth="1"/>
    <col min="3399" max="3400" width="1" style="1" customWidth="1"/>
    <col min="3401" max="3401" width="18.7109375" style="1" bestFit="1" customWidth="1"/>
    <col min="3402" max="3405" width="1" style="1" customWidth="1"/>
    <col min="3406" max="3406" width="16.85546875" style="1" bestFit="1" customWidth="1"/>
    <col min="3407" max="3408" width="1" style="1" customWidth="1"/>
    <col min="3409" max="3453" width="0" style="1" hidden="1" customWidth="1"/>
    <col min="3454" max="3455" width="1" style="1" customWidth="1"/>
    <col min="3456" max="3456" width="17.85546875" style="1" customWidth="1"/>
    <col min="3457" max="3458" width="1" style="1" customWidth="1"/>
    <col min="3459" max="3468" width="0" style="1" hidden="1" customWidth="1"/>
    <col min="3469" max="3470" width="1" style="1" customWidth="1"/>
    <col min="3471" max="3471" width="17.85546875" style="1" customWidth="1"/>
    <col min="3472" max="3474" width="1" style="1" customWidth="1"/>
    <col min="3475" max="3475" width="1.85546875" style="1" customWidth="1"/>
    <col min="3476" max="3476" width="11.28515625" style="1" bestFit="1" customWidth="1"/>
    <col min="3477" max="3477" width="10" style="1"/>
    <col min="3478" max="3478" width="10.42578125" style="1" bestFit="1" customWidth="1"/>
    <col min="3479" max="3481" width="10" style="1"/>
    <col min="3482" max="3482" width="13.42578125" style="1" bestFit="1" customWidth="1"/>
    <col min="3483" max="3584" width="10" style="1"/>
    <col min="3585" max="3587" width="0" style="1" hidden="1" customWidth="1"/>
    <col min="3588" max="3588" width="64.85546875" style="1" customWidth="1"/>
    <col min="3589" max="3589" width="7" style="1" customWidth="1"/>
    <col min="3590" max="3591" width="1" style="1" customWidth="1"/>
    <col min="3592" max="3592" width="15.140625" style="1" customWidth="1"/>
    <col min="3593" max="3594" width="1" style="1" customWidth="1"/>
    <col min="3595" max="3639" width="0" style="1" hidden="1" customWidth="1"/>
    <col min="3640" max="3641" width="1" style="1" customWidth="1"/>
    <col min="3642" max="3642" width="17.85546875" style="1" customWidth="1"/>
    <col min="3643" max="3644" width="1" style="1" customWidth="1"/>
    <col min="3645" max="3654" width="0" style="1" hidden="1" customWidth="1"/>
    <col min="3655" max="3656" width="1" style="1" customWidth="1"/>
    <col min="3657" max="3657" width="18.7109375" style="1" bestFit="1" customWidth="1"/>
    <col min="3658" max="3661" width="1" style="1" customWidth="1"/>
    <col min="3662" max="3662" width="16.85546875" style="1" bestFit="1" customWidth="1"/>
    <col min="3663" max="3664" width="1" style="1" customWidth="1"/>
    <col min="3665" max="3709" width="0" style="1" hidden="1" customWidth="1"/>
    <col min="3710" max="3711" width="1" style="1" customWidth="1"/>
    <col min="3712" max="3712" width="17.85546875" style="1" customWidth="1"/>
    <col min="3713" max="3714" width="1" style="1" customWidth="1"/>
    <col min="3715" max="3724" width="0" style="1" hidden="1" customWidth="1"/>
    <col min="3725" max="3726" width="1" style="1" customWidth="1"/>
    <col min="3727" max="3727" width="17.85546875" style="1" customWidth="1"/>
    <col min="3728" max="3730" width="1" style="1" customWidth="1"/>
    <col min="3731" max="3731" width="1.85546875" style="1" customWidth="1"/>
    <col min="3732" max="3732" width="11.28515625" style="1" bestFit="1" customWidth="1"/>
    <col min="3733" max="3733" width="10" style="1"/>
    <col min="3734" max="3734" width="10.42578125" style="1" bestFit="1" customWidth="1"/>
    <col min="3735" max="3737" width="10" style="1"/>
    <col min="3738" max="3738" width="13.42578125" style="1" bestFit="1" customWidth="1"/>
    <col min="3739" max="3840" width="10" style="1"/>
    <col min="3841" max="3843" width="0" style="1" hidden="1" customWidth="1"/>
    <col min="3844" max="3844" width="64.85546875" style="1" customWidth="1"/>
    <col min="3845" max="3845" width="7" style="1" customWidth="1"/>
    <col min="3846" max="3847" width="1" style="1" customWidth="1"/>
    <col min="3848" max="3848" width="15.140625" style="1" customWidth="1"/>
    <col min="3849" max="3850" width="1" style="1" customWidth="1"/>
    <col min="3851" max="3895" width="0" style="1" hidden="1" customWidth="1"/>
    <col min="3896" max="3897" width="1" style="1" customWidth="1"/>
    <col min="3898" max="3898" width="17.85546875" style="1" customWidth="1"/>
    <col min="3899" max="3900" width="1" style="1" customWidth="1"/>
    <col min="3901" max="3910" width="0" style="1" hidden="1" customWidth="1"/>
    <col min="3911" max="3912" width="1" style="1" customWidth="1"/>
    <col min="3913" max="3913" width="18.7109375" style="1" bestFit="1" customWidth="1"/>
    <col min="3914" max="3917" width="1" style="1" customWidth="1"/>
    <col min="3918" max="3918" width="16.85546875" style="1" bestFit="1" customWidth="1"/>
    <col min="3919" max="3920" width="1" style="1" customWidth="1"/>
    <col min="3921" max="3965" width="0" style="1" hidden="1" customWidth="1"/>
    <col min="3966" max="3967" width="1" style="1" customWidth="1"/>
    <col min="3968" max="3968" width="17.85546875" style="1" customWidth="1"/>
    <col min="3969" max="3970" width="1" style="1" customWidth="1"/>
    <col min="3971" max="3980" width="0" style="1" hidden="1" customWidth="1"/>
    <col min="3981" max="3982" width="1" style="1" customWidth="1"/>
    <col min="3983" max="3983" width="17.85546875" style="1" customWidth="1"/>
    <col min="3984" max="3986" width="1" style="1" customWidth="1"/>
    <col min="3987" max="3987" width="1.85546875" style="1" customWidth="1"/>
    <col min="3988" max="3988" width="11.28515625" style="1" bestFit="1" customWidth="1"/>
    <col min="3989" max="3989" width="10" style="1"/>
    <col min="3990" max="3990" width="10.42578125" style="1" bestFit="1" customWidth="1"/>
    <col min="3991" max="3993" width="10" style="1"/>
    <col min="3994" max="3994" width="13.42578125" style="1" bestFit="1" customWidth="1"/>
    <col min="3995" max="4096" width="10" style="1"/>
    <col min="4097" max="4099" width="0" style="1" hidden="1" customWidth="1"/>
    <col min="4100" max="4100" width="64.85546875" style="1" customWidth="1"/>
    <col min="4101" max="4101" width="7" style="1" customWidth="1"/>
    <col min="4102" max="4103" width="1" style="1" customWidth="1"/>
    <col min="4104" max="4104" width="15.140625" style="1" customWidth="1"/>
    <col min="4105" max="4106" width="1" style="1" customWidth="1"/>
    <col min="4107" max="4151" width="0" style="1" hidden="1" customWidth="1"/>
    <col min="4152" max="4153" width="1" style="1" customWidth="1"/>
    <col min="4154" max="4154" width="17.85546875" style="1" customWidth="1"/>
    <col min="4155" max="4156" width="1" style="1" customWidth="1"/>
    <col min="4157" max="4166" width="0" style="1" hidden="1" customWidth="1"/>
    <col min="4167" max="4168" width="1" style="1" customWidth="1"/>
    <col min="4169" max="4169" width="18.7109375" style="1" bestFit="1" customWidth="1"/>
    <col min="4170" max="4173" width="1" style="1" customWidth="1"/>
    <col min="4174" max="4174" width="16.85546875" style="1" bestFit="1" customWidth="1"/>
    <col min="4175" max="4176" width="1" style="1" customWidth="1"/>
    <col min="4177" max="4221" width="0" style="1" hidden="1" customWidth="1"/>
    <col min="4222" max="4223" width="1" style="1" customWidth="1"/>
    <col min="4224" max="4224" width="17.85546875" style="1" customWidth="1"/>
    <col min="4225" max="4226" width="1" style="1" customWidth="1"/>
    <col min="4227" max="4236" width="0" style="1" hidden="1" customWidth="1"/>
    <col min="4237" max="4238" width="1" style="1" customWidth="1"/>
    <col min="4239" max="4239" width="17.85546875" style="1" customWidth="1"/>
    <col min="4240" max="4242" width="1" style="1" customWidth="1"/>
    <col min="4243" max="4243" width="1.85546875" style="1" customWidth="1"/>
    <col min="4244" max="4244" width="11.28515625" style="1" bestFit="1" customWidth="1"/>
    <col min="4245" max="4245" width="10" style="1"/>
    <col min="4246" max="4246" width="10.42578125" style="1" bestFit="1" customWidth="1"/>
    <col min="4247" max="4249" width="10" style="1"/>
    <col min="4250" max="4250" width="13.42578125" style="1" bestFit="1" customWidth="1"/>
    <col min="4251" max="4352" width="10" style="1"/>
    <col min="4353" max="4355" width="0" style="1" hidden="1" customWidth="1"/>
    <col min="4356" max="4356" width="64.85546875" style="1" customWidth="1"/>
    <col min="4357" max="4357" width="7" style="1" customWidth="1"/>
    <col min="4358" max="4359" width="1" style="1" customWidth="1"/>
    <col min="4360" max="4360" width="15.140625" style="1" customWidth="1"/>
    <col min="4361" max="4362" width="1" style="1" customWidth="1"/>
    <col min="4363" max="4407" width="0" style="1" hidden="1" customWidth="1"/>
    <col min="4408" max="4409" width="1" style="1" customWidth="1"/>
    <col min="4410" max="4410" width="17.85546875" style="1" customWidth="1"/>
    <col min="4411" max="4412" width="1" style="1" customWidth="1"/>
    <col min="4413" max="4422" width="0" style="1" hidden="1" customWidth="1"/>
    <col min="4423" max="4424" width="1" style="1" customWidth="1"/>
    <col min="4425" max="4425" width="18.7109375" style="1" bestFit="1" customWidth="1"/>
    <col min="4426" max="4429" width="1" style="1" customWidth="1"/>
    <col min="4430" max="4430" width="16.85546875" style="1" bestFit="1" customWidth="1"/>
    <col min="4431" max="4432" width="1" style="1" customWidth="1"/>
    <col min="4433" max="4477" width="0" style="1" hidden="1" customWidth="1"/>
    <col min="4478" max="4479" width="1" style="1" customWidth="1"/>
    <col min="4480" max="4480" width="17.85546875" style="1" customWidth="1"/>
    <col min="4481" max="4482" width="1" style="1" customWidth="1"/>
    <col min="4483" max="4492" width="0" style="1" hidden="1" customWidth="1"/>
    <col min="4493" max="4494" width="1" style="1" customWidth="1"/>
    <col min="4495" max="4495" width="17.85546875" style="1" customWidth="1"/>
    <col min="4496" max="4498" width="1" style="1" customWidth="1"/>
    <col min="4499" max="4499" width="1.85546875" style="1" customWidth="1"/>
    <col min="4500" max="4500" width="11.28515625" style="1" bestFit="1" customWidth="1"/>
    <col min="4501" max="4501" width="10" style="1"/>
    <col min="4502" max="4502" width="10.42578125" style="1" bestFit="1" customWidth="1"/>
    <col min="4503" max="4505" width="10" style="1"/>
    <col min="4506" max="4506" width="13.42578125" style="1" bestFit="1" customWidth="1"/>
    <col min="4507" max="4608" width="10" style="1"/>
    <col min="4609" max="4611" width="0" style="1" hidden="1" customWidth="1"/>
    <col min="4612" max="4612" width="64.85546875" style="1" customWidth="1"/>
    <col min="4613" max="4613" width="7" style="1" customWidth="1"/>
    <col min="4614" max="4615" width="1" style="1" customWidth="1"/>
    <col min="4616" max="4616" width="15.140625" style="1" customWidth="1"/>
    <col min="4617" max="4618" width="1" style="1" customWidth="1"/>
    <col min="4619" max="4663" width="0" style="1" hidden="1" customWidth="1"/>
    <col min="4664" max="4665" width="1" style="1" customWidth="1"/>
    <col min="4666" max="4666" width="17.85546875" style="1" customWidth="1"/>
    <col min="4667" max="4668" width="1" style="1" customWidth="1"/>
    <col min="4669" max="4678" width="0" style="1" hidden="1" customWidth="1"/>
    <col min="4679" max="4680" width="1" style="1" customWidth="1"/>
    <col min="4681" max="4681" width="18.7109375" style="1" bestFit="1" customWidth="1"/>
    <col min="4682" max="4685" width="1" style="1" customWidth="1"/>
    <col min="4686" max="4686" width="16.85546875" style="1" bestFit="1" customWidth="1"/>
    <col min="4687" max="4688" width="1" style="1" customWidth="1"/>
    <col min="4689" max="4733" width="0" style="1" hidden="1" customWidth="1"/>
    <col min="4734" max="4735" width="1" style="1" customWidth="1"/>
    <col min="4736" max="4736" width="17.85546875" style="1" customWidth="1"/>
    <col min="4737" max="4738" width="1" style="1" customWidth="1"/>
    <col min="4739" max="4748" width="0" style="1" hidden="1" customWidth="1"/>
    <col min="4749" max="4750" width="1" style="1" customWidth="1"/>
    <col min="4751" max="4751" width="17.85546875" style="1" customWidth="1"/>
    <col min="4752" max="4754" width="1" style="1" customWidth="1"/>
    <col min="4755" max="4755" width="1.85546875" style="1" customWidth="1"/>
    <col min="4756" max="4756" width="11.28515625" style="1" bestFit="1" customWidth="1"/>
    <col min="4757" max="4757" width="10" style="1"/>
    <col min="4758" max="4758" width="10.42578125" style="1" bestFit="1" customWidth="1"/>
    <col min="4759" max="4761" width="10" style="1"/>
    <col min="4762" max="4762" width="13.42578125" style="1" bestFit="1" customWidth="1"/>
    <col min="4763" max="4864" width="10" style="1"/>
    <col min="4865" max="4867" width="0" style="1" hidden="1" customWidth="1"/>
    <col min="4868" max="4868" width="64.85546875" style="1" customWidth="1"/>
    <col min="4869" max="4869" width="7" style="1" customWidth="1"/>
    <col min="4870" max="4871" width="1" style="1" customWidth="1"/>
    <col min="4872" max="4872" width="15.140625" style="1" customWidth="1"/>
    <col min="4873" max="4874" width="1" style="1" customWidth="1"/>
    <col min="4875" max="4919" width="0" style="1" hidden="1" customWidth="1"/>
    <col min="4920" max="4921" width="1" style="1" customWidth="1"/>
    <col min="4922" max="4922" width="17.85546875" style="1" customWidth="1"/>
    <col min="4923" max="4924" width="1" style="1" customWidth="1"/>
    <col min="4925" max="4934" width="0" style="1" hidden="1" customWidth="1"/>
    <col min="4935" max="4936" width="1" style="1" customWidth="1"/>
    <col min="4937" max="4937" width="18.7109375" style="1" bestFit="1" customWidth="1"/>
    <col min="4938" max="4941" width="1" style="1" customWidth="1"/>
    <col min="4942" max="4942" width="16.85546875" style="1" bestFit="1" customWidth="1"/>
    <col min="4943" max="4944" width="1" style="1" customWidth="1"/>
    <col min="4945" max="4989" width="0" style="1" hidden="1" customWidth="1"/>
    <col min="4990" max="4991" width="1" style="1" customWidth="1"/>
    <col min="4992" max="4992" width="17.85546875" style="1" customWidth="1"/>
    <col min="4993" max="4994" width="1" style="1" customWidth="1"/>
    <col min="4995" max="5004" width="0" style="1" hidden="1" customWidth="1"/>
    <col min="5005" max="5006" width="1" style="1" customWidth="1"/>
    <col min="5007" max="5007" width="17.85546875" style="1" customWidth="1"/>
    <col min="5008" max="5010" width="1" style="1" customWidth="1"/>
    <col min="5011" max="5011" width="1.85546875" style="1" customWidth="1"/>
    <col min="5012" max="5012" width="11.28515625" style="1" bestFit="1" customWidth="1"/>
    <col min="5013" max="5013" width="10" style="1"/>
    <col min="5014" max="5014" width="10.42578125" style="1" bestFit="1" customWidth="1"/>
    <col min="5015" max="5017" width="10" style="1"/>
    <col min="5018" max="5018" width="13.42578125" style="1" bestFit="1" customWidth="1"/>
    <col min="5019" max="5120" width="10" style="1"/>
    <col min="5121" max="5123" width="0" style="1" hidden="1" customWidth="1"/>
    <col min="5124" max="5124" width="64.85546875" style="1" customWidth="1"/>
    <col min="5125" max="5125" width="7" style="1" customWidth="1"/>
    <col min="5126" max="5127" width="1" style="1" customWidth="1"/>
    <col min="5128" max="5128" width="15.140625" style="1" customWidth="1"/>
    <col min="5129" max="5130" width="1" style="1" customWidth="1"/>
    <col min="5131" max="5175" width="0" style="1" hidden="1" customWidth="1"/>
    <col min="5176" max="5177" width="1" style="1" customWidth="1"/>
    <col min="5178" max="5178" width="17.85546875" style="1" customWidth="1"/>
    <col min="5179" max="5180" width="1" style="1" customWidth="1"/>
    <col min="5181" max="5190" width="0" style="1" hidden="1" customWidth="1"/>
    <col min="5191" max="5192" width="1" style="1" customWidth="1"/>
    <col min="5193" max="5193" width="18.7109375" style="1" bestFit="1" customWidth="1"/>
    <col min="5194" max="5197" width="1" style="1" customWidth="1"/>
    <col min="5198" max="5198" width="16.85546875" style="1" bestFit="1" customWidth="1"/>
    <col min="5199" max="5200" width="1" style="1" customWidth="1"/>
    <col min="5201" max="5245" width="0" style="1" hidden="1" customWidth="1"/>
    <col min="5246" max="5247" width="1" style="1" customWidth="1"/>
    <col min="5248" max="5248" width="17.85546875" style="1" customWidth="1"/>
    <col min="5249" max="5250" width="1" style="1" customWidth="1"/>
    <col min="5251" max="5260" width="0" style="1" hidden="1" customWidth="1"/>
    <col min="5261" max="5262" width="1" style="1" customWidth="1"/>
    <col min="5263" max="5263" width="17.85546875" style="1" customWidth="1"/>
    <col min="5264" max="5266" width="1" style="1" customWidth="1"/>
    <col min="5267" max="5267" width="1.85546875" style="1" customWidth="1"/>
    <col min="5268" max="5268" width="11.28515625" style="1" bestFit="1" customWidth="1"/>
    <col min="5269" max="5269" width="10" style="1"/>
    <col min="5270" max="5270" width="10.42578125" style="1" bestFit="1" customWidth="1"/>
    <col min="5271" max="5273" width="10" style="1"/>
    <col min="5274" max="5274" width="13.42578125" style="1" bestFit="1" customWidth="1"/>
    <col min="5275" max="5376" width="10" style="1"/>
    <col min="5377" max="5379" width="0" style="1" hidden="1" customWidth="1"/>
    <col min="5380" max="5380" width="64.85546875" style="1" customWidth="1"/>
    <col min="5381" max="5381" width="7" style="1" customWidth="1"/>
    <col min="5382" max="5383" width="1" style="1" customWidth="1"/>
    <col min="5384" max="5384" width="15.140625" style="1" customWidth="1"/>
    <col min="5385" max="5386" width="1" style="1" customWidth="1"/>
    <col min="5387" max="5431" width="0" style="1" hidden="1" customWidth="1"/>
    <col min="5432" max="5433" width="1" style="1" customWidth="1"/>
    <col min="5434" max="5434" width="17.85546875" style="1" customWidth="1"/>
    <col min="5435" max="5436" width="1" style="1" customWidth="1"/>
    <col min="5437" max="5446" width="0" style="1" hidden="1" customWidth="1"/>
    <col min="5447" max="5448" width="1" style="1" customWidth="1"/>
    <col min="5449" max="5449" width="18.7109375" style="1" bestFit="1" customWidth="1"/>
    <col min="5450" max="5453" width="1" style="1" customWidth="1"/>
    <col min="5454" max="5454" width="16.85546875" style="1" bestFit="1" customWidth="1"/>
    <col min="5455" max="5456" width="1" style="1" customWidth="1"/>
    <col min="5457" max="5501" width="0" style="1" hidden="1" customWidth="1"/>
    <col min="5502" max="5503" width="1" style="1" customWidth="1"/>
    <col min="5504" max="5504" width="17.85546875" style="1" customWidth="1"/>
    <col min="5505" max="5506" width="1" style="1" customWidth="1"/>
    <col min="5507" max="5516" width="0" style="1" hidden="1" customWidth="1"/>
    <col min="5517" max="5518" width="1" style="1" customWidth="1"/>
    <col min="5519" max="5519" width="17.85546875" style="1" customWidth="1"/>
    <col min="5520" max="5522" width="1" style="1" customWidth="1"/>
    <col min="5523" max="5523" width="1.85546875" style="1" customWidth="1"/>
    <col min="5524" max="5524" width="11.28515625" style="1" bestFit="1" customWidth="1"/>
    <col min="5525" max="5525" width="10" style="1"/>
    <col min="5526" max="5526" width="10.42578125" style="1" bestFit="1" customWidth="1"/>
    <col min="5527" max="5529" width="10" style="1"/>
    <col min="5530" max="5530" width="13.42578125" style="1" bestFit="1" customWidth="1"/>
    <col min="5531" max="5632" width="10" style="1"/>
    <col min="5633" max="5635" width="0" style="1" hidden="1" customWidth="1"/>
    <col min="5636" max="5636" width="64.85546875" style="1" customWidth="1"/>
    <col min="5637" max="5637" width="7" style="1" customWidth="1"/>
    <col min="5638" max="5639" width="1" style="1" customWidth="1"/>
    <col min="5640" max="5640" width="15.140625" style="1" customWidth="1"/>
    <col min="5641" max="5642" width="1" style="1" customWidth="1"/>
    <col min="5643" max="5687" width="0" style="1" hidden="1" customWidth="1"/>
    <col min="5688" max="5689" width="1" style="1" customWidth="1"/>
    <col min="5690" max="5690" width="17.85546875" style="1" customWidth="1"/>
    <col min="5691" max="5692" width="1" style="1" customWidth="1"/>
    <col min="5693" max="5702" width="0" style="1" hidden="1" customWidth="1"/>
    <col min="5703" max="5704" width="1" style="1" customWidth="1"/>
    <col min="5705" max="5705" width="18.7109375" style="1" bestFit="1" customWidth="1"/>
    <col min="5706" max="5709" width="1" style="1" customWidth="1"/>
    <col min="5710" max="5710" width="16.85546875" style="1" bestFit="1" customWidth="1"/>
    <col min="5711" max="5712" width="1" style="1" customWidth="1"/>
    <col min="5713" max="5757" width="0" style="1" hidden="1" customWidth="1"/>
    <col min="5758" max="5759" width="1" style="1" customWidth="1"/>
    <col min="5760" max="5760" width="17.85546875" style="1" customWidth="1"/>
    <col min="5761" max="5762" width="1" style="1" customWidth="1"/>
    <col min="5763" max="5772" width="0" style="1" hidden="1" customWidth="1"/>
    <col min="5773" max="5774" width="1" style="1" customWidth="1"/>
    <col min="5775" max="5775" width="17.85546875" style="1" customWidth="1"/>
    <col min="5776" max="5778" width="1" style="1" customWidth="1"/>
    <col min="5779" max="5779" width="1.85546875" style="1" customWidth="1"/>
    <col min="5780" max="5780" width="11.28515625" style="1" bestFit="1" customWidth="1"/>
    <col min="5781" max="5781" width="10" style="1"/>
    <col min="5782" max="5782" width="10.42578125" style="1" bestFit="1" customWidth="1"/>
    <col min="5783" max="5785" width="10" style="1"/>
    <col min="5786" max="5786" width="13.42578125" style="1" bestFit="1" customWidth="1"/>
    <col min="5787" max="5888" width="10" style="1"/>
    <col min="5889" max="5891" width="0" style="1" hidden="1" customWidth="1"/>
    <col min="5892" max="5892" width="64.85546875" style="1" customWidth="1"/>
    <col min="5893" max="5893" width="7" style="1" customWidth="1"/>
    <col min="5894" max="5895" width="1" style="1" customWidth="1"/>
    <col min="5896" max="5896" width="15.140625" style="1" customWidth="1"/>
    <col min="5897" max="5898" width="1" style="1" customWidth="1"/>
    <col min="5899" max="5943" width="0" style="1" hidden="1" customWidth="1"/>
    <col min="5944" max="5945" width="1" style="1" customWidth="1"/>
    <col min="5946" max="5946" width="17.85546875" style="1" customWidth="1"/>
    <col min="5947" max="5948" width="1" style="1" customWidth="1"/>
    <col min="5949" max="5958" width="0" style="1" hidden="1" customWidth="1"/>
    <col min="5959" max="5960" width="1" style="1" customWidth="1"/>
    <col min="5961" max="5961" width="18.7109375" style="1" bestFit="1" customWidth="1"/>
    <col min="5962" max="5965" width="1" style="1" customWidth="1"/>
    <col min="5966" max="5966" width="16.85546875" style="1" bestFit="1" customWidth="1"/>
    <col min="5967" max="5968" width="1" style="1" customWidth="1"/>
    <col min="5969" max="6013" width="0" style="1" hidden="1" customWidth="1"/>
    <col min="6014" max="6015" width="1" style="1" customWidth="1"/>
    <col min="6016" max="6016" width="17.85546875" style="1" customWidth="1"/>
    <col min="6017" max="6018" width="1" style="1" customWidth="1"/>
    <col min="6019" max="6028" width="0" style="1" hidden="1" customWidth="1"/>
    <col min="6029" max="6030" width="1" style="1" customWidth="1"/>
    <col min="6031" max="6031" width="17.85546875" style="1" customWidth="1"/>
    <col min="6032" max="6034" width="1" style="1" customWidth="1"/>
    <col min="6035" max="6035" width="1.85546875" style="1" customWidth="1"/>
    <col min="6036" max="6036" width="11.28515625" style="1" bestFit="1" customWidth="1"/>
    <col min="6037" max="6037" width="10" style="1"/>
    <col min="6038" max="6038" width="10.42578125" style="1" bestFit="1" customWidth="1"/>
    <col min="6039" max="6041" width="10" style="1"/>
    <col min="6042" max="6042" width="13.42578125" style="1" bestFit="1" customWidth="1"/>
    <col min="6043" max="6144" width="10" style="1"/>
    <col min="6145" max="6147" width="0" style="1" hidden="1" customWidth="1"/>
    <col min="6148" max="6148" width="64.85546875" style="1" customWidth="1"/>
    <col min="6149" max="6149" width="7" style="1" customWidth="1"/>
    <col min="6150" max="6151" width="1" style="1" customWidth="1"/>
    <col min="6152" max="6152" width="15.140625" style="1" customWidth="1"/>
    <col min="6153" max="6154" width="1" style="1" customWidth="1"/>
    <col min="6155" max="6199" width="0" style="1" hidden="1" customWidth="1"/>
    <col min="6200" max="6201" width="1" style="1" customWidth="1"/>
    <col min="6202" max="6202" width="17.85546875" style="1" customWidth="1"/>
    <col min="6203" max="6204" width="1" style="1" customWidth="1"/>
    <col min="6205" max="6214" width="0" style="1" hidden="1" customWidth="1"/>
    <col min="6215" max="6216" width="1" style="1" customWidth="1"/>
    <col min="6217" max="6217" width="18.7109375" style="1" bestFit="1" customWidth="1"/>
    <col min="6218" max="6221" width="1" style="1" customWidth="1"/>
    <col min="6222" max="6222" width="16.85546875" style="1" bestFit="1" customWidth="1"/>
    <col min="6223" max="6224" width="1" style="1" customWidth="1"/>
    <col min="6225" max="6269" width="0" style="1" hidden="1" customWidth="1"/>
    <col min="6270" max="6271" width="1" style="1" customWidth="1"/>
    <col min="6272" max="6272" width="17.85546875" style="1" customWidth="1"/>
    <col min="6273" max="6274" width="1" style="1" customWidth="1"/>
    <col min="6275" max="6284" width="0" style="1" hidden="1" customWidth="1"/>
    <col min="6285" max="6286" width="1" style="1" customWidth="1"/>
    <col min="6287" max="6287" width="17.85546875" style="1" customWidth="1"/>
    <col min="6288" max="6290" width="1" style="1" customWidth="1"/>
    <col min="6291" max="6291" width="1.85546875" style="1" customWidth="1"/>
    <col min="6292" max="6292" width="11.28515625" style="1" bestFit="1" customWidth="1"/>
    <col min="6293" max="6293" width="10" style="1"/>
    <col min="6294" max="6294" width="10.42578125" style="1" bestFit="1" customWidth="1"/>
    <col min="6295" max="6297" width="10" style="1"/>
    <col min="6298" max="6298" width="13.42578125" style="1" bestFit="1" customWidth="1"/>
    <col min="6299" max="6400" width="10" style="1"/>
    <col min="6401" max="6403" width="0" style="1" hidden="1" customWidth="1"/>
    <col min="6404" max="6404" width="64.85546875" style="1" customWidth="1"/>
    <col min="6405" max="6405" width="7" style="1" customWidth="1"/>
    <col min="6406" max="6407" width="1" style="1" customWidth="1"/>
    <col min="6408" max="6408" width="15.140625" style="1" customWidth="1"/>
    <col min="6409" max="6410" width="1" style="1" customWidth="1"/>
    <col min="6411" max="6455" width="0" style="1" hidden="1" customWidth="1"/>
    <col min="6456" max="6457" width="1" style="1" customWidth="1"/>
    <col min="6458" max="6458" width="17.85546875" style="1" customWidth="1"/>
    <col min="6459" max="6460" width="1" style="1" customWidth="1"/>
    <col min="6461" max="6470" width="0" style="1" hidden="1" customWidth="1"/>
    <col min="6471" max="6472" width="1" style="1" customWidth="1"/>
    <col min="6473" max="6473" width="18.7109375" style="1" bestFit="1" customWidth="1"/>
    <col min="6474" max="6477" width="1" style="1" customWidth="1"/>
    <col min="6478" max="6478" width="16.85546875" style="1" bestFit="1" customWidth="1"/>
    <col min="6479" max="6480" width="1" style="1" customWidth="1"/>
    <col min="6481" max="6525" width="0" style="1" hidden="1" customWidth="1"/>
    <col min="6526" max="6527" width="1" style="1" customWidth="1"/>
    <col min="6528" max="6528" width="17.85546875" style="1" customWidth="1"/>
    <col min="6529" max="6530" width="1" style="1" customWidth="1"/>
    <col min="6531" max="6540" width="0" style="1" hidden="1" customWidth="1"/>
    <col min="6541" max="6542" width="1" style="1" customWidth="1"/>
    <col min="6543" max="6543" width="17.85546875" style="1" customWidth="1"/>
    <col min="6544" max="6546" width="1" style="1" customWidth="1"/>
    <col min="6547" max="6547" width="1.85546875" style="1" customWidth="1"/>
    <col min="6548" max="6548" width="11.28515625" style="1" bestFit="1" customWidth="1"/>
    <col min="6549" max="6549" width="10" style="1"/>
    <col min="6550" max="6550" width="10.42578125" style="1" bestFit="1" customWidth="1"/>
    <col min="6551" max="6553" width="10" style="1"/>
    <col min="6554" max="6554" width="13.42578125" style="1" bestFit="1" customWidth="1"/>
    <col min="6555" max="6656" width="10" style="1"/>
    <col min="6657" max="6659" width="0" style="1" hidden="1" customWidth="1"/>
    <col min="6660" max="6660" width="64.85546875" style="1" customWidth="1"/>
    <col min="6661" max="6661" width="7" style="1" customWidth="1"/>
    <col min="6662" max="6663" width="1" style="1" customWidth="1"/>
    <col min="6664" max="6664" width="15.140625" style="1" customWidth="1"/>
    <col min="6665" max="6666" width="1" style="1" customWidth="1"/>
    <col min="6667" max="6711" width="0" style="1" hidden="1" customWidth="1"/>
    <col min="6712" max="6713" width="1" style="1" customWidth="1"/>
    <col min="6714" max="6714" width="17.85546875" style="1" customWidth="1"/>
    <col min="6715" max="6716" width="1" style="1" customWidth="1"/>
    <col min="6717" max="6726" width="0" style="1" hidden="1" customWidth="1"/>
    <col min="6727" max="6728" width="1" style="1" customWidth="1"/>
    <col min="6729" max="6729" width="18.7109375" style="1" bestFit="1" customWidth="1"/>
    <col min="6730" max="6733" width="1" style="1" customWidth="1"/>
    <col min="6734" max="6734" width="16.85546875" style="1" bestFit="1" customWidth="1"/>
    <col min="6735" max="6736" width="1" style="1" customWidth="1"/>
    <col min="6737" max="6781" width="0" style="1" hidden="1" customWidth="1"/>
    <col min="6782" max="6783" width="1" style="1" customWidth="1"/>
    <col min="6784" max="6784" width="17.85546875" style="1" customWidth="1"/>
    <col min="6785" max="6786" width="1" style="1" customWidth="1"/>
    <col min="6787" max="6796" width="0" style="1" hidden="1" customWidth="1"/>
    <col min="6797" max="6798" width="1" style="1" customWidth="1"/>
    <col min="6799" max="6799" width="17.85546875" style="1" customWidth="1"/>
    <col min="6800" max="6802" width="1" style="1" customWidth="1"/>
    <col min="6803" max="6803" width="1.85546875" style="1" customWidth="1"/>
    <col min="6804" max="6804" width="11.28515625" style="1" bestFit="1" customWidth="1"/>
    <col min="6805" max="6805" width="10" style="1"/>
    <col min="6806" max="6806" width="10.42578125" style="1" bestFit="1" customWidth="1"/>
    <col min="6807" max="6809" width="10" style="1"/>
    <col min="6810" max="6810" width="13.42578125" style="1" bestFit="1" customWidth="1"/>
    <col min="6811" max="6912" width="10" style="1"/>
    <col min="6913" max="6915" width="0" style="1" hidden="1" customWidth="1"/>
    <col min="6916" max="6916" width="64.85546875" style="1" customWidth="1"/>
    <col min="6917" max="6917" width="7" style="1" customWidth="1"/>
    <col min="6918" max="6919" width="1" style="1" customWidth="1"/>
    <col min="6920" max="6920" width="15.140625" style="1" customWidth="1"/>
    <col min="6921" max="6922" width="1" style="1" customWidth="1"/>
    <col min="6923" max="6967" width="0" style="1" hidden="1" customWidth="1"/>
    <col min="6968" max="6969" width="1" style="1" customWidth="1"/>
    <col min="6970" max="6970" width="17.85546875" style="1" customWidth="1"/>
    <col min="6971" max="6972" width="1" style="1" customWidth="1"/>
    <col min="6973" max="6982" width="0" style="1" hidden="1" customWidth="1"/>
    <col min="6983" max="6984" width="1" style="1" customWidth="1"/>
    <col min="6985" max="6985" width="18.7109375" style="1" bestFit="1" customWidth="1"/>
    <col min="6986" max="6989" width="1" style="1" customWidth="1"/>
    <col min="6990" max="6990" width="16.85546875" style="1" bestFit="1" customWidth="1"/>
    <col min="6991" max="6992" width="1" style="1" customWidth="1"/>
    <col min="6993" max="7037" width="0" style="1" hidden="1" customWidth="1"/>
    <col min="7038" max="7039" width="1" style="1" customWidth="1"/>
    <col min="7040" max="7040" width="17.85546875" style="1" customWidth="1"/>
    <col min="7041" max="7042" width="1" style="1" customWidth="1"/>
    <col min="7043" max="7052" width="0" style="1" hidden="1" customWidth="1"/>
    <col min="7053" max="7054" width="1" style="1" customWidth="1"/>
    <col min="7055" max="7055" width="17.85546875" style="1" customWidth="1"/>
    <col min="7056" max="7058" width="1" style="1" customWidth="1"/>
    <col min="7059" max="7059" width="1.85546875" style="1" customWidth="1"/>
    <col min="7060" max="7060" width="11.28515625" style="1" bestFit="1" customWidth="1"/>
    <col min="7061" max="7061" width="10" style="1"/>
    <col min="7062" max="7062" width="10.42578125" style="1" bestFit="1" customWidth="1"/>
    <col min="7063" max="7065" width="10" style="1"/>
    <col min="7066" max="7066" width="13.42578125" style="1" bestFit="1" customWidth="1"/>
    <col min="7067" max="7168" width="10" style="1"/>
    <col min="7169" max="7171" width="0" style="1" hidden="1" customWidth="1"/>
    <col min="7172" max="7172" width="64.85546875" style="1" customWidth="1"/>
    <col min="7173" max="7173" width="7" style="1" customWidth="1"/>
    <col min="7174" max="7175" width="1" style="1" customWidth="1"/>
    <col min="7176" max="7176" width="15.140625" style="1" customWidth="1"/>
    <col min="7177" max="7178" width="1" style="1" customWidth="1"/>
    <col min="7179" max="7223" width="0" style="1" hidden="1" customWidth="1"/>
    <col min="7224" max="7225" width="1" style="1" customWidth="1"/>
    <col min="7226" max="7226" width="17.85546875" style="1" customWidth="1"/>
    <col min="7227" max="7228" width="1" style="1" customWidth="1"/>
    <col min="7229" max="7238" width="0" style="1" hidden="1" customWidth="1"/>
    <col min="7239" max="7240" width="1" style="1" customWidth="1"/>
    <col min="7241" max="7241" width="18.7109375" style="1" bestFit="1" customWidth="1"/>
    <col min="7242" max="7245" width="1" style="1" customWidth="1"/>
    <col min="7246" max="7246" width="16.85546875" style="1" bestFit="1" customWidth="1"/>
    <col min="7247" max="7248" width="1" style="1" customWidth="1"/>
    <col min="7249" max="7293" width="0" style="1" hidden="1" customWidth="1"/>
    <col min="7294" max="7295" width="1" style="1" customWidth="1"/>
    <col min="7296" max="7296" width="17.85546875" style="1" customWidth="1"/>
    <col min="7297" max="7298" width="1" style="1" customWidth="1"/>
    <col min="7299" max="7308" width="0" style="1" hidden="1" customWidth="1"/>
    <col min="7309" max="7310" width="1" style="1" customWidth="1"/>
    <col min="7311" max="7311" width="17.85546875" style="1" customWidth="1"/>
    <col min="7312" max="7314" width="1" style="1" customWidth="1"/>
    <col min="7315" max="7315" width="1.85546875" style="1" customWidth="1"/>
    <col min="7316" max="7316" width="11.28515625" style="1" bestFit="1" customWidth="1"/>
    <col min="7317" max="7317" width="10" style="1"/>
    <col min="7318" max="7318" width="10.42578125" style="1" bestFit="1" customWidth="1"/>
    <col min="7319" max="7321" width="10" style="1"/>
    <col min="7322" max="7322" width="13.42578125" style="1" bestFit="1" customWidth="1"/>
    <col min="7323" max="7424" width="10" style="1"/>
    <col min="7425" max="7427" width="0" style="1" hidden="1" customWidth="1"/>
    <col min="7428" max="7428" width="64.85546875" style="1" customWidth="1"/>
    <col min="7429" max="7429" width="7" style="1" customWidth="1"/>
    <col min="7430" max="7431" width="1" style="1" customWidth="1"/>
    <col min="7432" max="7432" width="15.140625" style="1" customWidth="1"/>
    <col min="7433" max="7434" width="1" style="1" customWidth="1"/>
    <col min="7435" max="7479" width="0" style="1" hidden="1" customWidth="1"/>
    <col min="7480" max="7481" width="1" style="1" customWidth="1"/>
    <col min="7482" max="7482" width="17.85546875" style="1" customWidth="1"/>
    <col min="7483" max="7484" width="1" style="1" customWidth="1"/>
    <col min="7485" max="7494" width="0" style="1" hidden="1" customWidth="1"/>
    <col min="7495" max="7496" width="1" style="1" customWidth="1"/>
    <col min="7497" max="7497" width="18.7109375" style="1" bestFit="1" customWidth="1"/>
    <col min="7498" max="7501" width="1" style="1" customWidth="1"/>
    <col min="7502" max="7502" width="16.85546875" style="1" bestFit="1" customWidth="1"/>
    <col min="7503" max="7504" width="1" style="1" customWidth="1"/>
    <col min="7505" max="7549" width="0" style="1" hidden="1" customWidth="1"/>
    <col min="7550" max="7551" width="1" style="1" customWidth="1"/>
    <col min="7552" max="7552" width="17.85546875" style="1" customWidth="1"/>
    <col min="7553" max="7554" width="1" style="1" customWidth="1"/>
    <col min="7555" max="7564" width="0" style="1" hidden="1" customWidth="1"/>
    <col min="7565" max="7566" width="1" style="1" customWidth="1"/>
    <col min="7567" max="7567" width="17.85546875" style="1" customWidth="1"/>
    <col min="7568" max="7570" width="1" style="1" customWidth="1"/>
    <col min="7571" max="7571" width="1.85546875" style="1" customWidth="1"/>
    <col min="7572" max="7572" width="11.28515625" style="1" bestFit="1" customWidth="1"/>
    <col min="7573" max="7573" width="10" style="1"/>
    <col min="7574" max="7574" width="10.42578125" style="1" bestFit="1" customWidth="1"/>
    <col min="7575" max="7577" width="10" style="1"/>
    <col min="7578" max="7578" width="13.42578125" style="1" bestFit="1" customWidth="1"/>
    <col min="7579" max="7680" width="10" style="1"/>
    <col min="7681" max="7683" width="0" style="1" hidden="1" customWidth="1"/>
    <col min="7684" max="7684" width="64.85546875" style="1" customWidth="1"/>
    <col min="7685" max="7685" width="7" style="1" customWidth="1"/>
    <col min="7686" max="7687" width="1" style="1" customWidth="1"/>
    <col min="7688" max="7688" width="15.140625" style="1" customWidth="1"/>
    <col min="7689" max="7690" width="1" style="1" customWidth="1"/>
    <col min="7691" max="7735" width="0" style="1" hidden="1" customWidth="1"/>
    <col min="7736" max="7737" width="1" style="1" customWidth="1"/>
    <col min="7738" max="7738" width="17.85546875" style="1" customWidth="1"/>
    <col min="7739" max="7740" width="1" style="1" customWidth="1"/>
    <col min="7741" max="7750" width="0" style="1" hidden="1" customWidth="1"/>
    <col min="7751" max="7752" width="1" style="1" customWidth="1"/>
    <col min="7753" max="7753" width="18.7109375" style="1" bestFit="1" customWidth="1"/>
    <col min="7754" max="7757" width="1" style="1" customWidth="1"/>
    <col min="7758" max="7758" width="16.85546875" style="1" bestFit="1" customWidth="1"/>
    <col min="7759" max="7760" width="1" style="1" customWidth="1"/>
    <col min="7761" max="7805" width="0" style="1" hidden="1" customWidth="1"/>
    <col min="7806" max="7807" width="1" style="1" customWidth="1"/>
    <col min="7808" max="7808" width="17.85546875" style="1" customWidth="1"/>
    <col min="7809" max="7810" width="1" style="1" customWidth="1"/>
    <col min="7811" max="7820" width="0" style="1" hidden="1" customWidth="1"/>
    <col min="7821" max="7822" width="1" style="1" customWidth="1"/>
    <col min="7823" max="7823" width="17.85546875" style="1" customWidth="1"/>
    <col min="7824" max="7826" width="1" style="1" customWidth="1"/>
    <col min="7827" max="7827" width="1.85546875" style="1" customWidth="1"/>
    <col min="7828" max="7828" width="11.28515625" style="1" bestFit="1" customWidth="1"/>
    <col min="7829" max="7829" width="10" style="1"/>
    <col min="7830" max="7830" width="10.42578125" style="1" bestFit="1" customWidth="1"/>
    <col min="7831" max="7833" width="10" style="1"/>
    <col min="7834" max="7834" width="13.42578125" style="1" bestFit="1" customWidth="1"/>
    <col min="7835" max="7936" width="10" style="1"/>
    <col min="7937" max="7939" width="0" style="1" hidden="1" customWidth="1"/>
    <col min="7940" max="7940" width="64.85546875" style="1" customWidth="1"/>
    <col min="7941" max="7941" width="7" style="1" customWidth="1"/>
    <col min="7942" max="7943" width="1" style="1" customWidth="1"/>
    <col min="7944" max="7944" width="15.140625" style="1" customWidth="1"/>
    <col min="7945" max="7946" width="1" style="1" customWidth="1"/>
    <col min="7947" max="7991" width="0" style="1" hidden="1" customWidth="1"/>
    <col min="7992" max="7993" width="1" style="1" customWidth="1"/>
    <col min="7994" max="7994" width="17.85546875" style="1" customWidth="1"/>
    <col min="7995" max="7996" width="1" style="1" customWidth="1"/>
    <col min="7997" max="8006" width="0" style="1" hidden="1" customWidth="1"/>
    <col min="8007" max="8008" width="1" style="1" customWidth="1"/>
    <col min="8009" max="8009" width="18.7109375" style="1" bestFit="1" customWidth="1"/>
    <col min="8010" max="8013" width="1" style="1" customWidth="1"/>
    <col min="8014" max="8014" width="16.85546875" style="1" bestFit="1" customWidth="1"/>
    <col min="8015" max="8016" width="1" style="1" customWidth="1"/>
    <col min="8017" max="8061" width="0" style="1" hidden="1" customWidth="1"/>
    <col min="8062" max="8063" width="1" style="1" customWidth="1"/>
    <col min="8064" max="8064" width="17.85546875" style="1" customWidth="1"/>
    <col min="8065" max="8066" width="1" style="1" customWidth="1"/>
    <col min="8067" max="8076" width="0" style="1" hidden="1" customWidth="1"/>
    <col min="8077" max="8078" width="1" style="1" customWidth="1"/>
    <col min="8079" max="8079" width="17.85546875" style="1" customWidth="1"/>
    <col min="8080" max="8082" width="1" style="1" customWidth="1"/>
    <col min="8083" max="8083" width="1.85546875" style="1" customWidth="1"/>
    <col min="8084" max="8084" width="11.28515625" style="1" bestFit="1" customWidth="1"/>
    <col min="8085" max="8085" width="10" style="1"/>
    <col min="8086" max="8086" width="10.42578125" style="1" bestFit="1" customWidth="1"/>
    <col min="8087" max="8089" width="10" style="1"/>
    <col min="8090" max="8090" width="13.42578125" style="1" bestFit="1" customWidth="1"/>
    <col min="8091" max="8192" width="10" style="1"/>
    <col min="8193" max="8195" width="0" style="1" hidden="1" customWidth="1"/>
    <col min="8196" max="8196" width="64.85546875" style="1" customWidth="1"/>
    <col min="8197" max="8197" width="7" style="1" customWidth="1"/>
    <col min="8198" max="8199" width="1" style="1" customWidth="1"/>
    <col min="8200" max="8200" width="15.140625" style="1" customWidth="1"/>
    <col min="8201" max="8202" width="1" style="1" customWidth="1"/>
    <col min="8203" max="8247" width="0" style="1" hidden="1" customWidth="1"/>
    <col min="8248" max="8249" width="1" style="1" customWidth="1"/>
    <col min="8250" max="8250" width="17.85546875" style="1" customWidth="1"/>
    <col min="8251" max="8252" width="1" style="1" customWidth="1"/>
    <col min="8253" max="8262" width="0" style="1" hidden="1" customWidth="1"/>
    <col min="8263" max="8264" width="1" style="1" customWidth="1"/>
    <col min="8265" max="8265" width="18.7109375" style="1" bestFit="1" customWidth="1"/>
    <col min="8266" max="8269" width="1" style="1" customWidth="1"/>
    <col min="8270" max="8270" width="16.85546875" style="1" bestFit="1" customWidth="1"/>
    <col min="8271" max="8272" width="1" style="1" customWidth="1"/>
    <col min="8273" max="8317" width="0" style="1" hidden="1" customWidth="1"/>
    <col min="8318" max="8319" width="1" style="1" customWidth="1"/>
    <col min="8320" max="8320" width="17.85546875" style="1" customWidth="1"/>
    <col min="8321" max="8322" width="1" style="1" customWidth="1"/>
    <col min="8323" max="8332" width="0" style="1" hidden="1" customWidth="1"/>
    <col min="8333" max="8334" width="1" style="1" customWidth="1"/>
    <col min="8335" max="8335" width="17.85546875" style="1" customWidth="1"/>
    <col min="8336" max="8338" width="1" style="1" customWidth="1"/>
    <col min="8339" max="8339" width="1.85546875" style="1" customWidth="1"/>
    <col min="8340" max="8340" width="11.28515625" style="1" bestFit="1" customWidth="1"/>
    <col min="8341" max="8341" width="10" style="1"/>
    <col min="8342" max="8342" width="10.42578125" style="1" bestFit="1" customWidth="1"/>
    <col min="8343" max="8345" width="10" style="1"/>
    <col min="8346" max="8346" width="13.42578125" style="1" bestFit="1" customWidth="1"/>
    <col min="8347" max="8448" width="10" style="1"/>
    <col min="8449" max="8451" width="0" style="1" hidden="1" customWidth="1"/>
    <col min="8452" max="8452" width="64.85546875" style="1" customWidth="1"/>
    <col min="8453" max="8453" width="7" style="1" customWidth="1"/>
    <col min="8454" max="8455" width="1" style="1" customWidth="1"/>
    <col min="8456" max="8456" width="15.140625" style="1" customWidth="1"/>
    <col min="8457" max="8458" width="1" style="1" customWidth="1"/>
    <col min="8459" max="8503" width="0" style="1" hidden="1" customWidth="1"/>
    <col min="8504" max="8505" width="1" style="1" customWidth="1"/>
    <col min="8506" max="8506" width="17.85546875" style="1" customWidth="1"/>
    <col min="8507" max="8508" width="1" style="1" customWidth="1"/>
    <col min="8509" max="8518" width="0" style="1" hidden="1" customWidth="1"/>
    <col min="8519" max="8520" width="1" style="1" customWidth="1"/>
    <col min="8521" max="8521" width="18.7109375" style="1" bestFit="1" customWidth="1"/>
    <col min="8522" max="8525" width="1" style="1" customWidth="1"/>
    <col min="8526" max="8526" width="16.85546875" style="1" bestFit="1" customWidth="1"/>
    <col min="8527" max="8528" width="1" style="1" customWidth="1"/>
    <col min="8529" max="8573" width="0" style="1" hidden="1" customWidth="1"/>
    <col min="8574" max="8575" width="1" style="1" customWidth="1"/>
    <col min="8576" max="8576" width="17.85546875" style="1" customWidth="1"/>
    <col min="8577" max="8578" width="1" style="1" customWidth="1"/>
    <col min="8579" max="8588" width="0" style="1" hidden="1" customWidth="1"/>
    <col min="8589" max="8590" width="1" style="1" customWidth="1"/>
    <col min="8591" max="8591" width="17.85546875" style="1" customWidth="1"/>
    <col min="8592" max="8594" width="1" style="1" customWidth="1"/>
    <col min="8595" max="8595" width="1.85546875" style="1" customWidth="1"/>
    <col min="8596" max="8596" width="11.28515625" style="1" bestFit="1" customWidth="1"/>
    <col min="8597" max="8597" width="10" style="1"/>
    <col min="8598" max="8598" width="10.42578125" style="1" bestFit="1" customWidth="1"/>
    <col min="8599" max="8601" width="10" style="1"/>
    <col min="8602" max="8602" width="13.42578125" style="1" bestFit="1" customWidth="1"/>
    <col min="8603" max="8704" width="10" style="1"/>
    <col min="8705" max="8707" width="0" style="1" hidden="1" customWidth="1"/>
    <col min="8708" max="8708" width="64.85546875" style="1" customWidth="1"/>
    <col min="8709" max="8709" width="7" style="1" customWidth="1"/>
    <col min="8710" max="8711" width="1" style="1" customWidth="1"/>
    <col min="8712" max="8712" width="15.140625" style="1" customWidth="1"/>
    <col min="8713" max="8714" width="1" style="1" customWidth="1"/>
    <col min="8715" max="8759" width="0" style="1" hidden="1" customWidth="1"/>
    <col min="8760" max="8761" width="1" style="1" customWidth="1"/>
    <col min="8762" max="8762" width="17.85546875" style="1" customWidth="1"/>
    <col min="8763" max="8764" width="1" style="1" customWidth="1"/>
    <col min="8765" max="8774" width="0" style="1" hidden="1" customWidth="1"/>
    <col min="8775" max="8776" width="1" style="1" customWidth="1"/>
    <col min="8777" max="8777" width="18.7109375" style="1" bestFit="1" customWidth="1"/>
    <col min="8778" max="8781" width="1" style="1" customWidth="1"/>
    <col min="8782" max="8782" width="16.85546875" style="1" bestFit="1" customWidth="1"/>
    <col min="8783" max="8784" width="1" style="1" customWidth="1"/>
    <col min="8785" max="8829" width="0" style="1" hidden="1" customWidth="1"/>
    <col min="8830" max="8831" width="1" style="1" customWidth="1"/>
    <col min="8832" max="8832" width="17.85546875" style="1" customWidth="1"/>
    <col min="8833" max="8834" width="1" style="1" customWidth="1"/>
    <col min="8835" max="8844" width="0" style="1" hidden="1" customWidth="1"/>
    <col min="8845" max="8846" width="1" style="1" customWidth="1"/>
    <col min="8847" max="8847" width="17.85546875" style="1" customWidth="1"/>
    <col min="8848" max="8850" width="1" style="1" customWidth="1"/>
    <col min="8851" max="8851" width="1.85546875" style="1" customWidth="1"/>
    <col min="8852" max="8852" width="11.28515625" style="1" bestFit="1" customWidth="1"/>
    <col min="8853" max="8853" width="10" style="1"/>
    <col min="8854" max="8854" width="10.42578125" style="1" bestFit="1" customWidth="1"/>
    <col min="8855" max="8857" width="10" style="1"/>
    <col min="8858" max="8858" width="13.42578125" style="1" bestFit="1" customWidth="1"/>
    <col min="8859" max="8960" width="10" style="1"/>
    <col min="8961" max="8963" width="0" style="1" hidden="1" customWidth="1"/>
    <col min="8964" max="8964" width="64.85546875" style="1" customWidth="1"/>
    <col min="8965" max="8965" width="7" style="1" customWidth="1"/>
    <col min="8966" max="8967" width="1" style="1" customWidth="1"/>
    <col min="8968" max="8968" width="15.140625" style="1" customWidth="1"/>
    <col min="8969" max="8970" width="1" style="1" customWidth="1"/>
    <col min="8971" max="9015" width="0" style="1" hidden="1" customWidth="1"/>
    <col min="9016" max="9017" width="1" style="1" customWidth="1"/>
    <col min="9018" max="9018" width="17.85546875" style="1" customWidth="1"/>
    <col min="9019" max="9020" width="1" style="1" customWidth="1"/>
    <col min="9021" max="9030" width="0" style="1" hidden="1" customWidth="1"/>
    <col min="9031" max="9032" width="1" style="1" customWidth="1"/>
    <col min="9033" max="9033" width="18.7109375" style="1" bestFit="1" customWidth="1"/>
    <col min="9034" max="9037" width="1" style="1" customWidth="1"/>
    <col min="9038" max="9038" width="16.85546875" style="1" bestFit="1" customWidth="1"/>
    <col min="9039" max="9040" width="1" style="1" customWidth="1"/>
    <col min="9041" max="9085" width="0" style="1" hidden="1" customWidth="1"/>
    <col min="9086" max="9087" width="1" style="1" customWidth="1"/>
    <col min="9088" max="9088" width="17.85546875" style="1" customWidth="1"/>
    <col min="9089" max="9090" width="1" style="1" customWidth="1"/>
    <col min="9091" max="9100" width="0" style="1" hidden="1" customWidth="1"/>
    <col min="9101" max="9102" width="1" style="1" customWidth="1"/>
    <col min="9103" max="9103" width="17.85546875" style="1" customWidth="1"/>
    <col min="9104" max="9106" width="1" style="1" customWidth="1"/>
    <col min="9107" max="9107" width="1.85546875" style="1" customWidth="1"/>
    <col min="9108" max="9108" width="11.28515625" style="1" bestFit="1" customWidth="1"/>
    <col min="9109" max="9109" width="10" style="1"/>
    <col min="9110" max="9110" width="10.42578125" style="1" bestFit="1" customWidth="1"/>
    <col min="9111" max="9113" width="10" style="1"/>
    <col min="9114" max="9114" width="13.42578125" style="1" bestFit="1" customWidth="1"/>
    <col min="9115" max="9216" width="10" style="1"/>
    <col min="9217" max="9219" width="0" style="1" hidden="1" customWidth="1"/>
    <col min="9220" max="9220" width="64.85546875" style="1" customWidth="1"/>
    <col min="9221" max="9221" width="7" style="1" customWidth="1"/>
    <col min="9222" max="9223" width="1" style="1" customWidth="1"/>
    <col min="9224" max="9224" width="15.140625" style="1" customWidth="1"/>
    <col min="9225" max="9226" width="1" style="1" customWidth="1"/>
    <col min="9227" max="9271" width="0" style="1" hidden="1" customWidth="1"/>
    <col min="9272" max="9273" width="1" style="1" customWidth="1"/>
    <col min="9274" max="9274" width="17.85546875" style="1" customWidth="1"/>
    <col min="9275" max="9276" width="1" style="1" customWidth="1"/>
    <col min="9277" max="9286" width="0" style="1" hidden="1" customWidth="1"/>
    <col min="9287" max="9288" width="1" style="1" customWidth="1"/>
    <col min="9289" max="9289" width="18.7109375" style="1" bestFit="1" customWidth="1"/>
    <col min="9290" max="9293" width="1" style="1" customWidth="1"/>
    <col min="9294" max="9294" width="16.85546875" style="1" bestFit="1" customWidth="1"/>
    <col min="9295" max="9296" width="1" style="1" customWidth="1"/>
    <col min="9297" max="9341" width="0" style="1" hidden="1" customWidth="1"/>
    <col min="9342" max="9343" width="1" style="1" customWidth="1"/>
    <col min="9344" max="9344" width="17.85546875" style="1" customWidth="1"/>
    <col min="9345" max="9346" width="1" style="1" customWidth="1"/>
    <col min="9347" max="9356" width="0" style="1" hidden="1" customWidth="1"/>
    <col min="9357" max="9358" width="1" style="1" customWidth="1"/>
    <col min="9359" max="9359" width="17.85546875" style="1" customWidth="1"/>
    <col min="9360" max="9362" width="1" style="1" customWidth="1"/>
    <col min="9363" max="9363" width="1.85546875" style="1" customWidth="1"/>
    <col min="9364" max="9364" width="11.28515625" style="1" bestFit="1" customWidth="1"/>
    <col min="9365" max="9365" width="10" style="1"/>
    <col min="9366" max="9366" width="10.42578125" style="1" bestFit="1" customWidth="1"/>
    <col min="9367" max="9369" width="10" style="1"/>
    <col min="9370" max="9370" width="13.42578125" style="1" bestFit="1" customWidth="1"/>
    <col min="9371" max="9472" width="10" style="1"/>
    <col min="9473" max="9475" width="0" style="1" hidden="1" customWidth="1"/>
    <col min="9476" max="9476" width="64.85546875" style="1" customWidth="1"/>
    <col min="9477" max="9477" width="7" style="1" customWidth="1"/>
    <col min="9478" max="9479" width="1" style="1" customWidth="1"/>
    <col min="9480" max="9480" width="15.140625" style="1" customWidth="1"/>
    <col min="9481" max="9482" width="1" style="1" customWidth="1"/>
    <col min="9483" max="9527" width="0" style="1" hidden="1" customWidth="1"/>
    <col min="9528" max="9529" width="1" style="1" customWidth="1"/>
    <col min="9530" max="9530" width="17.85546875" style="1" customWidth="1"/>
    <col min="9531" max="9532" width="1" style="1" customWidth="1"/>
    <col min="9533" max="9542" width="0" style="1" hidden="1" customWidth="1"/>
    <col min="9543" max="9544" width="1" style="1" customWidth="1"/>
    <col min="9545" max="9545" width="18.7109375" style="1" bestFit="1" customWidth="1"/>
    <col min="9546" max="9549" width="1" style="1" customWidth="1"/>
    <col min="9550" max="9550" width="16.85546875" style="1" bestFit="1" customWidth="1"/>
    <col min="9551" max="9552" width="1" style="1" customWidth="1"/>
    <col min="9553" max="9597" width="0" style="1" hidden="1" customWidth="1"/>
    <col min="9598" max="9599" width="1" style="1" customWidth="1"/>
    <col min="9600" max="9600" width="17.85546875" style="1" customWidth="1"/>
    <col min="9601" max="9602" width="1" style="1" customWidth="1"/>
    <col min="9603" max="9612" width="0" style="1" hidden="1" customWidth="1"/>
    <col min="9613" max="9614" width="1" style="1" customWidth="1"/>
    <col min="9615" max="9615" width="17.85546875" style="1" customWidth="1"/>
    <col min="9616" max="9618" width="1" style="1" customWidth="1"/>
    <col min="9619" max="9619" width="1.85546875" style="1" customWidth="1"/>
    <col min="9620" max="9620" width="11.28515625" style="1" bestFit="1" customWidth="1"/>
    <col min="9621" max="9621" width="10" style="1"/>
    <col min="9622" max="9622" width="10.42578125" style="1" bestFit="1" customWidth="1"/>
    <col min="9623" max="9625" width="10" style="1"/>
    <col min="9626" max="9626" width="13.42578125" style="1" bestFit="1" customWidth="1"/>
    <col min="9627" max="9728" width="10" style="1"/>
    <col min="9729" max="9731" width="0" style="1" hidden="1" customWidth="1"/>
    <col min="9732" max="9732" width="64.85546875" style="1" customWidth="1"/>
    <col min="9733" max="9733" width="7" style="1" customWidth="1"/>
    <col min="9734" max="9735" width="1" style="1" customWidth="1"/>
    <col min="9736" max="9736" width="15.140625" style="1" customWidth="1"/>
    <col min="9737" max="9738" width="1" style="1" customWidth="1"/>
    <col min="9739" max="9783" width="0" style="1" hidden="1" customWidth="1"/>
    <col min="9784" max="9785" width="1" style="1" customWidth="1"/>
    <col min="9786" max="9786" width="17.85546875" style="1" customWidth="1"/>
    <col min="9787" max="9788" width="1" style="1" customWidth="1"/>
    <col min="9789" max="9798" width="0" style="1" hidden="1" customWidth="1"/>
    <col min="9799" max="9800" width="1" style="1" customWidth="1"/>
    <col min="9801" max="9801" width="18.7109375" style="1" bestFit="1" customWidth="1"/>
    <col min="9802" max="9805" width="1" style="1" customWidth="1"/>
    <col min="9806" max="9806" width="16.85546875" style="1" bestFit="1" customWidth="1"/>
    <col min="9807" max="9808" width="1" style="1" customWidth="1"/>
    <col min="9809" max="9853" width="0" style="1" hidden="1" customWidth="1"/>
    <col min="9854" max="9855" width="1" style="1" customWidth="1"/>
    <col min="9856" max="9856" width="17.85546875" style="1" customWidth="1"/>
    <col min="9857" max="9858" width="1" style="1" customWidth="1"/>
    <col min="9859" max="9868" width="0" style="1" hidden="1" customWidth="1"/>
    <col min="9869" max="9870" width="1" style="1" customWidth="1"/>
    <col min="9871" max="9871" width="17.85546875" style="1" customWidth="1"/>
    <col min="9872" max="9874" width="1" style="1" customWidth="1"/>
    <col min="9875" max="9875" width="1.85546875" style="1" customWidth="1"/>
    <col min="9876" max="9876" width="11.28515625" style="1" bestFit="1" customWidth="1"/>
    <col min="9877" max="9877" width="10" style="1"/>
    <col min="9878" max="9878" width="10.42578125" style="1" bestFit="1" customWidth="1"/>
    <col min="9879" max="9881" width="10" style="1"/>
    <col min="9882" max="9882" width="13.42578125" style="1" bestFit="1" customWidth="1"/>
    <col min="9883" max="9984" width="10" style="1"/>
    <col min="9985" max="9987" width="0" style="1" hidden="1" customWidth="1"/>
    <col min="9988" max="9988" width="64.85546875" style="1" customWidth="1"/>
    <col min="9989" max="9989" width="7" style="1" customWidth="1"/>
    <col min="9990" max="9991" width="1" style="1" customWidth="1"/>
    <col min="9992" max="9992" width="15.140625" style="1" customWidth="1"/>
    <col min="9993" max="9994" width="1" style="1" customWidth="1"/>
    <col min="9995" max="10039" width="0" style="1" hidden="1" customWidth="1"/>
    <col min="10040" max="10041" width="1" style="1" customWidth="1"/>
    <col min="10042" max="10042" width="17.85546875" style="1" customWidth="1"/>
    <col min="10043" max="10044" width="1" style="1" customWidth="1"/>
    <col min="10045" max="10054" width="0" style="1" hidden="1" customWidth="1"/>
    <col min="10055" max="10056" width="1" style="1" customWidth="1"/>
    <col min="10057" max="10057" width="18.7109375" style="1" bestFit="1" customWidth="1"/>
    <col min="10058" max="10061" width="1" style="1" customWidth="1"/>
    <col min="10062" max="10062" width="16.85546875" style="1" bestFit="1" customWidth="1"/>
    <col min="10063" max="10064" width="1" style="1" customWidth="1"/>
    <col min="10065" max="10109" width="0" style="1" hidden="1" customWidth="1"/>
    <col min="10110" max="10111" width="1" style="1" customWidth="1"/>
    <col min="10112" max="10112" width="17.85546875" style="1" customWidth="1"/>
    <col min="10113" max="10114" width="1" style="1" customWidth="1"/>
    <col min="10115" max="10124" width="0" style="1" hidden="1" customWidth="1"/>
    <col min="10125" max="10126" width="1" style="1" customWidth="1"/>
    <col min="10127" max="10127" width="17.85546875" style="1" customWidth="1"/>
    <col min="10128" max="10130" width="1" style="1" customWidth="1"/>
    <col min="10131" max="10131" width="1.85546875" style="1" customWidth="1"/>
    <col min="10132" max="10132" width="11.28515625" style="1" bestFit="1" customWidth="1"/>
    <col min="10133" max="10133" width="10" style="1"/>
    <col min="10134" max="10134" width="10.42578125" style="1" bestFit="1" customWidth="1"/>
    <col min="10135" max="10137" width="10" style="1"/>
    <col min="10138" max="10138" width="13.42578125" style="1" bestFit="1" customWidth="1"/>
    <col min="10139" max="10240" width="10" style="1"/>
    <col min="10241" max="10243" width="0" style="1" hidden="1" customWidth="1"/>
    <col min="10244" max="10244" width="64.85546875" style="1" customWidth="1"/>
    <col min="10245" max="10245" width="7" style="1" customWidth="1"/>
    <col min="10246" max="10247" width="1" style="1" customWidth="1"/>
    <col min="10248" max="10248" width="15.140625" style="1" customWidth="1"/>
    <col min="10249" max="10250" width="1" style="1" customWidth="1"/>
    <col min="10251" max="10295" width="0" style="1" hidden="1" customWidth="1"/>
    <col min="10296" max="10297" width="1" style="1" customWidth="1"/>
    <col min="10298" max="10298" width="17.85546875" style="1" customWidth="1"/>
    <col min="10299" max="10300" width="1" style="1" customWidth="1"/>
    <col min="10301" max="10310" width="0" style="1" hidden="1" customWidth="1"/>
    <col min="10311" max="10312" width="1" style="1" customWidth="1"/>
    <col min="10313" max="10313" width="18.7109375" style="1" bestFit="1" customWidth="1"/>
    <col min="10314" max="10317" width="1" style="1" customWidth="1"/>
    <col min="10318" max="10318" width="16.85546875" style="1" bestFit="1" customWidth="1"/>
    <col min="10319" max="10320" width="1" style="1" customWidth="1"/>
    <col min="10321" max="10365" width="0" style="1" hidden="1" customWidth="1"/>
    <col min="10366" max="10367" width="1" style="1" customWidth="1"/>
    <col min="10368" max="10368" width="17.85546875" style="1" customWidth="1"/>
    <col min="10369" max="10370" width="1" style="1" customWidth="1"/>
    <col min="10371" max="10380" width="0" style="1" hidden="1" customWidth="1"/>
    <col min="10381" max="10382" width="1" style="1" customWidth="1"/>
    <col min="10383" max="10383" width="17.85546875" style="1" customWidth="1"/>
    <col min="10384" max="10386" width="1" style="1" customWidth="1"/>
    <col min="10387" max="10387" width="1.85546875" style="1" customWidth="1"/>
    <col min="10388" max="10388" width="11.28515625" style="1" bestFit="1" customWidth="1"/>
    <col min="10389" max="10389" width="10" style="1"/>
    <col min="10390" max="10390" width="10.42578125" style="1" bestFit="1" customWidth="1"/>
    <col min="10391" max="10393" width="10" style="1"/>
    <col min="10394" max="10394" width="13.42578125" style="1" bestFit="1" customWidth="1"/>
    <col min="10395" max="10496" width="10" style="1"/>
    <col min="10497" max="10499" width="0" style="1" hidden="1" customWidth="1"/>
    <col min="10500" max="10500" width="64.85546875" style="1" customWidth="1"/>
    <col min="10501" max="10501" width="7" style="1" customWidth="1"/>
    <col min="10502" max="10503" width="1" style="1" customWidth="1"/>
    <col min="10504" max="10504" width="15.140625" style="1" customWidth="1"/>
    <col min="10505" max="10506" width="1" style="1" customWidth="1"/>
    <col min="10507" max="10551" width="0" style="1" hidden="1" customWidth="1"/>
    <col min="10552" max="10553" width="1" style="1" customWidth="1"/>
    <col min="10554" max="10554" width="17.85546875" style="1" customWidth="1"/>
    <col min="10555" max="10556" width="1" style="1" customWidth="1"/>
    <col min="10557" max="10566" width="0" style="1" hidden="1" customWidth="1"/>
    <col min="10567" max="10568" width="1" style="1" customWidth="1"/>
    <col min="10569" max="10569" width="18.7109375" style="1" bestFit="1" customWidth="1"/>
    <col min="10570" max="10573" width="1" style="1" customWidth="1"/>
    <col min="10574" max="10574" width="16.85546875" style="1" bestFit="1" customWidth="1"/>
    <col min="10575" max="10576" width="1" style="1" customWidth="1"/>
    <col min="10577" max="10621" width="0" style="1" hidden="1" customWidth="1"/>
    <col min="10622" max="10623" width="1" style="1" customWidth="1"/>
    <col min="10624" max="10624" width="17.85546875" style="1" customWidth="1"/>
    <col min="10625" max="10626" width="1" style="1" customWidth="1"/>
    <col min="10627" max="10636" width="0" style="1" hidden="1" customWidth="1"/>
    <col min="10637" max="10638" width="1" style="1" customWidth="1"/>
    <col min="10639" max="10639" width="17.85546875" style="1" customWidth="1"/>
    <col min="10640" max="10642" width="1" style="1" customWidth="1"/>
    <col min="10643" max="10643" width="1.85546875" style="1" customWidth="1"/>
    <col min="10644" max="10644" width="11.28515625" style="1" bestFit="1" customWidth="1"/>
    <col min="10645" max="10645" width="10" style="1"/>
    <col min="10646" max="10646" width="10.42578125" style="1" bestFit="1" customWidth="1"/>
    <col min="10647" max="10649" width="10" style="1"/>
    <col min="10650" max="10650" width="13.42578125" style="1" bestFit="1" customWidth="1"/>
    <col min="10651" max="10752" width="10" style="1"/>
    <col min="10753" max="10755" width="0" style="1" hidden="1" customWidth="1"/>
    <col min="10756" max="10756" width="64.85546875" style="1" customWidth="1"/>
    <col min="10757" max="10757" width="7" style="1" customWidth="1"/>
    <col min="10758" max="10759" width="1" style="1" customWidth="1"/>
    <col min="10760" max="10760" width="15.140625" style="1" customWidth="1"/>
    <col min="10761" max="10762" width="1" style="1" customWidth="1"/>
    <col min="10763" max="10807" width="0" style="1" hidden="1" customWidth="1"/>
    <col min="10808" max="10809" width="1" style="1" customWidth="1"/>
    <col min="10810" max="10810" width="17.85546875" style="1" customWidth="1"/>
    <col min="10811" max="10812" width="1" style="1" customWidth="1"/>
    <col min="10813" max="10822" width="0" style="1" hidden="1" customWidth="1"/>
    <col min="10823" max="10824" width="1" style="1" customWidth="1"/>
    <col min="10825" max="10825" width="18.7109375" style="1" bestFit="1" customWidth="1"/>
    <col min="10826" max="10829" width="1" style="1" customWidth="1"/>
    <col min="10830" max="10830" width="16.85546875" style="1" bestFit="1" customWidth="1"/>
    <col min="10831" max="10832" width="1" style="1" customWidth="1"/>
    <col min="10833" max="10877" width="0" style="1" hidden="1" customWidth="1"/>
    <col min="10878" max="10879" width="1" style="1" customWidth="1"/>
    <col min="10880" max="10880" width="17.85546875" style="1" customWidth="1"/>
    <col min="10881" max="10882" width="1" style="1" customWidth="1"/>
    <col min="10883" max="10892" width="0" style="1" hidden="1" customWidth="1"/>
    <col min="10893" max="10894" width="1" style="1" customWidth="1"/>
    <col min="10895" max="10895" width="17.85546875" style="1" customWidth="1"/>
    <col min="10896" max="10898" width="1" style="1" customWidth="1"/>
    <col min="10899" max="10899" width="1.85546875" style="1" customWidth="1"/>
    <col min="10900" max="10900" width="11.28515625" style="1" bestFit="1" customWidth="1"/>
    <col min="10901" max="10901" width="10" style="1"/>
    <col min="10902" max="10902" width="10.42578125" style="1" bestFit="1" customWidth="1"/>
    <col min="10903" max="10905" width="10" style="1"/>
    <col min="10906" max="10906" width="13.42578125" style="1" bestFit="1" customWidth="1"/>
    <col min="10907" max="11008" width="10" style="1"/>
    <col min="11009" max="11011" width="0" style="1" hidden="1" customWidth="1"/>
    <col min="11012" max="11012" width="64.85546875" style="1" customWidth="1"/>
    <col min="11013" max="11013" width="7" style="1" customWidth="1"/>
    <col min="11014" max="11015" width="1" style="1" customWidth="1"/>
    <col min="11016" max="11016" width="15.140625" style="1" customWidth="1"/>
    <col min="11017" max="11018" width="1" style="1" customWidth="1"/>
    <col min="11019" max="11063" width="0" style="1" hidden="1" customWidth="1"/>
    <col min="11064" max="11065" width="1" style="1" customWidth="1"/>
    <col min="11066" max="11066" width="17.85546875" style="1" customWidth="1"/>
    <col min="11067" max="11068" width="1" style="1" customWidth="1"/>
    <col min="11069" max="11078" width="0" style="1" hidden="1" customWidth="1"/>
    <col min="11079" max="11080" width="1" style="1" customWidth="1"/>
    <col min="11081" max="11081" width="18.7109375" style="1" bestFit="1" customWidth="1"/>
    <col min="11082" max="11085" width="1" style="1" customWidth="1"/>
    <col min="11086" max="11086" width="16.85546875" style="1" bestFit="1" customWidth="1"/>
    <col min="11087" max="11088" width="1" style="1" customWidth="1"/>
    <col min="11089" max="11133" width="0" style="1" hidden="1" customWidth="1"/>
    <col min="11134" max="11135" width="1" style="1" customWidth="1"/>
    <col min="11136" max="11136" width="17.85546875" style="1" customWidth="1"/>
    <col min="11137" max="11138" width="1" style="1" customWidth="1"/>
    <col min="11139" max="11148" width="0" style="1" hidden="1" customWidth="1"/>
    <col min="11149" max="11150" width="1" style="1" customWidth="1"/>
    <col min="11151" max="11151" width="17.85546875" style="1" customWidth="1"/>
    <col min="11152" max="11154" width="1" style="1" customWidth="1"/>
    <col min="11155" max="11155" width="1.85546875" style="1" customWidth="1"/>
    <col min="11156" max="11156" width="11.28515625" style="1" bestFit="1" customWidth="1"/>
    <col min="11157" max="11157" width="10" style="1"/>
    <col min="11158" max="11158" width="10.42578125" style="1" bestFit="1" customWidth="1"/>
    <col min="11159" max="11161" width="10" style="1"/>
    <col min="11162" max="11162" width="13.42578125" style="1" bestFit="1" customWidth="1"/>
    <col min="11163" max="11264" width="10" style="1"/>
    <col min="11265" max="11267" width="0" style="1" hidden="1" customWidth="1"/>
    <col min="11268" max="11268" width="64.85546875" style="1" customWidth="1"/>
    <col min="11269" max="11269" width="7" style="1" customWidth="1"/>
    <col min="11270" max="11271" width="1" style="1" customWidth="1"/>
    <col min="11272" max="11272" width="15.140625" style="1" customWidth="1"/>
    <col min="11273" max="11274" width="1" style="1" customWidth="1"/>
    <col min="11275" max="11319" width="0" style="1" hidden="1" customWidth="1"/>
    <col min="11320" max="11321" width="1" style="1" customWidth="1"/>
    <col min="11322" max="11322" width="17.85546875" style="1" customWidth="1"/>
    <col min="11323" max="11324" width="1" style="1" customWidth="1"/>
    <col min="11325" max="11334" width="0" style="1" hidden="1" customWidth="1"/>
    <col min="11335" max="11336" width="1" style="1" customWidth="1"/>
    <col min="11337" max="11337" width="18.7109375" style="1" bestFit="1" customWidth="1"/>
    <col min="11338" max="11341" width="1" style="1" customWidth="1"/>
    <col min="11342" max="11342" width="16.85546875" style="1" bestFit="1" customWidth="1"/>
    <col min="11343" max="11344" width="1" style="1" customWidth="1"/>
    <col min="11345" max="11389" width="0" style="1" hidden="1" customWidth="1"/>
    <col min="11390" max="11391" width="1" style="1" customWidth="1"/>
    <col min="11392" max="11392" width="17.85546875" style="1" customWidth="1"/>
    <col min="11393" max="11394" width="1" style="1" customWidth="1"/>
    <col min="11395" max="11404" width="0" style="1" hidden="1" customWidth="1"/>
    <col min="11405" max="11406" width="1" style="1" customWidth="1"/>
    <col min="11407" max="11407" width="17.85546875" style="1" customWidth="1"/>
    <col min="11408" max="11410" width="1" style="1" customWidth="1"/>
    <col min="11411" max="11411" width="1.85546875" style="1" customWidth="1"/>
    <col min="11412" max="11412" width="11.28515625" style="1" bestFit="1" customWidth="1"/>
    <col min="11413" max="11413" width="10" style="1"/>
    <col min="11414" max="11414" width="10.42578125" style="1" bestFit="1" customWidth="1"/>
    <col min="11415" max="11417" width="10" style="1"/>
    <col min="11418" max="11418" width="13.42578125" style="1" bestFit="1" customWidth="1"/>
    <col min="11419" max="11520" width="10" style="1"/>
    <col min="11521" max="11523" width="0" style="1" hidden="1" customWidth="1"/>
    <col min="11524" max="11524" width="64.85546875" style="1" customWidth="1"/>
    <col min="11525" max="11525" width="7" style="1" customWidth="1"/>
    <col min="11526" max="11527" width="1" style="1" customWidth="1"/>
    <col min="11528" max="11528" width="15.140625" style="1" customWidth="1"/>
    <col min="11529" max="11530" width="1" style="1" customWidth="1"/>
    <col min="11531" max="11575" width="0" style="1" hidden="1" customWidth="1"/>
    <col min="11576" max="11577" width="1" style="1" customWidth="1"/>
    <col min="11578" max="11578" width="17.85546875" style="1" customWidth="1"/>
    <col min="11579" max="11580" width="1" style="1" customWidth="1"/>
    <col min="11581" max="11590" width="0" style="1" hidden="1" customWidth="1"/>
    <col min="11591" max="11592" width="1" style="1" customWidth="1"/>
    <col min="11593" max="11593" width="18.7109375" style="1" bestFit="1" customWidth="1"/>
    <col min="11594" max="11597" width="1" style="1" customWidth="1"/>
    <col min="11598" max="11598" width="16.85546875" style="1" bestFit="1" customWidth="1"/>
    <col min="11599" max="11600" width="1" style="1" customWidth="1"/>
    <col min="11601" max="11645" width="0" style="1" hidden="1" customWidth="1"/>
    <col min="11646" max="11647" width="1" style="1" customWidth="1"/>
    <col min="11648" max="11648" width="17.85546875" style="1" customWidth="1"/>
    <col min="11649" max="11650" width="1" style="1" customWidth="1"/>
    <col min="11651" max="11660" width="0" style="1" hidden="1" customWidth="1"/>
    <col min="11661" max="11662" width="1" style="1" customWidth="1"/>
    <col min="11663" max="11663" width="17.85546875" style="1" customWidth="1"/>
    <col min="11664" max="11666" width="1" style="1" customWidth="1"/>
    <col min="11667" max="11667" width="1.85546875" style="1" customWidth="1"/>
    <col min="11668" max="11668" width="11.28515625" style="1" bestFit="1" customWidth="1"/>
    <col min="11669" max="11669" width="10" style="1"/>
    <col min="11670" max="11670" width="10.42578125" style="1" bestFit="1" customWidth="1"/>
    <col min="11671" max="11673" width="10" style="1"/>
    <col min="11674" max="11674" width="13.42578125" style="1" bestFit="1" customWidth="1"/>
    <col min="11675" max="11776" width="10" style="1"/>
    <col min="11777" max="11779" width="0" style="1" hidden="1" customWidth="1"/>
    <col min="11780" max="11780" width="64.85546875" style="1" customWidth="1"/>
    <col min="11781" max="11781" width="7" style="1" customWidth="1"/>
    <col min="11782" max="11783" width="1" style="1" customWidth="1"/>
    <col min="11784" max="11784" width="15.140625" style="1" customWidth="1"/>
    <col min="11785" max="11786" width="1" style="1" customWidth="1"/>
    <col min="11787" max="11831" width="0" style="1" hidden="1" customWidth="1"/>
    <col min="11832" max="11833" width="1" style="1" customWidth="1"/>
    <col min="11834" max="11834" width="17.85546875" style="1" customWidth="1"/>
    <col min="11835" max="11836" width="1" style="1" customWidth="1"/>
    <col min="11837" max="11846" width="0" style="1" hidden="1" customWidth="1"/>
    <col min="11847" max="11848" width="1" style="1" customWidth="1"/>
    <col min="11849" max="11849" width="18.7109375" style="1" bestFit="1" customWidth="1"/>
    <col min="11850" max="11853" width="1" style="1" customWidth="1"/>
    <col min="11854" max="11854" width="16.85546875" style="1" bestFit="1" customWidth="1"/>
    <col min="11855" max="11856" width="1" style="1" customWidth="1"/>
    <col min="11857" max="11901" width="0" style="1" hidden="1" customWidth="1"/>
    <col min="11902" max="11903" width="1" style="1" customWidth="1"/>
    <col min="11904" max="11904" width="17.85546875" style="1" customWidth="1"/>
    <col min="11905" max="11906" width="1" style="1" customWidth="1"/>
    <col min="11907" max="11916" width="0" style="1" hidden="1" customWidth="1"/>
    <col min="11917" max="11918" width="1" style="1" customWidth="1"/>
    <col min="11919" max="11919" width="17.85546875" style="1" customWidth="1"/>
    <col min="11920" max="11922" width="1" style="1" customWidth="1"/>
    <col min="11923" max="11923" width="1.85546875" style="1" customWidth="1"/>
    <col min="11924" max="11924" width="11.28515625" style="1" bestFit="1" customWidth="1"/>
    <col min="11925" max="11925" width="10" style="1"/>
    <col min="11926" max="11926" width="10.42578125" style="1" bestFit="1" customWidth="1"/>
    <col min="11927" max="11929" width="10" style="1"/>
    <col min="11930" max="11930" width="13.42578125" style="1" bestFit="1" customWidth="1"/>
    <col min="11931" max="12032" width="10" style="1"/>
    <col min="12033" max="12035" width="0" style="1" hidden="1" customWidth="1"/>
    <col min="12036" max="12036" width="64.85546875" style="1" customWidth="1"/>
    <col min="12037" max="12037" width="7" style="1" customWidth="1"/>
    <col min="12038" max="12039" width="1" style="1" customWidth="1"/>
    <col min="12040" max="12040" width="15.140625" style="1" customWidth="1"/>
    <col min="12041" max="12042" width="1" style="1" customWidth="1"/>
    <col min="12043" max="12087" width="0" style="1" hidden="1" customWidth="1"/>
    <col min="12088" max="12089" width="1" style="1" customWidth="1"/>
    <col min="12090" max="12090" width="17.85546875" style="1" customWidth="1"/>
    <col min="12091" max="12092" width="1" style="1" customWidth="1"/>
    <col min="12093" max="12102" width="0" style="1" hidden="1" customWidth="1"/>
    <col min="12103" max="12104" width="1" style="1" customWidth="1"/>
    <col min="12105" max="12105" width="18.7109375" style="1" bestFit="1" customWidth="1"/>
    <col min="12106" max="12109" width="1" style="1" customWidth="1"/>
    <col min="12110" max="12110" width="16.85546875" style="1" bestFit="1" customWidth="1"/>
    <col min="12111" max="12112" width="1" style="1" customWidth="1"/>
    <col min="12113" max="12157" width="0" style="1" hidden="1" customWidth="1"/>
    <col min="12158" max="12159" width="1" style="1" customWidth="1"/>
    <col min="12160" max="12160" width="17.85546875" style="1" customWidth="1"/>
    <col min="12161" max="12162" width="1" style="1" customWidth="1"/>
    <col min="12163" max="12172" width="0" style="1" hidden="1" customWidth="1"/>
    <col min="12173" max="12174" width="1" style="1" customWidth="1"/>
    <col min="12175" max="12175" width="17.85546875" style="1" customWidth="1"/>
    <col min="12176" max="12178" width="1" style="1" customWidth="1"/>
    <col min="12179" max="12179" width="1.85546875" style="1" customWidth="1"/>
    <col min="12180" max="12180" width="11.28515625" style="1" bestFit="1" customWidth="1"/>
    <col min="12181" max="12181" width="10" style="1"/>
    <col min="12182" max="12182" width="10.42578125" style="1" bestFit="1" customWidth="1"/>
    <col min="12183" max="12185" width="10" style="1"/>
    <col min="12186" max="12186" width="13.42578125" style="1" bestFit="1" customWidth="1"/>
    <col min="12187" max="12288" width="10" style="1"/>
    <col min="12289" max="12291" width="0" style="1" hidden="1" customWidth="1"/>
    <col min="12292" max="12292" width="64.85546875" style="1" customWidth="1"/>
    <col min="12293" max="12293" width="7" style="1" customWidth="1"/>
    <col min="12294" max="12295" width="1" style="1" customWidth="1"/>
    <col min="12296" max="12296" width="15.140625" style="1" customWidth="1"/>
    <col min="12297" max="12298" width="1" style="1" customWidth="1"/>
    <col min="12299" max="12343" width="0" style="1" hidden="1" customWidth="1"/>
    <col min="12344" max="12345" width="1" style="1" customWidth="1"/>
    <col min="12346" max="12346" width="17.85546875" style="1" customWidth="1"/>
    <col min="12347" max="12348" width="1" style="1" customWidth="1"/>
    <col min="12349" max="12358" width="0" style="1" hidden="1" customWidth="1"/>
    <col min="12359" max="12360" width="1" style="1" customWidth="1"/>
    <col min="12361" max="12361" width="18.7109375" style="1" bestFit="1" customWidth="1"/>
    <col min="12362" max="12365" width="1" style="1" customWidth="1"/>
    <col min="12366" max="12366" width="16.85546875" style="1" bestFit="1" customWidth="1"/>
    <col min="12367" max="12368" width="1" style="1" customWidth="1"/>
    <col min="12369" max="12413" width="0" style="1" hidden="1" customWidth="1"/>
    <col min="12414" max="12415" width="1" style="1" customWidth="1"/>
    <col min="12416" max="12416" width="17.85546875" style="1" customWidth="1"/>
    <col min="12417" max="12418" width="1" style="1" customWidth="1"/>
    <col min="12419" max="12428" width="0" style="1" hidden="1" customWidth="1"/>
    <col min="12429" max="12430" width="1" style="1" customWidth="1"/>
    <col min="12431" max="12431" width="17.85546875" style="1" customWidth="1"/>
    <col min="12432" max="12434" width="1" style="1" customWidth="1"/>
    <col min="12435" max="12435" width="1.85546875" style="1" customWidth="1"/>
    <col min="12436" max="12436" width="11.28515625" style="1" bestFit="1" customWidth="1"/>
    <col min="12437" max="12437" width="10" style="1"/>
    <col min="12438" max="12438" width="10.42578125" style="1" bestFit="1" customWidth="1"/>
    <col min="12439" max="12441" width="10" style="1"/>
    <col min="12442" max="12442" width="13.42578125" style="1" bestFit="1" customWidth="1"/>
    <col min="12443" max="12544" width="10" style="1"/>
    <col min="12545" max="12547" width="0" style="1" hidden="1" customWidth="1"/>
    <col min="12548" max="12548" width="64.85546875" style="1" customWidth="1"/>
    <col min="12549" max="12549" width="7" style="1" customWidth="1"/>
    <col min="12550" max="12551" width="1" style="1" customWidth="1"/>
    <col min="12552" max="12552" width="15.140625" style="1" customWidth="1"/>
    <col min="12553" max="12554" width="1" style="1" customWidth="1"/>
    <col min="12555" max="12599" width="0" style="1" hidden="1" customWidth="1"/>
    <col min="12600" max="12601" width="1" style="1" customWidth="1"/>
    <col min="12602" max="12602" width="17.85546875" style="1" customWidth="1"/>
    <col min="12603" max="12604" width="1" style="1" customWidth="1"/>
    <col min="12605" max="12614" width="0" style="1" hidden="1" customWidth="1"/>
    <col min="12615" max="12616" width="1" style="1" customWidth="1"/>
    <col min="12617" max="12617" width="18.7109375" style="1" bestFit="1" customWidth="1"/>
    <col min="12618" max="12621" width="1" style="1" customWidth="1"/>
    <col min="12622" max="12622" width="16.85546875" style="1" bestFit="1" customWidth="1"/>
    <col min="12623" max="12624" width="1" style="1" customWidth="1"/>
    <col min="12625" max="12669" width="0" style="1" hidden="1" customWidth="1"/>
    <col min="12670" max="12671" width="1" style="1" customWidth="1"/>
    <col min="12672" max="12672" width="17.85546875" style="1" customWidth="1"/>
    <col min="12673" max="12674" width="1" style="1" customWidth="1"/>
    <col min="12675" max="12684" width="0" style="1" hidden="1" customWidth="1"/>
    <col min="12685" max="12686" width="1" style="1" customWidth="1"/>
    <col min="12687" max="12687" width="17.85546875" style="1" customWidth="1"/>
    <col min="12688" max="12690" width="1" style="1" customWidth="1"/>
    <col min="12691" max="12691" width="1.85546875" style="1" customWidth="1"/>
    <col min="12692" max="12692" width="11.28515625" style="1" bestFit="1" customWidth="1"/>
    <col min="12693" max="12693" width="10" style="1"/>
    <col min="12694" max="12694" width="10.42578125" style="1" bestFit="1" customWidth="1"/>
    <col min="12695" max="12697" width="10" style="1"/>
    <col min="12698" max="12698" width="13.42578125" style="1" bestFit="1" customWidth="1"/>
    <col min="12699" max="12800" width="10" style="1"/>
    <col min="12801" max="12803" width="0" style="1" hidden="1" customWidth="1"/>
    <col min="12804" max="12804" width="64.85546875" style="1" customWidth="1"/>
    <col min="12805" max="12805" width="7" style="1" customWidth="1"/>
    <col min="12806" max="12807" width="1" style="1" customWidth="1"/>
    <col min="12808" max="12808" width="15.140625" style="1" customWidth="1"/>
    <col min="12809" max="12810" width="1" style="1" customWidth="1"/>
    <col min="12811" max="12855" width="0" style="1" hidden="1" customWidth="1"/>
    <col min="12856" max="12857" width="1" style="1" customWidth="1"/>
    <col min="12858" max="12858" width="17.85546875" style="1" customWidth="1"/>
    <col min="12859" max="12860" width="1" style="1" customWidth="1"/>
    <col min="12861" max="12870" width="0" style="1" hidden="1" customWidth="1"/>
    <col min="12871" max="12872" width="1" style="1" customWidth="1"/>
    <col min="12873" max="12873" width="18.7109375" style="1" bestFit="1" customWidth="1"/>
    <col min="12874" max="12877" width="1" style="1" customWidth="1"/>
    <col min="12878" max="12878" width="16.85546875" style="1" bestFit="1" customWidth="1"/>
    <col min="12879" max="12880" width="1" style="1" customWidth="1"/>
    <col min="12881" max="12925" width="0" style="1" hidden="1" customWidth="1"/>
    <col min="12926" max="12927" width="1" style="1" customWidth="1"/>
    <col min="12928" max="12928" width="17.85546875" style="1" customWidth="1"/>
    <col min="12929" max="12930" width="1" style="1" customWidth="1"/>
    <col min="12931" max="12940" width="0" style="1" hidden="1" customWidth="1"/>
    <col min="12941" max="12942" width="1" style="1" customWidth="1"/>
    <col min="12943" max="12943" width="17.85546875" style="1" customWidth="1"/>
    <col min="12944" max="12946" width="1" style="1" customWidth="1"/>
    <col min="12947" max="12947" width="1.85546875" style="1" customWidth="1"/>
    <col min="12948" max="12948" width="11.28515625" style="1" bestFit="1" customWidth="1"/>
    <col min="12949" max="12949" width="10" style="1"/>
    <col min="12950" max="12950" width="10.42578125" style="1" bestFit="1" customWidth="1"/>
    <col min="12951" max="12953" width="10" style="1"/>
    <col min="12954" max="12954" width="13.42578125" style="1" bestFit="1" customWidth="1"/>
    <col min="12955" max="13056" width="10" style="1"/>
    <col min="13057" max="13059" width="0" style="1" hidden="1" customWidth="1"/>
    <col min="13060" max="13060" width="64.85546875" style="1" customWidth="1"/>
    <col min="13061" max="13061" width="7" style="1" customWidth="1"/>
    <col min="13062" max="13063" width="1" style="1" customWidth="1"/>
    <col min="13064" max="13064" width="15.140625" style="1" customWidth="1"/>
    <col min="13065" max="13066" width="1" style="1" customWidth="1"/>
    <col min="13067" max="13111" width="0" style="1" hidden="1" customWidth="1"/>
    <col min="13112" max="13113" width="1" style="1" customWidth="1"/>
    <col min="13114" max="13114" width="17.85546875" style="1" customWidth="1"/>
    <col min="13115" max="13116" width="1" style="1" customWidth="1"/>
    <col min="13117" max="13126" width="0" style="1" hidden="1" customWidth="1"/>
    <col min="13127" max="13128" width="1" style="1" customWidth="1"/>
    <col min="13129" max="13129" width="18.7109375" style="1" bestFit="1" customWidth="1"/>
    <col min="13130" max="13133" width="1" style="1" customWidth="1"/>
    <col min="13134" max="13134" width="16.85546875" style="1" bestFit="1" customWidth="1"/>
    <col min="13135" max="13136" width="1" style="1" customWidth="1"/>
    <col min="13137" max="13181" width="0" style="1" hidden="1" customWidth="1"/>
    <col min="13182" max="13183" width="1" style="1" customWidth="1"/>
    <col min="13184" max="13184" width="17.85546875" style="1" customWidth="1"/>
    <col min="13185" max="13186" width="1" style="1" customWidth="1"/>
    <col min="13187" max="13196" width="0" style="1" hidden="1" customWidth="1"/>
    <col min="13197" max="13198" width="1" style="1" customWidth="1"/>
    <col min="13199" max="13199" width="17.85546875" style="1" customWidth="1"/>
    <col min="13200" max="13202" width="1" style="1" customWidth="1"/>
    <col min="13203" max="13203" width="1.85546875" style="1" customWidth="1"/>
    <col min="13204" max="13204" width="11.28515625" style="1" bestFit="1" customWidth="1"/>
    <col min="13205" max="13205" width="10" style="1"/>
    <col min="13206" max="13206" width="10.42578125" style="1" bestFit="1" customWidth="1"/>
    <col min="13207" max="13209" width="10" style="1"/>
    <col min="13210" max="13210" width="13.42578125" style="1" bestFit="1" customWidth="1"/>
    <col min="13211" max="13312" width="10" style="1"/>
    <col min="13313" max="13315" width="0" style="1" hidden="1" customWidth="1"/>
    <col min="13316" max="13316" width="64.85546875" style="1" customWidth="1"/>
    <col min="13317" max="13317" width="7" style="1" customWidth="1"/>
    <col min="13318" max="13319" width="1" style="1" customWidth="1"/>
    <col min="13320" max="13320" width="15.140625" style="1" customWidth="1"/>
    <col min="13321" max="13322" width="1" style="1" customWidth="1"/>
    <col min="13323" max="13367" width="0" style="1" hidden="1" customWidth="1"/>
    <col min="13368" max="13369" width="1" style="1" customWidth="1"/>
    <col min="13370" max="13370" width="17.85546875" style="1" customWidth="1"/>
    <col min="13371" max="13372" width="1" style="1" customWidth="1"/>
    <col min="13373" max="13382" width="0" style="1" hidden="1" customWidth="1"/>
    <col min="13383" max="13384" width="1" style="1" customWidth="1"/>
    <col min="13385" max="13385" width="18.7109375" style="1" bestFit="1" customWidth="1"/>
    <col min="13386" max="13389" width="1" style="1" customWidth="1"/>
    <col min="13390" max="13390" width="16.85546875" style="1" bestFit="1" customWidth="1"/>
    <col min="13391" max="13392" width="1" style="1" customWidth="1"/>
    <col min="13393" max="13437" width="0" style="1" hidden="1" customWidth="1"/>
    <col min="13438" max="13439" width="1" style="1" customWidth="1"/>
    <col min="13440" max="13440" width="17.85546875" style="1" customWidth="1"/>
    <col min="13441" max="13442" width="1" style="1" customWidth="1"/>
    <col min="13443" max="13452" width="0" style="1" hidden="1" customWidth="1"/>
    <col min="13453" max="13454" width="1" style="1" customWidth="1"/>
    <col min="13455" max="13455" width="17.85546875" style="1" customWidth="1"/>
    <col min="13456" max="13458" width="1" style="1" customWidth="1"/>
    <col min="13459" max="13459" width="1.85546875" style="1" customWidth="1"/>
    <col min="13460" max="13460" width="11.28515625" style="1" bestFit="1" customWidth="1"/>
    <col min="13461" max="13461" width="10" style="1"/>
    <col min="13462" max="13462" width="10.42578125" style="1" bestFit="1" customWidth="1"/>
    <col min="13463" max="13465" width="10" style="1"/>
    <col min="13466" max="13466" width="13.42578125" style="1" bestFit="1" customWidth="1"/>
    <col min="13467" max="13568" width="10" style="1"/>
    <col min="13569" max="13571" width="0" style="1" hidden="1" customWidth="1"/>
    <col min="13572" max="13572" width="64.85546875" style="1" customWidth="1"/>
    <col min="13573" max="13573" width="7" style="1" customWidth="1"/>
    <col min="13574" max="13575" width="1" style="1" customWidth="1"/>
    <col min="13576" max="13576" width="15.140625" style="1" customWidth="1"/>
    <col min="13577" max="13578" width="1" style="1" customWidth="1"/>
    <col min="13579" max="13623" width="0" style="1" hidden="1" customWidth="1"/>
    <col min="13624" max="13625" width="1" style="1" customWidth="1"/>
    <col min="13626" max="13626" width="17.85546875" style="1" customWidth="1"/>
    <col min="13627" max="13628" width="1" style="1" customWidth="1"/>
    <col min="13629" max="13638" width="0" style="1" hidden="1" customWidth="1"/>
    <col min="13639" max="13640" width="1" style="1" customWidth="1"/>
    <col min="13641" max="13641" width="18.7109375" style="1" bestFit="1" customWidth="1"/>
    <col min="13642" max="13645" width="1" style="1" customWidth="1"/>
    <col min="13646" max="13646" width="16.85546875" style="1" bestFit="1" customWidth="1"/>
    <col min="13647" max="13648" width="1" style="1" customWidth="1"/>
    <col min="13649" max="13693" width="0" style="1" hidden="1" customWidth="1"/>
    <col min="13694" max="13695" width="1" style="1" customWidth="1"/>
    <col min="13696" max="13696" width="17.85546875" style="1" customWidth="1"/>
    <col min="13697" max="13698" width="1" style="1" customWidth="1"/>
    <col min="13699" max="13708" width="0" style="1" hidden="1" customWidth="1"/>
    <col min="13709" max="13710" width="1" style="1" customWidth="1"/>
    <col min="13711" max="13711" width="17.85546875" style="1" customWidth="1"/>
    <col min="13712" max="13714" width="1" style="1" customWidth="1"/>
    <col min="13715" max="13715" width="1.85546875" style="1" customWidth="1"/>
    <col min="13716" max="13716" width="11.28515625" style="1" bestFit="1" customWidth="1"/>
    <col min="13717" max="13717" width="10" style="1"/>
    <col min="13718" max="13718" width="10.42578125" style="1" bestFit="1" customWidth="1"/>
    <col min="13719" max="13721" width="10" style="1"/>
    <col min="13722" max="13722" width="13.42578125" style="1" bestFit="1" customWidth="1"/>
    <col min="13723" max="13824" width="10" style="1"/>
    <col min="13825" max="13827" width="0" style="1" hidden="1" customWidth="1"/>
    <col min="13828" max="13828" width="64.85546875" style="1" customWidth="1"/>
    <col min="13829" max="13829" width="7" style="1" customWidth="1"/>
    <col min="13830" max="13831" width="1" style="1" customWidth="1"/>
    <col min="13832" max="13832" width="15.140625" style="1" customWidth="1"/>
    <col min="13833" max="13834" width="1" style="1" customWidth="1"/>
    <col min="13835" max="13879" width="0" style="1" hidden="1" customWidth="1"/>
    <col min="13880" max="13881" width="1" style="1" customWidth="1"/>
    <col min="13882" max="13882" width="17.85546875" style="1" customWidth="1"/>
    <col min="13883" max="13884" width="1" style="1" customWidth="1"/>
    <col min="13885" max="13894" width="0" style="1" hidden="1" customWidth="1"/>
    <col min="13895" max="13896" width="1" style="1" customWidth="1"/>
    <col min="13897" max="13897" width="18.7109375" style="1" bestFit="1" customWidth="1"/>
    <col min="13898" max="13901" width="1" style="1" customWidth="1"/>
    <col min="13902" max="13902" width="16.85546875" style="1" bestFit="1" customWidth="1"/>
    <col min="13903" max="13904" width="1" style="1" customWidth="1"/>
    <col min="13905" max="13949" width="0" style="1" hidden="1" customWidth="1"/>
    <col min="13950" max="13951" width="1" style="1" customWidth="1"/>
    <col min="13952" max="13952" width="17.85546875" style="1" customWidth="1"/>
    <col min="13953" max="13954" width="1" style="1" customWidth="1"/>
    <col min="13955" max="13964" width="0" style="1" hidden="1" customWidth="1"/>
    <col min="13965" max="13966" width="1" style="1" customWidth="1"/>
    <col min="13967" max="13967" width="17.85546875" style="1" customWidth="1"/>
    <col min="13968" max="13970" width="1" style="1" customWidth="1"/>
    <col min="13971" max="13971" width="1.85546875" style="1" customWidth="1"/>
    <col min="13972" max="13972" width="11.28515625" style="1" bestFit="1" customWidth="1"/>
    <col min="13973" max="13973" width="10" style="1"/>
    <col min="13974" max="13974" width="10.42578125" style="1" bestFit="1" customWidth="1"/>
    <col min="13975" max="13977" width="10" style="1"/>
    <col min="13978" max="13978" width="13.42578125" style="1" bestFit="1" customWidth="1"/>
    <col min="13979" max="14080" width="10" style="1"/>
    <col min="14081" max="14083" width="0" style="1" hidden="1" customWidth="1"/>
    <col min="14084" max="14084" width="64.85546875" style="1" customWidth="1"/>
    <col min="14085" max="14085" width="7" style="1" customWidth="1"/>
    <col min="14086" max="14087" width="1" style="1" customWidth="1"/>
    <col min="14088" max="14088" width="15.140625" style="1" customWidth="1"/>
    <col min="14089" max="14090" width="1" style="1" customWidth="1"/>
    <col min="14091" max="14135" width="0" style="1" hidden="1" customWidth="1"/>
    <col min="14136" max="14137" width="1" style="1" customWidth="1"/>
    <col min="14138" max="14138" width="17.85546875" style="1" customWidth="1"/>
    <col min="14139" max="14140" width="1" style="1" customWidth="1"/>
    <col min="14141" max="14150" width="0" style="1" hidden="1" customWidth="1"/>
    <col min="14151" max="14152" width="1" style="1" customWidth="1"/>
    <col min="14153" max="14153" width="18.7109375" style="1" bestFit="1" customWidth="1"/>
    <col min="14154" max="14157" width="1" style="1" customWidth="1"/>
    <col min="14158" max="14158" width="16.85546875" style="1" bestFit="1" customWidth="1"/>
    <col min="14159" max="14160" width="1" style="1" customWidth="1"/>
    <col min="14161" max="14205" width="0" style="1" hidden="1" customWidth="1"/>
    <col min="14206" max="14207" width="1" style="1" customWidth="1"/>
    <col min="14208" max="14208" width="17.85546875" style="1" customWidth="1"/>
    <col min="14209" max="14210" width="1" style="1" customWidth="1"/>
    <col min="14211" max="14220" width="0" style="1" hidden="1" customWidth="1"/>
    <col min="14221" max="14222" width="1" style="1" customWidth="1"/>
    <col min="14223" max="14223" width="17.85546875" style="1" customWidth="1"/>
    <col min="14224" max="14226" width="1" style="1" customWidth="1"/>
    <col min="14227" max="14227" width="1.85546875" style="1" customWidth="1"/>
    <col min="14228" max="14228" width="11.28515625" style="1" bestFit="1" customWidth="1"/>
    <col min="14229" max="14229" width="10" style="1"/>
    <col min="14230" max="14230" width="10.42578125" style="1" bestFit="1" customWidth="1"/>
    <col min="14231" max="14233" width="10" style="1"/>
    <col min="14234" max="14234" width="13.42578125" style="1" bestFit="1" customWidth="1"/>
    <col min="14235" max="14336" width="10" style="1"/>
    <col min="14337" max="14339" width="0" style="1" hidden="1" customWidth="1"/>
    <col min="14340" max="14340" width="64.85546875" style="1" customWidth="1"/>
    <col min="14341" max="14341" width="7" style="1" customWidth="1"/>
    <col min="14342" max="14343" width="1" style="1" customWidth="1"/>
    <col min="14344" max="14344" width="15.140625" style="1" customWidth="1"/>
    <col min="14345" max="14346" width="1" style="1" customWidth="1"/>
    <col min="14347" max="14391" width="0" style="1" hidden="1" customWidth="1"/>
    <col min="14392" max="14393" width="1" style="1" customWidth="1"/>
    <col min="14394" max="14394" width="17.85546875" style="1" customWidth="1"/>
    <col min="14395" max="14396" width="1" style="1" customWidth="1"/>
    <col min="14397" max="14406" width="0" style="1" hidden="1" customWidth="1"/>
    <col min="14407" max="14408" width="1" style="1" customWidth="1"/>
    <col min="14409" max="14409" width="18.7109375" style="1" bestFit="1" customWidth="1"/>
    <col min="14410" max="14413" width="1" style="1" customWidth="1"/>
    <col min="14414" max="14414" width="16.85546875" style="1" bestFit="1" customWidth="1"/>
    <col min="14415" max="14416" width="1" style="1" customWidth="1"/>
    <col min="14417" max="14461" width="0" style="1" hidden="1" customWidth="1"/>
    <col min="14462" max="14463" width="1" style="1" customWidth="1"/>
    <col min="14464" max="14464" width="17.85546875" style="1" customWidth="1"/>
    <col min="14465" max="14466" width="1" style="1" customWidth="1"/>
    <col min="14467" max="14476" width="0" style="1" hidden="1" customWidth="1"/>
    <col min="14477" max="14478" width="1" style="1" customWidth="1"/>
    <col min="14479" max="14479" width="17.85546875" style="1" customWidth="1"/>
    <col min="14480" max="14482" width="1" style="1" customWidth="1"/>
    <col min="14483" max="14483" width="1.85546875" style="1" customWidth="1"/>
    <col min="14484" max="14484" width="11.28515625" style="1" bestFit="1" customWidth="1"/>
    <col min="14485" max="14485" width="10" style="1"/>
    <col min="14486" max="14486" width="10.42578125" style="1" bestFit="1" customWidth="1"/>
    <col min="14487" max="14489" width="10" style="1"/>
    <col min="14490" max="14490" width="13.42578125" style="1" bestFit="1" customWidth="1"/>
    <col min="14491" max="14592" width="10" style="1"/>
    <col min="14593" max="14595" width="0" style="1" hidden="1" customWidth="1"/>
    <col min="14596" max="14596" width="64.85546875" style="1" customWidth="1"/>
    <col min="14597" max="14597" width="7" style="1" customWidth="1"/>
    <col min="14598" max="14599" width="1" style="1" customWidth="1"/>
    <col min="14600" max="14600" width="15.140625" style="1" customWidth="1"/>
    <col min="14601" max="14602" width="1" style="1" customWidth="1"/>
    <col min="14603" max="14647" width="0" style="1" hidden="1" customWidth="1"/>
    <col min="14648" max="14649" width="1" style="1" customWidth="1"/>
    <col min="14650" max="14650" width="17.85546875" style="1" customWidth="1"/>
    <col min="14651" max="14652" width="1" style="1" customWidth="1"/>
    <col min="14653" max="14662" width="0" style="1" hidden="1" customWidth="1"/>
    <col min="14663" max="14664" width="1" style="1" customWidth="1"/>
    <col min="14665" max="14665" width="18.7109375" style="1" bestFit="1" customWidth="1"/>
    <col min="14666" max="14669" width="1" style="1" customWidth="1"/>
    <col min="14670" max="14670" width="16.85546875" style="1" bestFit="1" customWidth="1"/>
    <col min="14671" max="14672" width="1" style="1" customWidth="1"/>
    <col min="14673" max="14717" width="0" style="1" hidden="1" customWidth="1"/>
    <col min="14718" max="14719" width="1" style="1" customWidth="1"/>
    <col min="14720" max="14720" width="17.85546875" style="1" customWidth="1"/>
    <col min="14721" max="14722" width="1" style="1" customWidth="1"/>
    <col min="14723" max="14732" width="0" style="1" hidden="1" customWidth="1"/>
    <col min="14733" max="14734" width="1" style="1" customWidth="1"/>
    <col min="14735" max="14735" width="17.85546875" style="1" customWidth="1"/>
    <col min="14736" max="14738" width="1" style="1" customWidth="1"/>
    <col min="14739" max="14739" width="1.85546875" style="1" customWidth="1"/>
    <col min="14740" max="14740" width="11.28515625" style="1" bestFit="1" customWidth="1"/>
    <col min="14741" max="14741" width="10" style="1"/>
    <col min="14742" max="14742" width="10.42578125" style="1" bestFit="1" customWidth="1"/>
    <col min="14743" max="14745" width="10" style="1"/>
    <col min="14746" max="14746" width="13.42578125" style="1" bestFit="1" customWidth="1"/>
    <col min="14747" max="14848" width="10" style="1"/>
    <col min="14849" max="14851" width="0" style="1" hidden="1" customWidth="1"/>
    <col min="14852" max="14852" width="64.85546875" style="1" customWidth="1"/>
    <col min="14853" max="14853" width="7" style="1" customWidth="1"/>
    <col min="14854" max="14855" width="1" style="1" customWidth="1"/>
    <col min="14856" max="14856" width="15.140625" style="1" customWidth="1"/>
    <col min="14857" max="14858" width="1" style="1" customWidth="1"/>
    <col min="14859" max="14903" width="0" style="1" hidden="1" customWidth="1"/>
    <col min="14904" max="14905" width="1" style="1" customWidth="1"/>
    <col min="14906" max="14906" width="17.85546875" style="1" customWidth="1"/>
    <col min="14907" max="14908" width="1" style="1" customWidth="1"/>
    <col min="14909" max="14918" width="0" style="1" hidden="1" customWidth="1"/>
    <col min="14919" max="14920" width="1" style="1" customWidth="1"/>
    <col min="14921" max="14921" width="18.7109375" style="1" bestFit="1" customWidth="1"/>
    <col min="14922" max="14925" width="1" style="1" customWidth="1"/>
    <col min="14926" max="14926" width="16.85546875" style="1" bestFit="1" customWidth="1"/>
    <col min="14927" max="14928" width="1" style="1" customWidth="1"/>
    <col min="14929" max="14973" width="0" style="1" hidden="1" customWidth="1"/>
    <col min="14974" max="14975" width="1" style="1" customWidth="1"/>
    <col min="14976" max="14976" width="17.85546875" style="1" customWidth="1"/>
    <col min="14977" max="14978" width="1" style="1" customWidth="1"/>
    <col min="14979" max="14988" width="0" style="1" hidden="1" customWidth="1"/>
    <col min="14989" max="14990" width="1" style="1" customWidth="1"/>
    <col min="14991" max="14991" width="17.85546875" style="1" customWidth="1"/>
    <col min="14992" max="14994" width="1" style="1" customWidth="1"/>
    <col min="14995" max="14995" width="1.85546875" style="1" customWidth="1"/>
    <col min="14996" max="14996" width="11.28515625" style="1" bestFit="1" customWidth="1"/>
    <col min="14997" max="14997" width="10" style="1"/>
    <col min="14998" max="14998" width="10.42578125" style="1" bestFit="1" customWidth="1"/>
    <col min="14999" max="15001" width="10" style="1"/>
    <col min="15002" max="15002" width="13.42578125" style="1" bestFit="1" customWidth="1"/>
    <col min="15003" max="15104" width="10" style="1"/>
    <col min="15105" max="15107" width="0" style="1" hidden="1" customWidth="1"/>
    <col min="15108" max="15108" width="64.85546875" style="1" customWidth="1"/>
    <col min="15109" max="15109" width="7" style="1" customWidth="1"/>
    <col min="15110" max="15111" width="1" style="1" customWidth="1"/>
    <col min="15112" max="15112" width="15.140625" style="1" customWidth="1"/>
    <col min="15113" max="15114" width="1" style="1" customWidth="1"/>
    <col min="15115" max="15159" width="0" style="1" hidden="1" customWidth="1"/>
    <col min="15160" max="15161" width="1" style="1" customWidth="1"/>
    <col min="15162" max="15162" width="17.85546875" style="1" customWidth="1"/>
    <col min="15163" max="15164" width="1" style="1" customWidth="1"/>
    <col min="15165" max="15174" width="0" style="1" hidden="1" customWidth="1"/>
    <col min="15175" max="15176" width="1" style="1" customWidth="1"/>
    <col min="15177" max="15177" width="18.7109375" style="1" bestFit="1" customWidth="1"/>
    <col min="15178" max="15181" width="1" style="1" customWidth="1"/>
    <col min="15182" max="15182" width="16.85546875" style="1" bestFit="1" customWidth="1"/>
    <col min="15183" max="15184" width="1" style="1" customWidth="1"/>
    <col min="15185" max="15229" width="0" style="1" hidden="1" customWidth="1"/>
    <col min="15230" max="15231" width="1" style="1" customWidth="1"/>
    <col min="15232" max="15232" width="17.85546875" style="1" customWidth="1"/>
    <col min="15233" max="15234" width="1" style="1" customWidth="1"/>
    <col min="15235" max="15244" width="0" style="1" hidden="1" customWidth="1"/>
    <col min="15245" max="15246" width="1" style="1" customWidth="1"/>
    <col min="15247" max="15247" width="17.85546875" style="1" customWidth="1"/>
    <col min="15248" max="15250" width="1" style="1" customWidth="1"/>
    <col min="15251" max="15251" width="1.85546875" style="1" customWidth="1"/>
    <col min="15252" max="15252" width="11.28515625" style="1" bestFit="1" customWidth="1"/>
    <col min="15253" max="15253" width="10" style="1"/>
    <col min="15254" max="15254" width="10.42578125" style="1" bestFit="1" customWidth="1"/>
    <col min="15255" max="15257" width="10" style="1"/>
    <col min="15258" max="15258" width="13.42578125" style="1" bestFit="1" customWidth="1"/>
    <col min="15259" max="15360" width="10" style="1"/>
    <col min="15361" max="15363" width="0" style="1" hidden="1" customWidth="1"/>
    <col min="15364" max="15364" width="64.85546875" style="1" customWidth="1"/>
    <col min="15365" max="15365" width="7" style="1" customWidth="1"/>
    <col min="15366" max="15367" width="1" style="1" customWidth="1"/>
    <col min="15368" max="15368" width="15.140625" style="1" customWidth="1"/>
    <col min="15369" max="15370" width="1" style="1" customWidth="1"/>
    <col min="15371" max="15415" width="0" style="1" hidden="1" customWidth="1"/>
    <col min="15416" max="15417" width="1" style="1" customWidth="1"/>
    <col min="15418" max="15418" width="17.85546875" style="1" customWidth="1"/>
    <col min="15419" max="15420" width="1" style="1" customWidth="1"/>
    <col min="15421" max="15430" width="0" style="1" hidden="1" customWidth="1"/>
    <col min="15431" max="15432" width="1" style="1" customWidth="1"/>
    <col min="15433" max="15433" width="18.7109375" style="1" bestFit="1" customWidth="1"/>
    <col min="15434" max="15437" width="1" style="1" customWidth="1"/>
    <col min="15438" max="15438" width="16.85546875" style="1" bestFit="1" customWidth="1"/>
    <col min="15439" max="15440" width="1" style="1" customWidth="1"/>
    <col min="15441" max="15485" width="0" style="1" hidden="1" customWidth="1"/>
    <col min="15486" max="15487" width="1" style="1" customWidth="1"/>
    <col min="15488" max="15488" width="17.85546875" style="1" customWidth="1"/>
    <col min="15489" max="15490" width="1" style="1" customWidth="1"/>
    <col min="15491" max="15500" width="0" style="1" hidden="1" customWidth="1"/>
    <col min="15501" max="15502" width="1" style="1" customWidth="1"/>
    <col min="15503" max="15503" width="17.85546875" style="1" customWidth="1"/>
    <col min="15504" max="15506" width="1" style="1" customWidth="1"/>
    <col min="15507" max="15507" width="1.85546875" style="1" customWidth="1"/>
    <col min="15508" max="15508" width="11.28515625" style="1" bestFit="1" customWidth="1"/>
    <col min="15509" max="15509" width="10" style="1"/>
    <col min="15510" max="15510" width="10.42578125" style="1" bestFit="1" customWidth="1"/>
    <col min="15511" max="15513" width="10" style="1"/>
    <col min="15514" max="15514" width="13.42578125" style="1" bestFit="1" customWidth="1"/>
    <col min="15515" max="15616" width="10" style="1"/>
    <col min="15617" max="15619" width="0" style="1" hidden="1" customWidth="1"/>
    <col min="15620" max="15620" width="64.85546875" style="1" customWidth="1"/>
    <col min="15621" max="15621" width="7" style="1" customWidth="1"/>
    <col min="15622" max="15623" width="1" style="1" customWidth="1"/>
    <col min="15624" max="15624" width="15.140625" style="1" customWidth="1"/>
    <col min="15625" max="15626" width="1" style="1" customWidth="1"/>
    <col min="15627" max="15671" width="0" style="1" hidden="1" customWidth="1"/>
    <col min="15672" max="15673" width="1" style="1" customWidth="1"/>
    <col min="15674" max="15674" width="17.85546875" style="1" customWidth="1"/>
    <col min="15675" max="15676" width="1" style="1" customWidth="1"/>
    <col min="15677" max="15686" width="0" style="1" hidden="1" customWidth="1"/>
    <col min="15687" max="15688" width="1" style="1" customWidth="1"/>
    <col min="15689" max="15689" width="18.7109375" style="1" bestFit="1" customWidth="1"/>
    <col min="15690" max="15693" width="1" style="1" customWidth="1"/>
    <col min="15694" max="15694" width="16.85546875" style="1" bestFit="1" customWidth="1"/>
    <col min="15695" max="15696" width="1" style="1" customWidth="1"/>
    <col min="15697" max="15741" width="0" style="1" hidden="1" customWidth="1"/>
    <col min="15742" max="15743" width="1" style="1" customWidth="1"/>
    <col min="15744" max="15744" width="17.85546875" style="1" customWidth="1"/>
    <col min="15745" max="15746" width="1" style="1" customWidth="1"/>
    <col min="15747" max="15756" width="0" style="1" hidden="1" customWidth="1"/>
    <col min="15757" max="15758" width="1" style="1" customWidth="1"/>
    <col min="15759" max="15759" width="17.85546875" style="1" customWidth="1"/>
    <col min="15760" max="15762" width="1" style="1" customWidth="1"/>
    <col min="15763" max="15763" width="1.85546875" style="1" customWidth="1"/>
    <col min="15764" max="15764" width="11.28515625" style="1" bestFit="1" customWidth="1"/>
    <col min="15765" max="15765" width="10" style="1"/>
    <col min="15766" max="15766" width="10.42578125" style="1" bestFit="1" customWidth="1"/>
    <col min="15767" max="15769" width="10" style="1"/>
    <col min="15770" max="15770" width="13.42578125" style="1" bestFit="1" customWidth="1"/>
    <col min="15771" max="15872" width="10" style="1"/>
    <col min="15873" max="15875" width="0" style="1" hidden="1" customWidth="1"/>
    <col min="15876" max="15876" width="64.85546875" style="1" customWidth="1"/>
    <col min="15877" max="15877" width="7" style="1" customWidth="1"/>
    <col min="15878" max="15879" width="1" style="1" customWidth="1"/>
    <col min="15880" max="15880" width="15.140625" style="1" customWidth="1"/>
    <col min="15881" max="15882" width="1" style="1" customWidth="1"/>
    <col min="15883" max="15927" width="0" style="1" hidden="1" customWidth="1"/>
    <col min="15928" max="15929" width="1" style="1" customWidth="1"/>
    <col min="15930" max="15930" width="17.85546875" style="1" customWidth="1"/>
    <col min="15931" max="15932" width="1" style="1" customWidth="1"/>
    <col min="15933" max="15942" width="0" style="1" hidden="1" customWidth="1"/>
    <col min="15943" max="15944" width="1" style="1" customWidth="1"/>
    <col min="15945" max="15945" width="18.7109375" style="1" bestFit="1" customWidth="1"/>
    <col min="15946" max="15949" width="1" style="1" customWidth="1"/>
    <col min="15950" max="15950" width="16.85546875" style="1" bestFit="1" customWidth="1"/>
    <col min="15951" max="15952" width="1" style="1" customWidth="1"/>
    <col min="15953" max="15997" width="0" style="1" hidden="1" customWidth="1"/>
    <col min="15998" max="15999" width="1" style="1" customWidth="1"/>
    <col min="16000" max="16000" width="17.85546875" style="1" customWidth="1"/>
    <col min="16001" max="16002" width="1" style="1" customWidth="1"/>
    <col min="16003" max="16012" width="0" style="1" hidden="1" customWidth="1"/>
    <col min="16013" max="16014" width="1" style="1" customWidth="1"/>
    <col min="16015" max="16015" width="17.85546875" style="1" customWidth="1"/>
    <col min="16016" max="16018" width="1" style="1" customWidth="1"/>
    <col min="16019" max="16019" width="1.85546875" style="1" customWidth="1"/>
    <col min="16020" max="16020" width="11.28515625" style="1" bestFit="1" customWidth="1"/>
    <col min="16021" max="16021" width="10" style="1"/>
    <col min="16022" max="16022" width="10.42578125" style="1" bestFit="1" customWidth="1"/>
    <col min="16023" max="16025" width="10" style="1"/>
    <col min="16026" max="16026" width="13.42578125" style="1" bestFit="1" customWidth="1"/>
    <col min="16027" max="16128" width="10" style="1"/>
    <col min="16129" max="16131" width="0" style="1" hidden="1" customWidth="1"/>
    <col min="16132" max="16132" width="64.85546875" style="1" customWidth="1"/>
    <col min="16133" max="16133" width="7" style="1" customWidth="1"/>
    <col min="16134" max="16135" width="1" style="1" customWidth="1"/>
    <col min="16136" max="16136" width="15.140625" style="1" customWidth="1"/>
    <col min="16137" max="16138" width="1" style="1" customWidth="1"/>
    <col min="16139" max="16183" width="0" style="1" hidden="1" customWidth="1"/>
    <col min="16184" max="16185" width="1" style="1" customWidth="1"/>
    <col min="16186" max="16186" width="17.85546875" style="1" customWidth="1"/>
    <col min="16187" max="16188" width="1" style="1" customWidth="1"/>
    <col min="16189" max="16198" width="0" style="1" hidden="1" customWidth="1"/>
    <col min="16199" max="16200" width="1" style="1" customWidth="1"/>
    <col min="16201" max="16201" width="18.7109375" style="1" bestFit="1" customWidth="1"/>
    <col min="16202" max="16205" width="1" style="1" customWidth="1"/>
    <col min="16206" max="16206" width="16.85546875" style="1" bestFit="1" customWidth="1"/>
    <col min="16207" max="16208" width="1" style="1" customWidth="1"/>
    <col min="16209" max="16253" width="0" style="1" hidden="1" customWidth="1"/>
    <col min="16254" max="16255" width="1" style="1" customWidth="1"/>
    <col min="16256" max="16256" width="17.85546875" style="1" customWidth="1"/>
    <col min="16257" max="16258" width="1" style="1" customWidth="1"/>
    <col min="16259" max="16268" width="0" style="1" hidden="1" customWidth="1"/>
    <col min="16269" max="16270" width="1" style="1" customWidth="1"/>
    <col min="16271" max="16271" width="17.85546875" style="1" customWidth="1"/>
    <col min="16272" max="16274" width="1" style="1" customWidth="1"/>
    <col min="16275" max="16275" width="1.85546875" style="1" customWidth="1"/>
    <col min="16276" max="16276" width="11.28515625" style="1" bestFit="1" customWidth="1"/>
    <col min="16277" max="16277" width="10" style="1"/>
    <col min="16278" max="16278" width="10.42578125" style="1" bestFit="1" customWidth="1"/>
    <col min="16279" max="16281" width="10" style="1"/>
    <col min="16282" max="16282" width="13.42578125" style="1" bestFit="1" customWidth="1"/>
    <col min="16283" max="16384" width="10" style="1"/>
  </cols>
  <sheetData>
    <row r="1" spans="4:148" x14ac:dyDescent="0.2">
      <c r="CC1" s="1">
        <f ca="1">+BZ:EM</f>
        <v>0</v>
      </c>
    </row>
    <row r="2" spans="4:148" ht="3" customHeight="1" x14ac:dyDescent="0.2"/>
    <row r="4" spans="4:148" x14ac:dyDescent="0.2">
      <c r="D4" s="14"/>
      <c r="E4" s="141"/>
      <c r="F4" s="14"/>
      <c r="G4" s="14"/>
    </row>
    <row r="5" spans="4:148" x14ac:dyDescent="0.2">
      <c r="E5" s="141"/>
      <c r="F5" s="14"/>
      <c r="G5" s="14"/>
    </row>
    <row r="7" spans="4:148" ht="15.75" customHeight="1" x14ac:dyDescent="0.25">
      <c r="D7" s="422" t="s">
        <v>491</v>
      </c>
      <c r="E7" s="141"/>
      <c r="F7" s="14"/>
      <c r="G7" s="14"/>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EM7" s="3"/>
    </row>
    <row r="8" spans="4:148" ht="12.75" customHeight="1" x14ac:dyDescent="0.2">
      <c r="D8" s="167"/>
      <c r="E8" s="503"/>
      <c r="F8" s="504"/>
      <c r="G8" s="168"/>
      <c r="H8" s="505" t="str">
        <f>[31]summary!H8</f>
        <v>2020/21</v>
      </c>
      <c r="I8" s="506"/>
      <c r="J8" s="506"/>
      <c r="K8" s="506"/>
      <c r="L8" s="506"/>
      <c r="M8" s="506"/>
      <c r="N8" s="506"/>
      <c r="O8" s="506"/>
      <c r="P8" s="506"/>
      <c r="Q8" s="506"/>
      <c r="R8" s="506"/>
      <c r="S8" s="506"/>
      <c r="T8" s="506"/>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c r="AT8" s="506"/>
      <c r="AU8" s="506"/>
      <c r="AV8" s="506"/>
      <c r="AW8" s="506"/>
      <c r="AX8" s="506"/>
      <c r="AY8" s="506"/>
      <c r="AZ8" s="506"/>
      <c r="BA8" s="506"/>
      <c r="BB8" s="506"/>
      <c r="BC8" s="506"/>
      <c r="BD8" s="506"/>
      <c r="BE8" s="506"/>
      <c r="BF8" s="506"/>
      <c r="BG8" s="506"/>
      <c r="BH8" s="506"/>
      <c r="BI8" s="506"/>
      <c r="BJ8" s="506"/>
      <c r="BK8" s="506"/>
      <c r="BL8" s="506"/>
      <c r="BM8" s="506"/>
      <c r="BN8" s="506"/>
      <c r="BO8" s="506"/>
      <c r="BP8" s="506"/>
      <c r="BQ8" s="506"/>
      <c r="BR8" s="506"/>
      <c r="BS8" s="506"/>
      <c r="BT8" s="506"/>
      <c r="BU8" s="506"/>
      <c r="BV8" s="507"/>
      <c r="BW8" s="507"/>
      <c r="BX8" s="508"/>
      <c r="BY8" s="507"/>
      <c r="BZ8" s="8" t="str">
        <f>[31]summary!BZ8</f>
        <v>2019/20</v>
      </c>
      <c r="CA8" s="358"/>
      <c r="CB8" s="358"/>
      <c r="CC8" s="358"/>
      <c r="CD8" s="358"/>
      <c r="CE8" s="358"/>
      <c r="CF8" s="358"/>
      <c r="CG8" s="358"/>
      <c r="CH8" s="358"/>
      <c r="CI8" s="358"/>
      <c r="CJ8" s="358"/>
      <c r="CK8" s="358"/>
      <c r="CL8" s="358"/>
      <c r="CM8" s="358"/>
      <c r="CN8" s="358"/>
      <c r="CO8" s="358"/>
      <c r="CP8" s="358"/>
      <c r="CQ8" s="358"/>
      <c r="CR8" s="358"/>
      <c r="CS8" s="358"/>
      <c r="CT8" s="358"/>
      <c r="CU8" s="358"/>
      <c r="CV8" s="358"/>
      <c r="CW8" s="358"/>
      <c r="CX8" s="358"/>
      <c r="CY8" s="358"/>
      <c r="CZ8" s="358"/>
      <c r="DA8" s="358"/>
      <c r="DB8" s="358"/>
      <c r="DC8" s="358"/>
      <c r="DD8" s="358"/>
      <c r="DE8" s="358"/>
      <c r="DF8" s="358"/>
      <c r="DG8" s="358"/>
      <c r="DH8" s="358"/>
      <c r="DI8" s="358"/>
      <c r="DJ8" s="358"/>
      <c r="DK8" s="358"/>
      <c r="DL8" s="358"/>
      <c r="DM8" s="358"/>
      <c r="DN8" s="358"/>
      <c r="DO8" s="358"/>
      <c r="DP8" s="358"/>
      <c r="DQ8" s="358"/>
      <c r="DR8" s="358"/>
      <c r="DS8" s="358"/>
      <c r="DT8" s="358"/>
      <c r="DU8" s="358"/>
      <c r="DV8" s="358"/>
      <c r="DW8" s="358"/>
      <c r="DX8" s="358"/>
      <c r="DY8" s="358"/>
      <c r="DZ8" s="358"/>
      <c r="EA8" s="358"/>
      <c r="EB8" s="358"/>
      <c r="EC8" s="358"/>
      <c r="ED8" s="358"/>
      <c r="EE8" s="358"/>
      <c r="EF8" s="358"/>
      <c r="EG8" s="358"/>
      <c r="EH8" s="358"/>
      <c r="EI8" s="358"/>
      <c r="EJ8" s="358"/>
      <c r="EK8" s="358"/>
      <c r="EL8" s="358"/>
      <c r="EM8" s="358"/>
      <c r="EN8" s="507"/>
      <c r="EO8" s="509"/>
      <c r="EP8" s="468"/>
    </row>
    <row r="9" spans="4:148" ht="12.75" customHeight="1" x14ac:dyDescent="0.2">
      <c r="D9" s="93"/>
      <c r="E9" s="141"/>
      <c r="F9" s="413"/>
      <c r="G9" s="100"/>
      <c r="H9" s="41" t="str">
        <f>[31]foreigndebt!G9</f>
        <v>Revised</v>
      </c>
      <c r="I9" s="41"/>
      <c r="J9" s="41"/>
      <c r="K9" s="411"/>
      <c r="L9" s="41"/>
      <c r="M9" s="41" t="s">
        <v>4</v>
      </c>
      <c r="N9" s="41"/>
      <c r="O9" s="41"/>
      <c r="P9" s="42"/>
      <c r="Q9" s="41"/>
      <c r="R9" s="41" t="s">
        <v>5</v>
      </c>
      <c r="S9" s="41"/>
      <c r="T9" s="41"/>
      <c r="U9" s="42"/>
      <c r="V9" s="41"/>
      <c r="W9" s="41" t="s">
        <v>6</v>
      </c>
      <c r="X9" s="41"/>
      <c r="Y9" s="41"/>
      <c r="Z9" s="42"/>
      <c r="AA9" s="41"/>
      <c r="AB9" s="41" t="s">
        <v>7</v>
      </c>
      <c r="AC9" s="41"/>
      <c r="AD9" s="41"/>
      <c r="AE9" s="42"/>
      <c r="AF9" s="41"/>
      <c r="AG9" s="41" t="s">
        <v>8</v>
      </c>
      <c r="AH9" s="41"/>
      <c r="AI9" s="41"/>
      <c r="AJ9" s="42"/>
      <c r="AK9" s="41"/>
      <c r="AL9" s="41" t="s">
        <v>9</v>
      </c>
      <c r="AM9" s="41"/>
      <c r="AN9" s="41"/>
      <c r="AO9" s="42"/>
      <c r="AP9" s="41"/>
      <c r="AQ9" s="41" t="s">
        <v>10</v>
      </c>
      <c r="AR9" s="41"/>
      <c r="AS9" s="41"/>
      <c r="AT9" s="42"/>
      <c r="AU9" s="41"/>
      <c r="AV9" s="41" t="s">
        <v>11</v>
      </c>
      <c r="AW9" s="41"/>
      <c r="AX9" s="41"/>
      <c r="AY9" s="42"/>
      <c r="AZ9" s="41"/>
      <c r="BA9" s="41" t="s">
        <v>12</v>
      </c>
      <c r="BB9" s="41"/>
      <c r="BC9" s="41"/>
      <c r="BD9" s="42"/>
      <c r="BE9" s="41"/>
      <c r="BF9" s="41" t="s">
        <v>13</v>
      </c>
      <c r="BG9" s="41"/>
      <c r="BH9" s="41"/>
      <c r="BI9" s="42"/>
      <c r="BJ9" s="41"/>
      <c r="BK9" s="41" t="s">
        <v>14</v>
      </c>
      <c r="BL9" s="41"/>
      <c r="BM9" s="41"/>
      <c r="BN9" s="42"/>
      <c r="BO9" s="41"/>
      <c r="BP9" s="41" t="s">
        <v>15</v>
      </c>
      <c r="BQ9" s="41"/>
      <c r="BR9" s="41"/>
      <c r="BS9" s="42"/>
      <c r="BT9" s="41"/>
      <c r="BU9" s="41" t="s">
        <v>16</v>
      </c>
      <c r="BV9" s="41"/>
      <c r="BW9" s="41"/>
      <c r="BX9" s="42"/>
      <c r="BY9" s="41"/>
      <c r="BZ9" s="41" t="str">
        <f>[31]foreigndebt!BY9</f>
        <v>Preliminary</v>
      </c>
      <c r="CA9" s="41"/>
      <c r="CB9" s="41"/>
      <c r="CC9" s="42"/>
      <c r="CD9" s="41"/>
      <c r="CE9" s="41" t="s">
        <v>4</v>
      </c>
      <c r="CF9" s="41"/>
      <c r="CG9" s="41"/>
      <c r="CH9" s="42"/>
      <c r="CI9" s="41"/>
      <c r="CJ9" s="41" t="s">
        <v>5</v>
      </c>
      <c r="CK9" s="41"/>
      <c r="CL9" s="41"/>
      <c r="CM9" s="42"/>
      <c r="CN9" s="41"/>
      <c r="CO9" s="41" t="s">
        <v>6</v>
      </c>
      <c r="CP9" s="41"/>
      <c r="CQ9" s="41"/>
      <c r="CR9" s="42"/>
      <c r="CS9" s="41"/>
      <c r="CT9" s="41" t="s">
        <v>7</v>
      </c>
      <c r="CU9" s="41"/>
      <c r="CV9" s="41"/>
      <c r="CW9" s="42"/>
      <c r="CX9" s="41"/>
      <c r="CY9" s="41" t="s">
        <v>8</v>
      </c>
      <c r="CZ9" s="41"/>
      <c r="DA9" s="41"/>
      <c r="DB9" s="42"/>
      <c r="DC9" s="41"/>
      <c r="DD9" s="41" t="s">
        <v>9</v>
      </c>
      <c r="DE9" s="41"/>
      <c r="DF9" s="41"/>
      <c r="DG9" s="42"/>
      <c r="DH9" s="41"/>
      <c r="DI9" s="41" t="s">
        <v>10</v>
      </c>
      <c r="DJ9" s="41"/>
      <c r="DK9" s="41"/>
      <c r="DL9" s="42"/>
      <c r="DM9" s="41"/>
      <c r="DN9" s="41" t="s">
        <v>11</v>
      </c>
      <c r="DO9" s="41"/>
      <c r="DP9" s="41"/>
      <c r="DQ9" s="42"/>
      <c r="DR9" s="41"/>
      <c r="DS9" s="41" t="s">
        <v>12</v>
      </c>
      <c r="DT9" s="41"/>
      <c r="DU9" s="41"/>
      <c r="DV9" s="42"/>
      <c r="DW9" s="41"/>
      <c r="DX9" s="41" t="s">
        <v>13</v>
      </c>
      <c r="DY9" s="41"/>
      <c r="DZ9" s="41"/>
      <c r="EA9" s="42"/>
      <c r="EB9" s="41"/>
      <c r="EC9" s="41" t="s">
        <v>14</v>
      </c>
      <c r="ED9" s="41"/>
      <c r="EE9" s="41"/>
      <c r="EF9" s="42"/>
      <c r="EG9" s="41"/>
      <c r="EH9" s="41" t="s">
        <v>15</v>
      </c>
      <c r="EI9" s="41"/>
      <c r="EJ9" s="41"/>
      <c r="EK9" s="42"/>
      <c r="EL9" s="41"/>
      <c r="EM9" s="41" t="s">
        <v>16</v>
      </c>
      <c r="EN9" s="41"/>
      <c r="EO9" s="510"/>
      <c r="EP9" s="22"/>
    </row>
    <row r="10" spans="4:148" ht="12.75" customHeight="1" x14ac:dyDescent="0.2">
      <c r="D10" s="364" t="s">
        <v>19</v>
      </c>
      <c r="E10" s="511"/>
      <c r="F10" s="432"/>
      <c r="G10" s="201"/>
      <c r="H10" s="105" t="s">
        <v>20</v>
      </c>
      <c r="I10" s="105"/>
      <c r="J10" s="26"/>
      <c r="K10" s="366"/>
      <c r="L10" s="105"/>
      <c r="M10" s="365"/>
      <c r="N10" s="365"/>
      <c r="O10" s="365"/>
      <c r="P10" s="432"/>
      <c r="Q10" s="365"/>
      <c r="R10" s="365"/>
      <c r="S10" s="365"/>
      <c r="T10" s="365"/>
      <c r="U10" s="432"/>
      <c r="V10" s="365"/>
      <c r="W10" s="365"/>
      <c r="X10" s="365"/>
      <c r="Y10" s="365"/>
      <c r="Z10" s="432"/>
      <c r="AA10" s="365"/>
      <c r="AB10" s="365"/>
      <c r="AC10" s="365"/>
      <c r="AD10" s="365"/>
      <c r="AE10" s="432"/>
      <c r="AF10" s="365"/>
      <c r="AG10" s="365"/>
      <c r="AH10" s="365"/>
      <c r="AI10" s="365"/>
      <c r="AJ10" s="432"/>
      <c r="AK10" s="365"/>
      <c r="AL10" s="365"/>
      <c r="AM10" s="365"/>
      <c r="AN10" s="365"/>
      <c r="AO10" s="432"/>
      <c r="AP10" s="365"/>
      <c r="AQ10" s="365"/>
      <c r="AR10" s="365"/>
      <c r="AS10" s="365"/>
      <c r="AT10" s="432"/>
      <c r="AU10" s="365"/>
      <c r="AV10" s="365"/>
      <c r="AW10" s="365"/>
      <c r="AX10" s="365"/>
      <c r="AY10" s="432"/>
      <c r="AZ10" s="365"/>
      <c r="BA10" s="365"/>
      <c r="BB10" s="365"/>
      <c r="BC10" s="365"/>
      <c r="BD10" s="432"/>
      <c r="BE10" s="365"/>
      <c r="BF10" s="365"/>
      <c r="BG10" s="365"/>
      <c r="BH10" s="365"/>
      <c r="BI10" s="432"/>
      <c r="BJ10" s="365"/>
      <c r="BK10" s="365"/>
      <c r="BL10" s="365"/>
      <c r="BM10" s="365"/>
      <c r="BN10" s="432"/>
      <c r="BO10" s="365"/>
      <c r="BP10" s="365"/>
      <c r="BQ10" s="365"/>
      <c r="BR10" s="365"/>
      <c r="BS10" s="432"/>
      <c r="BT10" s="365"/>
      <c r="BU10" s="365"/>
      <c r="BV10" s="365"/>
      <c r="BW10" s="365"/>
      <c r="BX10" s="432"/>
      <c r="BY10" s="365"/>
      <c r="BZ10" s="105" t="s">
        <v>21</v>
      </c>
      <c r="CA10" s="105"/>
      <c r="CB10" s="105"/>
      <c r="CC10" s="366"/>
      <c r="CD10" s="105"/>
      <c r="CE10" s="365"/>
      <c r="CF10" s="365"/>
      <c r="CG10" s="365"/>
      <c r="CH10" s="432"/>
      <c r="CI10" s="365"/>
      <c r="CJ10" s="365"/>
      <c r="CK10" s="365"/>
      <c r="CL10" s="365"/>
      <c r="CM10" s="432"/>
      <c r="CN10" s="365"/>
      <c r="CO10" s="365"/>
      <c r="CP10" s="365"/>
      <c r="CQ10" s="365"/>
      <c r="CR10" s="432"/>
      <c r="CS10" s="365"/>
      <c r="CT10" s="365"/>
      <c r="CU10" s="365"/>
      <c r="CV10" s="365"/>
      <c r="CW10" s="432"/>
      <c r="CX10" s="365"/>
      <c r="CY10" s="365"/>
      <c r="CZ10" s="365"/>
      <c r="DA10" s="365"/>
      <c r="DB10" s="432"/>
      <c r="DC10" s="365"/>
      <c r="DD10" s="365"/>
      <c r="DE10" s="365"/>
      <c r="DF10" s="365"/>
      <c r="DG10" s="432"/>
      <c r="DH10" s="365"/>
      <c r="DI10" s="365"/>
      <c r="DJ10" s="365"/>
      <c r="DK10" s="365"/>
      <c r="DL10" s="432"/>
      <c r="DM10" s="365"/>
      <c r="DN10" s="365"/>
      <c r="DO10" s="365"/>
      <c r="DP10" s="365"/>
      <c r="DQ10" s="432"/>
      <c r="DR10" s="365"/>
      <c r="DS10" s="365"/>
      <c r="DT10" s="365"/>
      <c r="DU10" s="365"/>
      <c r="DV10" s="432"/>
      <c r="DW10" s="365"/>
      <c r="DX10" s="365"/>
      <c r="DY10" s="365"/>
      <c r="DZ10" s="365"/>
      <c r="EA10" s="432"/>
      <c r="EB10" s="365"/>
      <c r="EC10" s="365"/>
      <c r="ED10" s="365"/>
      <c r="EE10" s="365"/>
      <c r="EF10" s="432"/>
      <c r="EG10" s="365"/>
      <c r="EH10" s="365"/>
      <c r="EI10" s="365"/>
      <c r="EJ10" s="365"/>
      <c r="EK10" s="432"/>
      <c r="EL10" s="365"/>
      <c r="EM10" s="365"/>
      <c r="EN10" s="365"/>
      <c r="EO10" s="501"/>
      <c r="EP10" s="468"/>
    </row>
    <row r="11" spans="4:148" x14ac:dyDescent="0.2">
      <c r="D11" s="13"/>
      <c r="F11" s="198"/>
      <c r="K11" s="198"/>
      <c r="P11" s="198"/>
      <c r="U11" s="198"/>
      <c r="Z11" s="198"/>
      <c r="AE11" s="198"/>
      <c r="AJ11" s="198"/>
      <c r="AO11" s="198"/>
      <c r="AT11" s="198"/>
      <c r="AY11" s="198"/>
      <c r="BD11" s="198"/>
      <c r="BI11" s="198"/>
      <c r="BN11" s="198"/>
      <c r="BS11" s="198"/>
      <c r="BX11" s="198"/>
      <c r="CC11" s="198"/>
      <c r="CH11" s="198"/>
      <c r="CM11" s="198"/>
      <c r="CR11" s="198"/>
      <c r="CW11" s="198"/>
      <c r="DB11" s="198"/>
      <c r="DG11" s="198"/>
      <c r="DL11" s="198"/>
      <c r="DQ11" s="198"/>
      <c r="DV11" s="198"/>
      <c r="EA11" s="198"/>
      <c r="EF11" s="198"/>
      <c r="EK11" s="198"/>
      <c r="EM11" s="101"/>
      <c r="EP11" s="13"/>
    </row>
    <row r="12" spans="4:148" s="14" customFormat="1" x14ac:dyDescent="0.2">
      <c r="D12" s="93" t="s">
        <v>492</v>
      </c>
      <c r="E12" s="85" t="s">
        <v>60</v>
      </c>
      <c r="F12" s="198"/>
      <c r="G12" s="1"/>
      <c r="H12" s="336">
        <f>+H13-H17</f>
        <v>40467668</v>
      </c>
      <c r="I12" s="336"/>
      <c r="J12" s="336"/>
      <c r="K12" s="335"/>
      <c r="L12" s="336"/>
      <c r="M12" s="336">
        <f>+M13-M17</f>
        <v>-18484170</v>
      </c>
      <c r="N12" s="336"/>
      <c r="O12" s="336"/>
      <c r="P12" s="335"/>
      <c r="Q12" s="336"/>
      <c r="R12" s="336">
        <f>+R13-R17</f>
        <v>3349854</v>
      </c>
      <c r="S12" s="336"/>
      <c r="T12" s="336"/>
      <c r="U12" s="335"/>
      <c r="V12" s="336"/>
      <c r="W12" s="336">
        <f>+W13-W17</f>
        <v>-22973000</v>
      </c>
      <c r="X12" s="336"/>
      <c r="Y12" s="336"/>
      <c r="Z12" s="335"/>
      <c r="AA12" s="336"/>
      <c r="AB12" s="336">
        <f>+AB13-AB17</f>
        <v>-53649787</v>
      </c>
      <c r="AC12" s="336"/>
      <c r="AD12" s="336"/>
      <c r="AE12" s="335"/>
      <c r="AF12" s="336"/>
      <c r="AG12" s="336">
        <f>+AG13-AG17</f>
        <v>41961434</v>
      </c>
      <c r="AH12" s="336"/>
      <c r="AI12" s="336"/>
      <c r="AJ12" s="335"/>
      <c r="AK12" s="336"/>
      <c r="AL12" s="336">
        <f>+AL13-AL17</f>
        <v>-13252498</v>
      </c>
      <c r="AM12" s="336"/>
      <c r="AN12" s="336"/>
      <c r="AO12" s="335"/>
      <c r="AP12" s="336"/>
      <c r="AQ12" s="336">
        <f>+AQ13-AQ17</f>
        <v>-40961985</v>
      </c>
      <c r="AR12" s="336"/>
      <c r="AS12" s="336"/>
      <c r="AT12" s="335"/>
      <c r="AU12" s="336"/>
      <c r="AV12" s="336">
        <f>+AV13-AV17</f>
        <v>-19510192</v>
      </c>
      <c r="AW12" s="336"/>
      <c r="AX12" s="336"/>
      <c r="AY12" s="335"/>
      <c r="AZ12" s="336"/>
      <c r="BA12" s="336">
        <f>+BA13-BA17</f>
        <v>-18762903</v>
      </c>
      <c r="BB12" s="336"/>
      <c r="BC12" s="336"/>
      <c r="BD12" s="335"/>
      <c r="BE12" s="336"/>
      <c r="BF12" s="336">
        <f>+BF13-BF17</f>
        <v>-420333</v>
      </c>
      <c r="BG12" s="336"/>
      <c r="BH12" s="336"/>
      <c r="BI12" s="335"/>
      <c r="BJ12" s="336"/>
      <c r="BK12" s="336">
        <f>+BK13-BK17</f>
        <v>378365248</v>
      </c>
      <c r="BL12" s="336"/>
      <c r="BM12" s="336"/>
      <c r="BN12" s="335"/>
      <c r="BO12" s="336"/>
      <c r="BP12" s="336">
        <f>+BP13-BP17</f>
        <v>0</v>
      </c>
      <c r="BQ12" s="336"/>
      <c r="BR12" s="336"/>
      <c r="BS12" s="335"/>
      <c r="BT12" s="336"/>
      <c r="BU12" s="336">
        <f>+BU13-BU17</f>
        <v>-142703580</v>
      </c>
      <c r="BV12" s="336"/>
      <c r="BW12" s="336"/>
      <c r="BX12" s="335"/>
      <c r="BY12" s="336"/>
      <c r="BZ12" s="336">
        <f>+BZ13-BZ17</f>
        <v>2473985</v>
      </c>
      <c r="CA12" s="336"/>
      <c r="CB12" s="336"/>
      <c r="CC12" s="335"/>
      <c r="CD12" s="336"/>
      <c r="CE12" s="336">
        <f>+CE13-CE17</f>
        <v>39161985</v>
      </c>
      <c r="CF12" s="336"/>
      <c r="CG12" s="336"/>
      <c r="CH12" s="335"/>
      <c r="CI12" s="336"/>
      <c r="CJ12" s="336">
        <f>+CJ13-CJ17</f>
        <v>6533576</v>
      </c>
      <c r="CK12" s="336"/>
      <c r="CL12" s="336"/>
      <c r="CM12" s="335"/>
      <c r="CN12" s="336"/>
      <c r="CO12" s="336">
        <f>+CO13-CO17</f>
        <v>-80194837</v>
      </c>
      <c r="CP12" s="336"/>
      <c r="CQ12" s="336"/>
      <c r="CR12" s="335"/>
      <c r="CS12" s="336"/>
      <c r="CT12" s="336">
        <f>+CT13-CT17</f>
        <v>71485782</v>
      </c>
      <c r="CU12" s="336"/>
      <c r="CV12" s="336"/>
      <c r="CW12" s="335"/>
      <c r="CX12" s="336"/>
      <c r="CY12" s="336">
        <f>+CY13-CY17</f>
        <v>10515236</v>
      </c>
      <c r="CZ12" s="336"/>
      <c r="DA12" s="336"/>
      <c r="DB12" s="335"/>
      <c r="DC12" s="336"/>
      <c r="DD12" s="336">
        <f>+DD13-DD17</f>
        <v>-104528279</v>
      </c>
      <c r="DE12" s="336"/>
      <c r="DF12" s="336"/>
      <c r="DG12" s="335"/>
      <c r="DH12" s="336"/>
      <c r="DI12" s="336">
        <f>+DI13-DI17</f>
        <v>2731873</v>
      </c>
      <c r="DJ12" s="336"/>
      <c r="DK12" s="336"/>
      <c r="DL12" s="335"/>
      <c r="DM12" s="336"/>
      <c r="DN12" s="336">
        <f>+DN13-DN17</f>
        <v>-9369739</v>
      </c>
      <c r="DO12" s="336"/>
      <c r="DP12" s="336"/>
      <c r="DQ12" s="335"/>
      <c r="DR12" s="336"/>
      <c r="DS12" s="336">
        <f>+DS13-DS17</f>
        <v>-7896523</v>
      </c>
      <c r="DT12" s="336"/>
      <c r="DU12" s="336"/>
      <c r="DV12" s="335"/>
      <c r="DW12" s="336"/>
      <c r="DX12" s="336">
        <f>+DX13-DX17</f>
        <v>33364654</v>
      </c>
      <c r="DY12" s="336"/>
      <c r="DZ12" s="336"/>
      <c r="EA12" s="335"/>
      <c r="EB12" s="336"/>
      <c r="EC12" s="336">
        <f>+EC13-EC17</f>
        <v>-27939762</v>
      </c>
      <c r="ED12" s="336"/>
      <c r="EE12" s="336"/>
      <c r="EF12" s="335"/>
      <c r="EG12" s="336"/>
      <c r="EH12" s="336">
        <f>+EH13-EH17</f>
        <v>68610019</v>
      </c>
      <c r="EI12" s="336"/>
      <c r="EJ12" s="336"/>
      <c r="EK12" s="335"/>
      <c r="EL12" s="336"/>
      <c r="EM12" s="512">
        <f>+EM13-EM17</f>
        <v>-38196272</v>
      </c>
      <c r="EN12" s="336"/>
      <c r="EO12" s="336"/>
      <c r="EP12" s="513"/>
    </row>
    <row r="13" spans="4:148" x14ac:dyDescent="0.2">
      <c r="D13" s="13" t="s">
        <v>493</v>
      </c>
      <c r="F13" s="198"/>
      <c r="G13" s="374"/>
      <c r="H13" s="514">
        <f>SUM(H14:H15)</f>
        <v>235661668</v>
      </c>
      <c r="I13" s="515"/>
      <c r="J13" s="330"/>
      <c r="K13" s="329"/>
      <c r="L13" s="516"/>
      <c r="M13" s="514">
        <f>SUM(M14:M15)</f>
        <v>235661668</v>
      </c>
      <c r="N13" s="515"/>
      <c r="O13" s="330"/>
      <c r="P13" s="329"/>
      <c r="Q13" s="516"/>
      <c r="R13" s="514">
        <f>SUM(R14:R15)</f>
        <v>254145838</v>
      </c>
      <c r="S13" s="515"/>
      <c r="T13" s="330"/>
      <c r="U13" s="329"/>
      <c r="V13" s="516"/>
      <c r="W13" s="514">
        <f>SUM(W14:W15)</f>
        <v>250795984</v>
      </c>
      <c r="X13" s="515"/>
      <c r="Y13" s="330"/>
      <c r="Z13" s="329"/>
      <c r="AA13" s="516"/>
      <c r="AB13" s="514">
        <f>SUM(AB14:AB15)</f>
        <v>273768984</v>
      </c>
      <c r="AC13" s="515"/>
      <c r="AD13" s="330"/>
      <c r="AE13" s="329"/>
      <c r="AF13" s="516"/>
      <c r="AG13" s="514">
        <f>SUM(AG14:AG15)</f>
        <v>327418771</v>
      </c>
      <c r="AH13" s="515"/>
      <c r="AI13" s="330"/>
      <c r="AJ13" s="329"/>
      <c r="AK13" s="516"/>
      <c r="AL13" s="514">
        <f>SUM(AL14:AL15)</f>
        <v>285457337</v>
      </c>
      <c r="AM13" s="515"/>
      <c r="AN13" s="330"/>
      <c r="AO13" s="329"/>
      <c r="AP13" s="516"/>
      <c r="AQ13" s="514">
        <f>SUM(AQ14:AQ15)</f>
        <v>298709835</v>
      </c>
      <c r="AR13" s="515"/>
      <c r="AS13" s="330"/>
      <c r="AT13" s="329"/>
      <c r="AU13" s="516"/>
      <c r="AV13" s="514">
        <f>SUM(AV14:AV15)</f>
        <v>339671820</v>
      </c>
      <c r="AW13" s="515"/>
      <c r="AX13" s="330"/>
      <c r="AY13" s="329"/>
      <c r="AZ13" s="516"/>
      <c r="BA13" s="514">
        <f>SUM(BA14:BA15)</f>
        <v>359182012</v>
      </c>
      <c r="BB13" s="515"/>
      <c r="BC13" s="330"/>
      <c r="BD13" s="329"/>
      <c r="BE13" s="516"/>
      <c r="BF13" s="514">
        <f>SUM(BF14:BF15)</f>
        <v>377944915</v>
      </c>
      <c r="BG13" s="515"/>
      <c r="BH13" s="330"/>
      <c r="BI13" s="329"/>
      <c r="BJ13" s="516"/>
      <c r="BK13" s="514">
        <f>SUM(BK14:BK15)</f>
        <v>378365248</v>
      </c>
      <c r="BL13" s="515"/>
      <c r="BM13" s="330"/>
      <c r="BN13" s="329"/>
      <c r="BO13" s="516"/>
      <c r="BP13" s="514">
        <f>SUM(BP14:BP15)</f>
        <v>0</v>
      </c>
      <c r="BQ13" s="515"/>
      <c r="BR13" s="330"/>
      <c r="BS13" s="329"/>
      <c r="BT13" s="516"/>
      <c r="BU13" s="514">
        <f>SUM(BU14:BU15)</f>
        <v>235661668</v>
      </c>
      <c r="BV13" s="515"/>
      <c r="BW13" s="330"/>
      <c r="BX13" s="329"/>
      <c r="BY13" s="516"/>
      <c r="BZ13" s="514">
        <f>SUM(BZ14:BZ15)</f>
        <v>238135653</v>
      </c>
      <c r="CA13" s="515"/>
      <c r="CB13" s="330"/>
      <c r="CC13" s="329"/>
      <c r="CD13" s="516"/>
      <c r="CE13" s="514">
        <f>SUM(CE14:CE15)</f>
        <v>238135653</v>
      </c>
      <c r="CF13" s="515"/>
      <c r="CG13" s="330"/>
      <c r="CH13" s="329"/>
      <c r="CI13" s="516"/>
      <c r="CJ13" s="514">
        <f>SUM(CJ14:CJ15)</f>
        <v>198973668</v>
      </c>
      <c r="CK13" s="515"/>
      <c r="CL13" s="330"/>
      <c r="CM13" s="329"/>
      <c r="CN13" s="516"/>
      <c r="CO13" s="514">
        <f>SUM(CO14:CO15)</f>
        <v>192440092</v>
      </c>
      <c r="CP13" s="515"/>
      <c r="CQ13" s="330"/>
      <c r="CR13" s="329"/>
      <c r="CS13" s="516"/>
      <c r="CT13" s="514">
        <f>SUM(CT14:CT15)</f>
        <v>272634929</v>
      </c>
      <c r="CU13" s="515"/>
      <c r="CV13" s="330"/>
      <c r="CW13" s="329"/>
      <c r="CX13" s="516"/>
      <c r="CY13" s="514">
        <f>SUM(CY14:CY15)</f>
        <v>201149147</v>
      </c>
      <c r="CZ13" s="515"/>
      <c r="DA13" s="330"/>
      <c r="DB13" s="329"/>
      <c r="DC13" s="516"/>
      <c r="DD13" s="514">
        <f>SUM(DD14:DD15)</f>
        <v>190633911</v>
      </c>
      <c r="DE13" s="515"/>
      <c r="DF13" s="330"/>
      <c r="DG13" s="329"/>
      <c r="DH13" s="516"/>
      <c r="DI13" s="514">
        <f>SUM(DI14:DI15)</f>
        <v>295162190</v>
      </c>
      <c r="DJ13" s="515"/>
      <c r="DK13" s="330"/>
      <c r="DL13" s="329"/>
      <c r="DM13" s="516"/>
      <c r="DN13" s="514">
        <f>SUM(DN14:DN15)</f>
        <v>292430317</v>
      </c>
      <c r="DO13" s="515"/>
      <c r="DP13" s="330"/>
      <c r="DQ13" s="329"/>
      <c r="DR13" s="516"/>
      <c r="DS13" s="514">
        <f>SUM(DS14:DS15)</f>
        <v>301800056</v>
      </c>
      <c r="DT13" s="515"/>
      <c r="DU13" s="330"/>
      <c r="DV13" s="329"/>
      <c r="DW13" s="516"/>
      <c r="DX13" s="514">
        <f>SUM(DX14:DX15)</f>
        <v>309696579</v>
      </c>
      <c r="DY13" s="515"/>
      <c r="DZ13" s="330"/>
      <c r="EA13" s="329"/>
      <c r="EB13" s="516"/>
      <c r="EC13" s="514">
        <f>SUM(EC14:EC15)</f>
        <v>276331925</v>
      </c>
      <c r="ED13" s="515"/>
      <c r="EE13" s="330"/>
      <c r="EF13" s="329"/>
      <c r="EG13" s="516"/>
      <c r="EH13" s="514">
        <f>SUM(EH14:EH15)</f>
        <v>304271687</v>
      </c>
      <c r="EI13" s="515"/>
      <c r="EJ13" s="330"/>
      <c r="EK13" s="329"/>
      <c r="EL13" s="516"/>
      <c r="EM13" s="514">
        <f>SUM(EM14:EM15)</f>
        <v>238135653</v>
      </c>
      <c r="EN13" s="515"/>
      <c r="EO13" s="330"/>
      <c r="EP13" s="517"/>
      <c r="ER13" s="14"/>
    </row>
    <row r="14" spans="4:148" x14ac:dyDescent="0.2">
      <c r="D14" s="13" t="s">
        <v>494</v>
      </c>
      <c r="F14" s="198"/>
      <c r="G14" s="198"/>
      <c r="H14" s="518">
        <v>191125443</v>
      </c>
      <c r="I14" s="346"/>
      <c r="J14" s="330"/>
      <c r="K14" s="329"/>
      <c r="L14" s="329"/>
      <c r="M14" s="518">
        <v>191125443</v>
      </c>
      <c r="N14" s="346"/>
      <c r="O14" s="330"/>
      <c r="P14" s="329"/>
      <c r="Q14" s="329"/>
      <c r="R14" s="518">
        <f>M18</f>
        <v>188398825</v>
      </c>
      <c r="S14" s="346"/>
      <c r="T14" s="330"/>
      <c r="U14" s="329"/>
      <c r="V14" s="329"/>
      <c r="W14" s="518">
        <f>R18</f>
        <v>183966537</v>
      </c>
      <c r="X14" s="346"/>
      <c r="Y14" s="330"/>
      <c r="Z14" s="329"/>
      <c r="AA14" s="329"/>
      <c r="AB14" s="518">
        <f>W18</f>
        <v>174786407</v>
      </c>
      <c r="AC14" s="346"/>
      <c r="AD14" s="330"/>
      <c r="AE14" s="329"/>
      <c r="AF14" s="329"/>
      <c r="AG14" s="518">
        <f>AB18</f>
        <v>216993276</v>
      </c>
      <c r="AH14" s="346"/>
      <c r="AI14" s="330"/>
      <c r="AJ14" s="329"/>
      <c r="AK14" s="329"/>
      <c r="AL14" s="518">
        <f>AG18</f>
        <v>178904480</v>
      </c>
      <c r="AM14" s="346"/>
      <c r="AN14" s="330"/>
      <c r="AO14" s="329"/>
      <c r="AP14" s="329"/>
      <c r="AQ14" s="518">
        <f>AL18</f>
        <v>162851119</v>
      </c>
      <c r="AR14" s="346"/>
      <c r="AS14" s="330"/>
      <c r="AT14" s="329"/>
      <c r="AU14" s="329"/>
      <c r="AV14" s="518">
        <f>AQ18</f>
        <v>150789653</v>
      </c>
      <c r="AW14" s="346"/>
      <c r="AX14" s="330"/>
      <c r="AY14" s="329"/>
      <c r="AZ14" s="329"/>
      <c r="BA14" s="518">
        <f>AV18</f>
        <v>150112405</v>
      </c>
      <c r="BB14" s="346"/>
      <c r="BC14" s="330"/>
      <c r="BD14" s="329"/>
      <c r="BE14" s="329"/>
      <c r="BF14" s="518">
        <f>BA18</f>
        <v>143765580</v>
      </c>
      <c r="BG14" s="346"/>
      <c r="BH14" s="330"/>
      <c r="BI14" s="329"/>
      <c r="BJ14" s="329"/>
      <c r="BK14" s="518">
        <f>BF18</f>
        <v>142480438</v>
      </c>
      <c r="BL14" s="346"/>
      <c r="BM14" s="330"/>
      <c r="BN14" s="329"/>
      <c r="BO14" s="329"/>
      <c r="BP14" s="518">
        <f>BK18</f>
        <v>0</v>
      </c>
      <c r="BQ14" s="346"/>
      <c r="BR14" s="330"/>
      <c r="BS14" s="329"/>
      <c r="BT14" s="329"/>
      <c r="BU14" s="519">
        <f>M14</f>
        <v>191125443</v>
      </c>
      <c r="BV14" s="346"/>
      <c r="BW14" s="330"/>
      <c r="BX14" s="329"/>
      <c r="BY14" s="329"/>
      <c r="BZ14" s="518">
        <v>174717635</v>
      </c>
      <c r="CA14" s="346"/>
      <c r="CB14" s="330"/>
      <c r="CC14" s="329"/>
      <c r="CD14" s="329"/>
      <c r="CE14" s="518">
        <v>174717635</v>
      </c>
      <c r="CF14" s="346"/>
      <c r="CG14" s="330"/>
      <c r="CH14" s="329"/>
      <c r="CI14" s="329"/>
      <c r="CJ14" s="518">
        <f>CE18</f>
        <v>171432024</v>
      </c>
      <c r="CK14" s="346"/>
      <c r="CL14" s="330"/>
      <c r="CM14" s="329"/>
      <c r="CN14" s="329"/>
      <c r="CO14" s="518">
        <f>CJ18</f>
        <v>159100607</v>
      </c>
      <c r="CP14" s="346"/>
      <c r="CQ14" s="330"/>
      <c r="CR14" s="329"/>
      <c r="CS14" s="329"/>
      <c r="CT14" s="518">
        <f>CO18</f>
        <v>157556488</v>
      </c>
      <c r="CU14" s="346"/>
      <c r="CV14" s="330"/>
      <c r="CW14" s="329"/>
      <c r="CX14" s="329"/>
      <c r="CY14" s="518">
        <f>CT18</f>
        <v>154393121</v>
      </c>
      <c r="CZ14" s="346"/>
      <c r="DA14" s="330"/>
      <c r="DB14" s="329"/>
      <c r="DC14" s="329"/>
      <c r="DD14" s="518">
        <f>CY18</f>
        <v>153790115</v>
      </c>
      <c r="DE14" s="346"/>
      <c r="DF14" s="330"/>
      <c r="DG14" s="329"/>
      <c r="DH14" s="329"/>
      <c r="DI14" s="518">
        <f>DD18</f>
        <v>226475319</v>
      </c>
      <c r="DJ14" s="346"/>
      <c r="DK14" s="330"/>
      <c r="DL14" s="329"/>
      <c r="DM14" s="329"/>
      <c r="DN14" s="518">
        <f>DI18</f>
        <v>223710506</v>
      </c>
      <c r="DO14" s="346"/>
      <c r="DP14" s="330"/>
      <c r="DQ14" s="329"/>
      <c r="DR14" s="329"/>
      <c r="DS14" s="518">
        <f>DN18</f>
        <v>222808884</v>
      </c>
      <c r="DT14" s="346"/>
      <c r="DU14" s="330"/>
      <c r="DV14" s="329"/>
      <c r="DW14" s="329"/>
      <c r="DX14" s="518">
        <f>DS18</f>
        <v>216296990</v>
      </c>
      <c r="DY14" s="346"/>
      <c r="DZ14" s="330"/>
      <c r="EA14" s="329"/>
      <c r="EB14" s="329"/>
      <c r="EC14" s="518">
        <f>DX18</f>
        <v>214990489</v>
      </c>
      <c r="ED14" s="346"/>
      <c r="EE14" s="330"/>
      <c r="EF14" s="329"/>
      <c r="EG14" s="329"/>
      <c r="EH14" s="518">
        <f>EC18</f>
        <v>214239939</v>
      </c>
      <c r="EI14" s="346"/>
      <c r="EJ14" s="330"/>
      <c r="EK14" s="329"/>
      <c r="EL14" s="329"/>
      <c r="EM14" s="518">
        <f>CE14</f>
        <v>174717635</v>
      </c>
      <c r="EN14" s="346"/>
      <c r="EO14" s="330"/>
      <c r="EP14" s="517"/>
    </row>
    <row r="15" spans="4:148" x14ac:dyDescent="0.2">
      <c r="D15" s="13" t="s">
        <v>495</v>
      </c>
      <c r="F15" s="198"/>
      <c r="G15" s="198"/>
      <c r="H15" s="520">
        <v>44536225</v>
      </c>
      <c r="I15" s="346"/>
      <c r="J15" s="330"/>
      <c r="K15" s="329"/>
      <c r="L15" s="329"/>
      <c r="M15" s="520">
        <v>44536225</v>
      </c>
      <c r="N15" s="346"/>
      <c r="O15" s="330"/>
      <c r="P15" s="329"/>
      <c r="Q15" s="329"/>
      <c r="R15" s="520">
        <f>M19</f>
        <v>65747013</v>
      </c>
      <c r="S15" s="346"/>
      <c r="T15" s="330"/>
      <c r="U15" s="329"/>
      <c r="V15" s="329"/>
      <c r="W15" s="520">
        <f>R19</f>
        <v>66829447</v>
      </c>
      <c r="X15" s="346"/>
      <c r="Y15" s="330"/>
      <c r="Z15" s="329"/>
      <c r="AA15" s="329"/>
      <c r="AB15" s="520">
        <f>W19</f>
        <v>98982577</v>
      </c>
      <c r="AC15" s="346"/>
      <c r="AD15" s="330"/>
      <c r="AE15" s="329"/>
      <c r="AF15" s="329"/>
      <c r="AG15" s="520">
        <f>AB19</f>
        <v>110425495</v>
      </c>
      <c r="AH15" s="346"/>
      <c r="AI15" s="330"/>
      <c r="AJ15" s="329"/>
      <c r="AK15" s="329"/>
      <c r="AL15" s="520">
        <f>AG19</f>
        <v>106552857</v>
      </c>
      <c r="AM15" s="346"/>
      <c r="AN15" s="330"/>
      <c r="AO15" s="329"/>
      <c r="AP15" s="329"/>
      <c r="AQ15" s="520">
        <f>AL19</f>
        <v>135858716</v>
      </c>
      <c r="AR15" s="346"/>
      <c r="AS15" s="330"/>
      <c r="AT15" s="329"/>
      <c r="AU15" s="329"/>
      <c r="AV15" s="520">
        <f>AQ19</f>
        <v>188882167</v>
      </c>
      <c r="AW15" s="346"/>
      <c r="AX15" s="330"/>
      <c r="AY15" s="329"/>
      <c r="AZ15" s="329"/>
      <c r="BA15" s="520">
        <f>AV19</f>
        <v>209069607</v>
      </c>
      <c r="BB15" s="346"/>
      <c r="BC15" s="330"/>
      <c r="BD15" s="329"/>
      <c r="BE15" s="329"/>
      <c r="BF15" s="520">
        <f>BA19</f>
        <v>234179335</v>
      </c>
      <c r="BG15" s="346"/>
      <c r="BH15" s="330"/>
      <c r="BI15" s="329"/>
      <c r="BJ15" s="329"/>
      <c r="BK15" s="520">
        <f>BF19</f>
        <v>235884810</v>
      </c>
      <c r="BL15" s="346"/>
      <c r="BM15" s="330"/>
      <c r="BN15" s="329"/>
      <c r="BO15" s="329"/>
      <c r="BP15" s="520">
        <f>BK19</f>
        <v>0</v>
      </c>
      <c r="BQ15" s="346"/>
      <c r="BR15" s="330"/>
      <c r="BS15" s="329"/>
      <c r="BT15" s="329"/>
      <c r="BU15" s="521">
        <f>M15</f>
        <v>44536225</v>
      </c>
      <c r="BV15" s="346"/>
      <c r="BW15" s="330"/>
      <c r="BX15" s="329"/>
      <c r="BY15" s="329"/>
      <c r="BZ15" s="520">
        <v>63418018</v>
      </c>
      <c r="CA15" s="346"/>
      <c r="CB15" s="330"/>
      <c r="CC15" s="329"/>
      <c r="CD15" s="329"/>
      <c r="CE15" s="520">
        <v>63418018</v>
      </c>
      <c r="CF15" s="346"/>
      <c r="CG15" s="330"/>
      <c r="CH15" s="329"/>
      <c r="CI15" s="329"/>
      <c r="CJ15" s="520">
        <f>CE19</f>
        <v>27541644</v>
      </c>
      <c r="CK15" s="346"/>
      <c r="CL15" s="330"/>
      <c r="CM15" s="329"/>
      <c r="CN15" s="329"/>
      <c r="CO15" s="520">
        <f>CJ19</f>
        <v>33339485</v>
      </c>
      <c r="CP15" s="346"/>
      <c r="CQ15" s="330"/>
      <c r="CR15" s="329"/>
      <c r="CS15" s="329"/>
      <c r="CT15" s="520">
        <f>CO19</f>
        <v>115078441</v>
      </c>
      <c r="CU15" s="346"/>
      <c r="CV15" s="330"/>
      <c r="CW15" s="329"/>
      <c r="CX15" s="329"/>
      <c r="CY15" s="520">
        <f>CT19</f>
        <v>46756026</v>
      </c>
      <c r="CZ15" s="346"/>
      <c r="DA15" s="330"/>
      <c r="DB15" s="329"/>
      <c r="DC15" s="329"/>
      <c r="DD15" s="520">
        <f>CY19</f>
        <v>36843796</v>
      </c>
      <c r="DE15" s="346"/>
      <c r="DF15" s="330"/>
      <c r="DG15" s="329"/>
      <c r="DH15" s="329"/>
      <c r="DI15" s="520">
        <f>DD19</f>
        <v>68686871</v>
      </c>
      <c r="DJ15" s="346"/>
      <c r="DK15" s="330"/>
      <c r="DL15" s="329"/>
      <c r="DM15" s="329"/>
      <c r="DN15" s="520">
        <f>DI19</f>
        <v>68719811</v>
      </c>
      <c r="DO15" s="346"/>
      <c r="DP15" s="330"/>
      <c r="DQ15" s="329"/>
      <c r="DR15" s="329"/>
      <c r="DS15" s="520">
        <f>DN19</f>
        <v>78991172</v>
      </c>
      <c r="DT15" s="346"/>
      <c r="DU15" s="330"/>
      <c r="DV15" s="329"/>
      <c r="DW15" s="329"/>
      <c r="DX15" s="520">
        <f>DS19</f>
        <v>93399589</v>
      </c>
      <c r="DY15" s="346"/>
      <c r="DZ15" s="330"/>
      <c r="EA15" s="329"/>
      <c r="EB15" s="329"/>
      <c r="EC15" s="520">
        <f>DX19</f>
        <v>61341436</v>
      </c>
      <c r="ED15" s="346"/>
      <c r="EE15" s="330"/>
      <c r="EF15" s="329"/>
      <c r="EG15" s="329"/>
      <c r="EH15" s="520">
        <f>EC19</f>
        <v>90031748</v>
      </c>
      <c r="EI15" s="346"/>
      <c r="EJ15" s="330"/>
      <c r="EK15" s="329"/>
      <c r="EL15" s="329"/>
      <c r="EM15" s="520">
        <f>CE15</f>
        <v>63418018</v>
      </c>
      <c r="EN15" s="346"/>
      <c r="EO15" s="330"/>
      <c r="EP15" s="517"/>
    </row>
    <row r="16" spans="4:148" x14ac:dyDescent="0.2">
      <c r="D16" s="13"/>
      <c r="F16" s="198"/>
      <c r="G16" s="198"/>
      <c r="H16" s="330"/>
      <c r="I16" s="346"/>
      <c r="J16" s="330"/>
      <c r="K16" s="329"/>
      <c r="L16" s="329"/>
      <c r="M16" s="330"/>
      <c r="N16" s="346"/>
      <c r="O16" s="330"/>
      <c r="P16" s="329"/>
      <c r="Q16" s="329"/>
      <c r="R16" s="330"/>
      <c r="S16" s="346"/>
      <c r="T16" s="330"/>
      <c r="U16" s="329"/>
      <c r="V16" s="329"/>
      <c r="W16" s="330"/>
      <c r="X16" s="346"/>
      <c r="Y16" s="330"/>
      <c r="Z16" s="329"/>
      <c r="AA16" s="329"/>
      <c r="AB16" s="330"/>
      <c r="AC16" s="346"/>
      <c r="AD16" s="330"/>
      <c r="AE16" s="329"/>
      <c r="AF16" s="329"/>
      <c r="AG16" s="330"/>
      <c r="AH16" s="346"/>
      <c r="AI16" s="330"/>
      <c r="AJ16" s="329"/>
      <c r="AK16" s="329"/>
      <c r="AL16" s="330"/>
      <c r="AM16" s="346"/>
      <c r="AN16" s="330"/>
      <c r="AO16" s="329"/>
      <c r="AP16" s="329"/>
      <c r="AQ16" s="330"/>
      <c r="AR16" s="346"/>
      <c r="AS16" s="330"/>
      <c r="AT16" s="329"/>
      <c r="AU16" s="329"/>
      <c r="AV16" s="330"/>
      <c r="AW16" s="346"/>
      <c r="AX16" s="330"/>
      <c r="AY16" s="329"/>
      <c r="AZ16" s="329"/>
      <c r="BA16" s="330"/>
      <c r="BB16" s="346"/>
      <c r="BC16" s="330"/>
      <c r="BD16" s="329"/>
      <c r="BE16" s="329"/>
      <c r="BF16" s="330"/>
      <c r="BG16" s="346"/>
      <c r="BH16" s="330"/>
      <c r="BI16" s="329"/>
      <c r="BJ16" s="329"/>
      <c r="BK16" s="330"/>
      <c r="BL16" s="346"/>
      <c r="BM16" s="330"/>
      <c r="BN16" s="329"/>
      <c r="BO16" s="329"/>
      <c r="BP16" s="330"/>
      <c r="BQ16" s="346"/>
      <c r="BR16" s="330"/>
      <c r="BS16" s="329"/>
      <c r="BT16" s="329"/>
      <c r="BU16" s="330"/>
      <c r="BV16" s="346"/>
      <c r="BW16" s="330"/>
      <c r="BX16" s="329"/>
      <c r="BY16" s="329"/>
      <c r="BZ16" s="330"/>
      <c r="CA16" s="346"/>
      <c r="CB16" s="330"/>
      <c r="CC16" s="329"/>
      <c r="CD16" s="329"/>
      <c r="CE16" s="330"/>
      <c r="CF16" s="346"/>
      <c r="CG16" s="330"/>
      <c r="CH16" s="329"/>
      <c r="CI16" s="329"/>
      <c r="CJ16" s="330"/>
      <c r="CK16" s="346"/>
      <c r="CL16" s="330"/>
      <c r="CM16" s="329"/>
      <c r="CN16" s="329"/>
      <c r="CO16" s="330"/>
      <c r="CP16" s="346"/>
      <c r="CQ16" s="330"/>
      <c r="CR16" s="329"/>
      <c r="CS16" s="329"/>
      <c r="CT16" s="330"/>
      <c r="CU16" s="346"/>
      <c r="CV16" s="330"/>
      <c r="CW16" s="329"/>
      <c r="CX16" s="329"/>
      <c r="CY16" s="330"/>
      <c r="CZ16" s="346"/>
      <c r="DA16" s="330"/>
      <c r="DB16" s="329"/>
      <c r="DC16" s="329"/>
      <c r="DD16" s="330"/>
      <c r="DE16" s="346"/>
      <c r="DF16" s="330"/>
      <c r="DG16" s="329"/>
      <c r="DH16" s="329"/>
      <c r="DI16" s="330"/>
      <c r="DJ16" s="346"/>
      <c r="DK16" s="330"/>
      <c r="DL16" s="329"/>
      <c r="DM16" s="329"/>
      <c r="DN16" s="330"/>
      <c r="DO16" s="346"/>
      <c r="DP16" s="330"/>
      <c r="DQ16" s="329"/>
      <c r="DR16" s="329"/>
      <c r="DS16" s="330"/>
      <c r="DT16" s="346"/>
      <c r="DU16" s="330"/>
      <c r="DV16" s="329"/>
      <c r="DW16" s="329"/>
      <c r="DX16" s="330"/>
      <c r="DY16" s="346"/>
      <c r="DZ16" s="330"/>
      <c r="EA16" s="329"/>
      <c r="EB16" s="329"/>
      <c r="EC16" s="330"/>
      <c r="ED16" s="346"/>
      <c r="EE16" s="330"/>
      <c r="EF16" s="329"/>
      <c r="EG16" s="329"/>
      <c r="EH16" s="330"/>
      <c r="EI16" s="346"/>
      <c r="EJ16" s="330"/>
      <c r="EK16" s="329"/>
      <c r="EL16" s="329"/>
      <c r="EM16" s="330"/>
      <c r="EN16" s="346"/>
      <c r="EO16" s="330"/>
      <c r="EP16" s="517"/>
      <c r="ER16" s="14"/>
    </row>
    <row r="17" spans="4:154" x14ac:dyDescent="0.2">
      <c r="D17" s="13" t="s">
        <v>496</v>
      </c>
      <c r="F17" s="198"/>
      <c r="G17" s="198"/>
      <c r="H17" s="330">
        <f>SUM(H18:H19)</f>
        <v>195194000</v>
      </c>
      <c r="I17" s="346"/>
      <c r="J17" s="330"/>
      <c r="K17" s="329"/>
      <c r="L17" s="329"/>
      <c r="M17" s="330">
        <f>SUM(M18:M19)</f>
        <v>254145838</v>
      </c>
      <c r="N17" s="346"/>
      <c r="O17" s="330"/>
      <c r="P17" s="329"/>
      <c r="Q17" s="329"/>
      <c r="R17" s="330">
        <f>SUM(R18:R19)</f>
        <v>250795984</v>
      </c>
      <c r="S17" s="346"/>
      <c r="T17" s="330"/>
      <c r="U17" s="329"/>
      <c r="V17" s="329"/>
      <c r="W17" s="330">
        <f>SUM(W18:W19)</f>
        <v>273768984</v>
      </c>
      <c r="X17" s="346"/>
      <c r="Y17" s="330"/>
      <c r="Z17" s="329"/>
      <c r="AA17" s="329"/>
      <c r="AB17" s="330">
        <f>SUM(AB18:AB19)</f>
        <v>327418771</v>
      </c>
      <c r="AC17" s="346"/>
      <c r="AD17" s="330"/>
      <c r="AE17" s="329"/>
      <c r="AF17" s="329"/>
      <c r="AG17" s="330">
        <f>SUM(AG18:AG19)</f>
        <v>285457337</v>
      </c>
      <c r="AH17" s="346"/>
      <c r="AI17" s="330"/>
      <c r="AJ17" s="329"/>
      <c r="AK17" s="329"/>
      <c r="AL17" s="330">
        <f>SUM(AL18:AL19)</f>
        <v>298709835</v>
      </c>
      <c r="AM17" s="346"/>
      <c r="AN17" s="330"/>
      <c r="AO17" s="329"/>
      <c r="AP17" s="329"/>
      <c r="AQ17" s="330">
        <f>SUM(AQ18:AQ19)</f>
        <v>339671820</v>
      </c>
      <c r="AR17" s="346"/>
      <c r="AS17" s="330"/>
      <c r="AT17" s="329"/>
      <c r="AU17" s="329"/>
      <c r="AV17" s="330">
        <f>SUM(AV18:AV19)</f>
        <v>359182012</v>
      </c>
      <c r="AW17" s="346"/>
      <c r="AX17" s="330"/>
      <c r="AY17" s="329"/>
      <c r="AZ17" s="329"/>
      <c r="BA17" s="330">
        <f>SUM(BA18:BA19)</f>
        <v>377944915</v>
      </c>
      <c r="BB17" s="346"/>
      <c r="BC17" s="330"/>
      <c r="BD17" s="329"/>
      <c r="BE17" s="329"/>
      <c r="BF17" s="330">
        <f>SUM(BF18:BF19)</f>
        <v>378365248</v>
      </c>
      <c r="BG17" s="346"/>
      <c r="BH17" s="330"/>
      <c r="BI17" s="329"/>
      <c r="BJ17" s="329"/>
      <c r="BK17" s="330">
        <f>SUM(BK18:BK19)</f>
        <v>0</v>
      </c>
      <c r="BL17" s="346"/>
      <c r="BM17" s="330"/>
      <c r="BN17" s="329"/>
      <c r="BO17" s="329"/>
      <c r="BP17" s="330">
        <f>SUM(BP18:BP19)</f>
        <v>0</v>
      </c>
      <c r="BQ17" s="346"/>
      <c r="BR17" s="330"/>
      <c r="BS17" s="329"/>
      <c r="BT17" s="329"/>
      <c r="BU17" s="330">
        <f>SUM(BU18:BU19)</f>
        <v>378365248</v>
      </c>
      <c r="BV17" s="346"/>
      <c r="BW17" s="330"/>
      <c r="BX17" s="329"/>
      <c r="BY17" s="329"/>
      <c r="BZ17" s="330">
        <f>SUM(BZ18:BZ19)</f>
        <v>235661668</v>
      </c>
      <c r="CA17" s="346"/>
      <c r="CB17" s="330"/>
      <c r="CC17" s="329"/>
      <c r="CD17" s="329"/>
      <c r="CE17" s="330">
        <f>SUM(CE18:CE19)</f>
        <v>198973668</v>
      </c>
      <c r="CF17" s="346"/>
      <c r="CG17" s="330"/>
      <c r="CH17" s="329"/>
      <c r="CI17" s="329"/>
      <c r="CJ17" s="330">
        <f>SUM(CJ18:CJ19)</f>
        <v>192440092</v>
      </c>
      <c r="CK17" s="346"/>
      <c r="CL17" s="330"/>
      <c r="CM17" s="329"/>
      <c r="CN17" s="329"/>
      <c r="CO17" s="330">
        <f>SUM(CO18:CO19)</f>
        <v>272634929</v>
      </c>
      <c r="CP17" s="346"/>
      <c r="CQ17" s="330"/>
      <c r="CR17" s="329"/>
      <c r="CS17" s="329"/>
      <c r="CT17" s="330">
        <f>SUM(CT18:CT19)</f>
        <v>201149147</v>
      </c>
      <c r="CU17" s="346"/>
      <c r="CV17" s="330"/>
      <c r="CW17" s="329"/>
      <c r="CX17" s="329"/>
      <c r="CY17" s="330">
        <f>SUM(CY18:CY19)</f>
        <v>190633911</v>
      </c>
      <c r="CZ17" s="346"/>
      <c r="DA17" s="330"/>
      <c r="DB17" s="329"/>
      <c r="DC17" s="329"/>
      <c r="DD17" s="330">
        <f>SUM(DD18:DD19)</f>
        <v>295162190</v>
      </c>
      <c r="DE17" s="346"/>
      <c r="DF17" s="330"/>
      <c r="DG17" s="329"/>
      <c r="DH17" s="329"/>
      <c r="DI17" s="330">
        <f>SUM(DI18:DI19)</f>
        <v>292430317</v>
      </c>
      <c r="DJ17" s="346"/>
      <c r="DK17" s="330"/>
      <c r="DL17" s="329"/>
      <c r="DM17" s="329"/>
      <c r="DN17" s="330">
        <f>SUM(DN18:DN19)</f>
        <v>301800056</v>
      </c>
      <c r="DO17" s="346"/>
      <c r="DP17" s="330"/>
      <c r="DQ17" s="329"/>
      <c r="DR17" s="329"/>
      <c r="DS17" s="330">
        <f>SUM(DS18:DS19)</f>
        <v>309696579</v>
      </c>
      <c r="DT17" s="346"/>
      <c r="DU17" s="330"/>
      <c r="DV17" s="329"/>
      <c r="DW17" s="329"/>
      <c r="DX17" s="330">
        <f>SUM(DX18:DX19)</f>
        <v>276331925</v>
      </c>
      <c r="DY17" s="346"/>
      <c r="DZ17" s="330"/>
      <c r="EA17" s="329"/>
      <c r="EB17" s="329"/>
      <c r="EC17" s="330">
        <f>SUM(EC18:EC19)</f>
        <v>304271687</v>
      </c>
      <c r="ED17" s="346"/>
      <c r="EE17" s="330"/>
      <c r="EF17" s="329"/>
      <c r="EG17" s="329"/>
      <c r="EH17" s="330">
        <f>SUM(EH18:EH19)</f>
        <v>235661668</v>
      </c>
      <c r="EI17" s="346"/>
      <c r="EJ17" s="330"/>
      <c r="EK17" s="329"/>
      <c r="EL17" s="329"/>
      <c r="EM17" s="330">
        <f>SUM(EM18:EM19)</f>
        <v>276331925</v>
      </c>
      <c r="EN17" s="346"/>
      <c r="EO17" s="330"/>
      <c r="EP17" s="517"/>
      <c r="ER17" s="14"/>
    </row>
    <row r="18" spans="4:154" x14ac:dyDescent="0.2">
      <c r="D18" s="13" t="s">
        <v>494</v>
      </c>
      <c r="F18" s="198"/>
      <c r="G18" s="198"/>
      <c r="H18" s="518">
        <v>145194000</v>
      </c>
      <c r="I18" s="346"/>
      <c r="J18" s="330"/>
      <c r="K18" s="329"/>
      <c r="L18" s="329"/>
      <c r="M18" s="518">
        <v>188398825</v>
      </c>
      <c r="N18" s="346"/>
      <c r="O18" s="330"/>
      <c r="P18" s="329"/>
      <c r="Q18" s="329"/>
      <c r="R18" s="518">
        <v>183966537</v>
      </c>
      <c r="S18" s="346"/>
      <c r="T18" s="330"/>
      <c r="U18" s="329"/>
      <c r="V18" s="329"/>
      <c r="W18" s="518">
        <v>174786407</v>
      </c>
      <c r="X18" s="346"/>
      <c r="Y18" s="330"/>
      <c r="Z18" s="329"/>
      <c r="AA18" s="329"/>
      <c r="AB18" s="518">
        <v>216993276</v>
      </c>
      <c r="AC18" s="346"/>
      <c r="AD18" s="330"/>
      <c r="AE18" s="329"/>
      <c r="AF18" s="329"/>
      <c r="AG18" s="518">
        <v>178904480</v>
      </c>
      <c r="AH18" s="346"/>
      <c r="AI18" s="330"/>
      <c r="AJ18" s="329"/>
      <c r="AK18" s="329"/>
      <c r="AL18" s="518">
        <v>162851119</v>
      </c>
      <c r="AM18" s="346"/>
      <c r="AN18" s="330"/>
      <c r="AO18" s="329"/>
      <c r="AP18" s="329"/>
      <c r="AQ18" s="518">
        <v>150789653</v>
      </c>
      <c r="AR18" s="346"/>
      <c r="AS18" s="330"/>
      <c r="AT18" s="329"/>
      <c r="AU18" s="329"/>
      <c r="AV18" s="518">
        <v>150112405</v>
      </c>
      <c r="AW18" s="346"/>
      <c r="AX18" s="330"/>
      <c r="AY18" s="329"/>
      <c r="AZ18" s="329"/>
      <c r="BA18" s="518">
        <v>143765580</v>
      </c>
      <c r="BB18" s="346"/>
      <c r="BC18" s="330"/>
      <c r="BD18" s="329"/>
      <c r="BE18" s="329"/>
      <c r="BF18" s="518">
        <v>142480438</v>
      </c>
      <c r="BG18" s="346"/>
      <c r="BH18" s="330"/>
      <c r="BI18" s="329"/>
      <c r="BJ18" s="329"/>
      <c r="BK18" s="518">
        <v>0</v>
      </c>
      <c r="BL18" s="346"/>
      <c r="BM18" s="330"/>
      <c r="BN18" s="329"/>
      <c r="BO18" s="329"/>
      <c r="BP18" s="518">
        <v>0</v>
      </c>
      <c r="BQ18" s="346"/>
      <c r="BR18" s="330"/>
      <c r="BS18" s="329"/>
      <c r="BT18" s="329"/>
      <c r="BU18" s="518">
        <f>BF18</f>
        <v>142480438</v>
      </c>
      <c r="BV18" s="346"/>
      <c r="BW18" s="330"/>
      <c r="BX18" s="329"/>
      <c r="BY18" s="329"/>
      <c r="BZ18" s="518">
        <v>191125443</v>
      </c>
      <c r="CA18" s="346"/>
      <c r="CB18" s="330"/>
      <c r="CC18" s="329"/>
      <c r="CD18" s="329"/>
      <c r="CE18" s="518">
        <v>171432024</v>
      </c>
      <c r="CF18" s="346"/>
      <c r="CG18" s="330"/>
      <c r="CH18" s="329"/>
      <c r="CI18" s="329"/>
      <c r="CJ18" s="518">
        <v>159100607</v>
      </c>
      <c r="CK18" s="346"/>
      <c r="CL18" s="330"/>
      <c r="CM18" s="329"/>
      <c r="CN18" s="329"/>
      <c r="CO18" s="518">
        <v>157556488</v>
      </c>
      <c r="CP18" s="346"/>
      <c r="CQ18" s="330"/>
      <c r="CR18" s="329"/>
      <c r="CS18" s="329"/>
      <c r="CT18" s="518">
        <v>154393121</v>
      </c>
      <c r="CU18" s="346"/>
      <c r="CV18" s="330"/>
      <c r="CW18" s="329"/>
      <c r="CX18" s="329"/>
      <c r="CY18" s="518">
        <v>153790115</v>
      </c>
      <c r="CZ18" s="346"/>
      <c r="DA18" s="330"/>
      <c r="DB18" s="329"/>
      <c r="DC18" s="329"/>
      <c r="DD18" s="518">
        <v>226475319</v>
      </c>
      <c r="DE18" s="346"/>
      <c r="DF18" s="330"/>
      <c r="DG18" s="329"/>
      <c r="DH18" s="329"/>
      <c r="DI18" s="518">
        <v>223710506</v>
      </c>
      <c r="DJ18" s="346"/>
      <c r="DK18" s="330"/>
      <c r="DL18" s="329"/>
      <c r="DM18" s="329"/>
      <c r="DN18" s="518">
        <v>222808884</v>
      </c>
      <c r="DO18" s="346"/>
      <c r="DP18" s="330"/>
      <c r="DQ18" s="329"/>
      <c r="DR18" s="329"/>
      <c r="DS18" s="518">
        <v>216296990</v>
      </c>
      <c r="DT18" s="346"/>
      <c r="DU18" s="330"/>
      <c r="DV18" s="329"/>
      <c r="DW18" s="329"/>
      <c r="DX18" s="518">
        <v>214990489</v>
      </c>
      <c r="DY18" s="346"/>
      <c r="DZ18" s="330"/>
      <c r="EA18" s="329"/>
      <c r="EB18" s="329"/>
      <c r="EC18" s="518">
        <v>214239939</v>
      </c>
      <c r="ED18" s="346"/>
      <c r="EE18" s="330"/>
      <c r="EF18" s="329"/>
      <c r="EG18" s="329"/>
      <c r="EH18" s="518">
        <v>191125443</v>
      </c>
      <c r="EI18" s="346"/>
      <c r="EJ18" s="330"/>
      <c r="EK18" s="329"/>
      <c r="EL18" s="329"/>
      <c r="EM18" s="518">
        <f>DX18</f>
        <v>214990489</v>
      </c>
      <c r="EN18" s="346"/>
      <c r="EO18" s="330"/>
      <c r="EP18" s="517"/>
      <c r="ER18" s="14"/>
    </row>
    <row r="19" spans="4:154" x14ac:dyDescent="0.2">
      <c r="D19" s="13" t="s">
        <v>495</v>
      </c>
      <c r="F19" s="198"/>
      <c r="G19" s="198"/>
      <c r="H19" s="520">
        <v>50000000</v>
      </c>
      <c r="I19" s="346"/>
      <c r="J19" s="330"/>
      <c r="K19" s="329"/>
      <c r="L19" s="329"/>
      <c r="M19" s="520">
        <v>65747013</v>
      </c>
      <c r="N19" s="346"/>
      <c r="O19" s="330"/>
      <c r="P19" s="329"/>
      <c r="Q19" s="329"/>
      <c r="R19" s="520">
        <v>66829447</v>
      </c>
      <c r="S19" s="346"/>
      <c r="T19" s="330"/>
      <c r="U19" s="329"/>
      <c r="V19" s="329"/>
      <c r="W19" s="520">
        <v>98982577</v>
      </c>
      <c r="X19" s="346"/>
      <c r="Y19" s="330"/>
      <c r="Z19" s="329"/>
      <c r="AA19" s="329"/>
      <c r="AB19" s="520">
        <v>110425495</v>
      </c>
      <c r="AC19" s="346"/>
      <c r="AD19" s="330"/>
      <c r="AE19" s="329"/>
      <c r="AF19" s="329"/>
      <c r="AG19" s="520">
        <v>106552857</v>
      </c>
      <c r="AH19" s="346"/>
      <c r="AI19" s="330"/>
      <c r="AJ19" s="329"/>
      <c r="AK19" s="329"/>
      <c r="AL19" s="520">
        <v>135858716</v>
      </c>
      <c r="AM19" s="346"/>
      <c r="AN19" s="330"/>
      <c r="AO19" s="329"/>
      <c r="AP19" s="329"/>
      <c r="AQ19" s="520">
        <v>188882167</v>
      </c>
      <c r="AR19" s="346"/>
      <c r="AS19" s="330"/>
      <c r="AT19" s="329"/>
      <c r="AU19" s="329"/>
      <c r="AV19" s="520">
        <v>209069607</v>
      </c>
      <c r="AW19" s="346"/>
      <c r="AX19" s="330"/>
      <c r="AY19" s="329"/>
      <c r="AZ19" s="329"/>
      <c r="BA19" s="520">
        <v>234179335</v>
      </c>
      <c r="BB19" s="346"/>
      <c r="BC19" s="330"/>
      <c r="BD19" s="329"/>
      <c r="BE19" s="329"/>
      <c r="BF19" s="520">
        <v>235884810</v>
      </c>
      <c r="BG19" s="346"/>
      <c r="BH19" s="330"/>
      <c r="BI19" s="329"/>
      <c r="BJ19" s="329"/>
      <c r="BK19" s="520">
        <v>0</v>
      </c>
      <c r="BL19" s="346"/>
      <c r="BM19" s="330"/>
      <c r="BN19" s="329"/>
      <c r="BO19" s="329"/>
      <c r="BP19" s="520">
        <v>0</v>
      </c>
      <c r="BQ19" s="346"/>
      <c r="BR19" s="330"/>
      <c r="BS19" s="329"/>
      <c r="BT19" s="329"/>
      <c r="BU19" s="520">
        <f>BF19</f>
        <v>235884810</v>
      </c>
      <c r="BV19" s="346"/>
      <c r="BW19" s="330"/>
      <c r="BX19" s="329"/>
      <c r="BY19" s="329"/>
      <c r="BZ19" s="520">
        <v>44536225</v>
      </c>
      <c r="CA19" s="346"/>
      <c r="CB19" s="330"/>
      <c r="CC19" s="329"/>
      <c r="CD19" s="329"/>
      <c r="CE19" s="520">
        <v>27541644</v>
      </c>
      <c r="CF19" s="346"/>
      <c r="CG19" s="330"/>
      <c r="CH19" s="329"/>
      <c r="CI19" s="329"/>
      <c r="CJ19" s="520">
        <v>33339485</v>
      </c>
      <c r="CK19" s="346"/>
      <c r="CL19" s="330"/>
      <c r="CM19" s="329"/>
      <c r="CN19" s="329"/>
      <c r="CO19" s="520">
        <v>115078441</v>
      </c>
      <c r="CP19" s="346"/>
      <c r="CQ19" s="330"/>
      <c r="CR19" s="329"/>
      <c r="CS19" s="329"/>
      <c r="CT19" s="520">
        <v>46756026</v>
      </c>
      <c r="CU19" s="346"/>
      <c r="CV19" s="330"/>
      <c r="CW19" s="329"/>
      <c r="CX19" s="329"/>
      <c r="CY19" s="520">
        <v>36843796</v>
      </c>
      <c r="CZ19" s="346"/>
      <c r="DA19" s="330"/>
      <c r="DB19" s="329"/>
      <c r="DC19" s="329"/>
      <c r="DD19" s="520">
        <v>68686871</v>
      </c>
      <c r="DE19" s="346"/>
      <c r="DF19" s="330"/>
      <c r="DG19" s="329"/>
      <c r="DH19" s="329"/>
      <c r="DI19" s="520">
        <v>68719811</v>
      </c>
      <c r="DJ19" s="346"/>
      <c r="DK19" s="330"/>
      <c r="DL19" s="329"/>
      <c r="DM19" s="329"/>
      <c r="DN19" s="520">
        <v>78991172</v>
      </c>
      <c r="DO19" s="346"/>
      <c r="DP19" s="330"/>
      <c r="DQ19" s="329"/>
      <c r="DR19" s="329"/>
      <c r="DS19" s="520">
        <v>93399589</v>
      </c>
      <c r="DT19" s="346"/>
      <c r="DU19" s="330"/>
      <c r="DV19" s="329"/>
      <c r="DW19" s="329"/>
      <c r="DX19" s="520">
        <v>61341436</v>
      </c>
      <c r="DY19" s="346"/>
      <c r="DZ19" s="330"/>
      <c r="EA19" s="329"/>
      <c r="EB19" s="329"/>
      <c r="EC19" s="520">
        <v>90031748</v>
      </c>
      <c r="ED19" s="346"/>
      <c r="EE19" s="330"/>
      <c r="EF19" s="329"/>
      <c r="EG19" s="329"/>
      <c r="EH19" s="520">
        <v>44536225</v>
      </c>
      <c r="EI19" s="346"/>
      <c r="EJ19" s="330"/>
      <c r="EK19" s="329"/>
      <c r="EL19" s="329"/>
      <c r="EM19" s="520">
        <f>DX19</f>
        <v>61341436</v>
      </c>
      <c r="EN19" s="346"/>
      <c r="EO19" s="330"/>
      <c r="EP19" s="517"/>
      <c r="ER19" s="14"/>
    </row>
    <row r="20" spans="4:154" x14ac:dyDescent="0.2">
      <c r="D20" s="13"/>
      <c r="F20" s="198"/>
      <c r="G20" s="385"/>
      <c r="H20" s="522"/>
      <c r="I20" s="523"/>
      <c r="J20" s="330"/>
      <c r="K20" s="329"/>
      <c r="L20" s="524"/>
      <c r="M20" s="522"/>
      <c r="N20" s="523"/>
      <c r="O20" s="330"/>
      <c r="P20" s="329"/>
      <c r="Q20" s="524"/>
      <c r="R20" s="522"/>
      <c r="S20" s="523"/>
      <c r="T20" s="330"/>
      <c r="U20" s="329"/>
      <c r="V20" s="524"/>
      <c r="W20" s="522"/>
      <c r="X20" s="523"/>
      <c r="Y20" s="330"/>
      <c r="Z20" s="329"/>
      <c r="AA20" s="524"/>
      <c r="AB20" s="522"/>
      <c r="AC20" s="523"/>
      <c r="AD20" s="330"/>
      <c r="AE20" s="329"/>
      <c r="AF20" s="524"/>
      <c r="AG20" s="522"/>
      <c r="AH20" s="523"/>
      <c r="AI20" s="330"/>
      <c r="AJ20" s="329"/>
      <c r="AK20" s="524"/>
      <c r="AL20" s="522"/>
      <c r="AM20" s="523"/>
      <c r="AN20" s="330"/>
      <c r="AO20" s="329"/>
      <c r="AP20" s="524"/>
      <c r="AQ20" s="522"/>
      <c r="AR20" s="523"/>
      <c r="AS20" s="330"/>
      <c r="AT20" s="329"/>
      <c r="AU20" s="524"/>
      <c r="AV20" s="522"/>
      <c r="AW20" s="523"/>
      <c r="AX20" s="330"/>
      <c r="AY20" s="329"/>
      <c r="AZ20" s="524"/>
      <c r="BA20" s="522"/>
      <c r="BB20" s="523"/>
      <c r="BC20" s="330"/>
      <c r="BD20" s="329"/>
      <c r="BE20" s="524"/>
      <c r="BF20" s="522"/>
      <c r="BG20" s="523"/>
      <c r="BH20" s="330"/>
      <c r="BI20" s="329"/>
      <c r="BJ20" s="524"/>
      <c r="BK20" s="522"/>
      <c r="BL20" s="523"/>
      <c r="BM20" s="330"/>
      <c r="BN20" s="329"/>
      <c r="BO20" s="524"/>
      <c r="BP20" s="522"/>
      <c r="BQ20" s="523"/>
      <c r="BR20" s="330"/>
      <c r="BS20" s="329"/>
      <c r="BT20" s="524"/>
      <c r="BU20" s="522"/>
      <c r="BV20" s="523"/>
      <c r="BW20" s="330"/>
      <c r="BX20" s="329"/>
      <c r="BY20" s="524"/>
      <c r="BZ20" s="522"/>
      <c r="CA20" s="523"/>
      <c r="CB20" s="330"/>
      <c r="CC20" s="329"/>
      <c r="CD20" s="524"/>
      <c r="CE20" s="522"/>
      <c r="CF20" s="523"/>
      <c r="CG20" s="330"/>
      <c r="CH20" s="329"/>
      <c r="CI20" s="524"/>
      <c r="CJ20" s="522"/>
      <c r="CK20" s="523"/>
      <c r="CL20" s="330"/>
      <c r="CM20" s="329"/>
      <c r="CN20" s="524"/>
      <c r="CO20" s="522"/>
      <c r="CP20" s="523"/>
      <c r="CQ20" s="330"/>
      <c r="CR20" s="329"/>
      <c r="CS20" s="524"/>
      <c r="CT20" s="522"/>
      <c r="CU20" s="523"/>
      <c r="CV20" s="330"/>
      <c r="CW20" s="329"/>
      <c r="CX20" s="524"/>
      <c r="CY20" s="522"/>
      <c r="CZ20" s="523"/>
      <c r="DA20" s="330"/>
      <c r="DB20" s="329"/>
      <c r="DC20" s="524"/>
      <c r="DD20" s="522"/>
      <c r="DE20" s="523"/>
      <c r="DF20" s="330"/>
      <c r="DG20" s="329"/>
      <c r="DH20" s="524"/>
      <c r="DI20" s="522"/>
      <c r="DJ20" s="523"/>
      <c r="DK20" s="330"/>
      <c r="DL20" s="329"/>
      <c r="DM20" s="524"/>
      <c r="DN20" s="522"/>
      <c r="DO20" s="523"/>
      <c r="DP20" s="330"/>
      <c r="DQ20" s="329"/>
      <c r="DR20" s="524"/>
      <c r="DS20" s="522"/>
      <c r="DT20" s="523"/>
      <c r="DU20" s="330"/>
      <c r="DV20" s="329"/>
      <c r="DW20" s="524"/>
      <c r="DX20" s="522"/>
      <c r="DY20" s="523"/>
      <c r="DZ20" s="330"/>
      <c r="EA20" s="329"/>
      <c r="EB20" s="524"/>
      <c r="EC20" s="522"/>
      <c r="ED20" s="523"/>
      <c r="EE20" s="330"/>
      <c r="EF20" s="329"/>
      <c r="EG20" s="524"/>
      <c r="EH20" s="522"/>
      <c r="EI20" s="523"/>
      <c r="EJ20" s="330"/>
      <c r="EK20" s="329"/>
      <c r="EL20" s="524"/>
      <c r="EM20" s="522"/>
      <c r="EN20" s="523"/>
      <c r="EO20" s="330"/>
      <c r="EP20" s="517"/>
      <c r="ER20" s="14"/>
    </row>
    <row r="21" spans="4:154" x14ac:dyDescent="0.2">
      <c r="D21" s="13"/>
      <c r="F21" s="198"/>
      <c r="H21" s="388"/>
      <c r="I21" s="388"/>
      <c r="J21" s="388"/>
      <c r="K21" s="387"/>
      <c r="L21" s="388"/>
      <c r="M21" s="388"/>
      <c r="N21" s="388"/>
      <c r="O21" s="388"/>
      <c r="P21" s="387"/>
      <c r="Q21" s="388"/>
      <c r="R21" s="388"/>
      <c r="S21" s="388"/>
      <c r="T21" s="388"/>
      <c r="U21" s="387"/>
      <c r="V21" s="388"/>
      <c r="W21" s="388"/>
      <c r="X21" s="388"/>
      <c r="Y21" s="388"/>
      <c r="Z21" s="387"/>
      <c r="AA21" s="388"/>
      <c r="AB21" s="388"/>
      <c r="AC21" s="388"/>
      <c r="AD21" s="388"/>
      <c r="AE21" s="387"/>
      <c r="AF21" s="388"/>
      <c r="AG21" s="388"/>
      <c r="AH21" s="388"/>
      <c r="AI21" s="388"/>
      <c r="AJ21" s="387"/>
      <c r="AK21" s="388"/>
      <c r="AL21" s="388"/>
      <c r="AM21" s="388"/>
      <c r="AN21" s="388"/>
      <c r="AO21" s="387"/>
      <c r="AP21" s="388"/>
      <c r="AQ21" s="388"/>
      <c r="AR21" s="388"/>
      <c r="AS21" s="388"/>
      <c r="AT21" s="387"/>
      <c r="AU21" s="388"/>
      <c r="AV21" s="388"/>
      <c r="AW21" s="388"/>
      <c r="AX21" s="388"/>
      <c r="AY21" s="387"/>
      <c r="AZ21" s="388"/>
      <c r="BA21" s="388"/>
      <c r="BB21" s="388"/>
      <c r="BC21" s="388"/>
      <c r="BD21" s="387"/>
      <c r="BE21" s="388"/>
      <c r="BF21" s="388"/>
      <c r="BG21" s="388"/>
      <c r="BH21" s="388"/>
      <c r="BI21" s="387"/>
      <c r="BJ21" s="388"/>
      <c r="BK21" s="388"/>
      <c r="BL21" s="388"/>
      <c r="BM21" s="388"/>
      <c r="BN21" s="387"/>
      <c r="BO21" s="388"/>
      <c r="BP21" s="388"/>
      <c r="BQ21" s="388"/>
      <c r="BR21" s="388"/>
      <c r="BS21" s="387"/>
      <c r="BT21" s="388"/>
      <c r="BU21" s="388"/>
      <c r="BV21" s="388"/>
      <c r="BW21" s="388"/>
      <c r="BX21" s="387"/>
      <c r="BY21" s="388"/>
      <c r="BZ21" s="388"/>
      <c r="CA21" s="388"/>
      <c r="CB21" s="388"/>
      <c r="CC21" s="387"/>
      <c r="CD21" s="388"/>
      <c r="CE21" s="388"/>
      <c r="CF21" s="388"/>
      <c r="CG21" s="388"/>
      <c r="CH21" s="387"/>
      <c r="CI21" s="388"/>
      <c r="CJ21" s="388"/>
      <c r="CK21" s="388"/>
      <c r="CL21" s="388"/>
      <c r="CM21" s="387"/>
      <c r="CN21" s="388"/>
      <c r="CO21" s="388"/>
      <c r="CP21" s="388"/>
      <c r="CQ21" s="388"/>
      <c r="CR21" s="387"/>
      <c r="CS21" s="388"/>
      <c r="CT21" s="388"/>
      <c r="CU21" s="388"/>
      <c r="CV21" s="388"/>
      <c r="CW21" s="387"/>
      <c r="CX21" s="388"/>
      <c r="CY21" s="388"/>
      <c r="CZ21" s="388"/>
      <c r="DA21" s="388"/>
      <c r="DB21" s="387"/>
      <c r="DC21" s="388"/>
      <c r="DD21" s="388"/>
      <c r="DE21" s="388"/>
      <c r="DF21" s="388"/>
      <c r="DG21" s="387"/>
      <c r="DH21" s="388"/>
      <c r="DI21" s="388"/>
      <c r="DJ21" s="388"/>
      <c r="DK21" s="388"/>
      <c r="DL21" s="387"/>
      <c r="DM21" s="388"/>
      <c r="DN21" s="388"/>
      <c r="DO21" s="388"/>
      <c r="DP21" s="388"/>
      <c r="DQ21" s="387"/>
      <c r="DR21" s="388"/>
      <c r="DS21" s="388"/>
      <c r="DT21" s="388"/>
      <c r="DU21" s="388"/>
      <c r="DV21" s="387"/>
      <c r="DW21" s="388"/>
      <c r="DX21" s="388"/>
      <c r="DY21" s="388"/>
      <c r="DZ21" s="388"/>
      <c r="EA21" s="387"/>
      <c r="EB21" s="388"/>
      <c r="EC21" s="388"/>
      <c r="ED21" s="388"/>
      <c r="EE21" s="388"/>
      <c r="EF21" s="387"/>
      <c r="EG21" s="388"/>
      <c r="EH21" s="388"/>
      <c r="EI21" s="388"/>
      <c r="EJ21" s="388"/>
      <c r="EK21" s="387"/>
      <c r="EL21" s="388"/>
      <c r="EM21" s="434"/>
      <c r="EN21" s="388"/>
      <c r="EO21" s="388"/>
      <c r="EP21" s="433"/>
      <c r="ER21" s="14"/>
    </row>
    <row r="22" spans="4:154" s="14" customFormat="1" x14ac:dyDescent="0.2">
      <c r="D22" s="93"/>
      <c r="E22" s="141"/>
      <c r="F22" s="180"/>
      <c r="H22" s="390"/>
      <c r="I22" s="390"/>
      <c r="J22" s="390"/>
      <c r="K22" s="389"/>
      <c r="L22" s="390"/>
      <c r="M22" s="390"/>
      <c r="N22" s="390"/>
      <c r="O22" s="390"/>
      <c r="P22" s="389"/>
      <c r="Q22" s="390"/>
      <c r="R22" s="390"/>
      <c r="S22" s="390"/>
      <c r="T22" s="390"/>
      <c r="U22" s="389"/>
      <c r="V22" s="390"/>
      <c r="W22" s="390"/>
      <c r="X22" s="390"/>
      <c r="Y22" s="390"/>
      <c r="Z22" s="389"/>
      <c r="AA22" s="390"/>
      <c r="AB22" s="390"/>
      <c r="AC22" s="390"/>
      <c r="AD22" s="390"/>
      <c r="AE22" s="389"/>
      <c r="AF22" s="390"/>
      <c r="AG22" s="390"/>
      <c r="AH22" s="390"/>
      <c r="AI22" s="390"/>
      <c r="AJ22" s="389"/>
      <c r="AK22" s="390"/>
      <c r="AL22" s="390"/>
      <c r="AM22" s="390"/>
      <c r="AN22" s="390"/>
      <c r="AO22" s="389"/>
      <c r="AP22" s="390"/>
      <c r="AQ22" s="390"/>
      <c r="AR22" s="390"/>
      <c r="AS22" s="390"/>
      <c r="AT22" s="389"/>
      <c r="AU22" s="390"/>
      <c r="AV22" s="390"/>
      <c r="AW22" s="390"/>
      <c r="AX22" s="390"/>
      <c r="AY22" s="389"/>
      <c r="AZ22" s="390"/>
      <c r="BA22" s="390"/>
      <c r="BB22" s="390"/>
      <c r="BC22" s="390"/>
      <c r="BD22" s="389"/>
      <c r="BE22" s="390"/>
      <c r="BF22" s="390"/>
      <c r="BG22" s="390"/>
      <c r="BH22" s="390"/>
      <c r="BI22" s="389"/>
      <c r="BJ22" s="390"/>
      <c r="BK22" s="390"/>
      <c r="BL22" s="390"/>
      <c r="BM22" s="390"/>
      <c r="BN22" s="389"/>
      <c r="BO22" s="390"/>
      <c r="BP22" s="390"/>
      <c r="BQ22" s="390"/>
      <c r="BR22" s="390"/>
      <c r="BS22" s="389"/>
      <c r="BT22" s="390"/>
      <c r="BU22" s="390"/>
      <c r="BV22" s="390"/>
      <c r="BW22" s="390"/>
      <c r="BX22" s="389"/>
      <c r="BY22" s="390"/>
      <c r="BZ22" s="390"/>
      <c r="CA22" s="390"/>
      <c r="CB22" s="390"/>
      <c r="CC22" s="389"/>
      <c r="CD22" s="390"/>
      <c r="CE22" s="390"/>
      <c r="CF22" s="390"/>
      <c r="CG22" s="390"/>
      <c r="CH22" s="389"/>
      <c r="CI22" s="390"/>
      <c r="CJ22" s="390"/>
      <c r="CK22" s="390"/>
      <c r="CL22" s="390"/>
      <c r="CM22" s="389"/>
      <c r="CN22" s="390"/>
      <c r="CO22" s="390"/>
      <c r="CP22" s="390"/>
      <c r="CQ22" s="390"/>
      <c r="CR22" s="389"/>
      <c r="CS22" s="390"/>
      <c r="CT22" s="390"/>
      <c r="CU22" s="390"/>
      <c r="CV22" s="390"/>
      <c r="CW22" s="389"/>
      <c r="CX22" s="390"/>
      <c r="CY22" s="390"/>
      <c r="CZ22" s="390"/>
      <c r="DA22" s="390"/>
      <c r="DB22" s="389"/>
      <c r="DC22" s="390"/>
      <c r="DD22" s="390"/>
      <c r="DE22" s="390"/>
      <c r="DF22" s="390"/>
      <c r="DG22" s="389"/>
      <c r="DH22" s="390"/>
      <c r="DI22" s="390"/>
      <c r="DJ22" s="390"/>
      <c r="DK22" s="390"/>
      <c r="DL22" s="389"/>
      <c r="DM22" s="390"/>
      <c r="DN22" s="390"/>
      <c r="DO22" s="390"/>
      <c r="DP22" s="390"/>
      <c r="DQ22" s="389"/>
      <c r="DR22" s="390"/>
      <c r="DS22" s="390"/>
      <c r="DT22" s="390"/>
      <c r="DU22" s="390"/>
      <c r="DV22" s="389"/>
      <c r="DW22" s="390"/>
      <c r="DX22" s="390"/>
      <c r="DY22" s="390"/>
      <c r="DZ22" s="390"/>
      <c r="EA22" s="389"/>
      <c r="EB22" s="390"/>
      <c r="EC22" s="390"/>
      <c r="ED22" s="390"/>
      <c r="EE22" s="390"/>
      <c r="EF22" s="389"/>
      <c r="EG22" s="390"/>
      <c r="EH22" s="390"/>
      <c r="EI22" s="390"/>
      <c r="EJ22" s="390"/>
      <c r="EK22" s="389"/>
      <c r="EL22" s="390"/>
      <c r="EM22" s="390"/>
      <c r="EN22" s="390"/>
      <c r="EO22" s="390"/>
      <c r="EP22" s="468"/>
    </row>
    <row r="23" spans="4:154" s="14" customFormat="1" x14ac:dyDescent="0.2">
      <c r="D23" s="177" t="s">
        <v>497</v>
      </c>
      <c r="E23" s="141"/>
      <c r="F23" s="180"/>
      <c r="H23" s="336">
        <v>0</v>
      </c>
      <c r="I23" s="336"/>
      <c r="J23" s="336"/>
      <c r="K23" s="335"/>
      <c r="L23" s="336"/>
      <c r="M23" s="336">
        <v>34143659</v>
      </c>
      <c r="N23" s="336"/>
      <c r="O23" s="336"/>
      <c r="P23" s="335"/>
      <c r="Q23" s="336"/>
      <c r="R23" s="336">
        <v>-4349966</v>
      </c>
      <c r="S23" s="336"/>
      <c r="T23" s="336"/>
      <c r="U23" s="335"/>
      <c r="V23" s="336"/>
      <c r="W23" s="336">
        <v>2527515</v>
      </c>
      <c r="X23" s="336"/>
      <c r="Y23" s="336"/>
      <c r="Z23" s="335"/>
      <c r="AA23" s="336"/>
      <c r="AB23" s="336">
        <v>-24856159</v>
      </c>
      <c r="AC23" s="336"/>
      <c r="AD23" s="336"/>
      <c r="AE23" s="335"/>
      <c r="AF23" s="336"/>
      <c r="AG23" s="336">
        <v>26866570</v>
      </c>
      <c r="AH23" s="336"/>
      <c r="AI23" s="336"/>
      <c r="AJ23" s="335"/>
      <c r="AK23" s="336"/>
      <c r="AL23" s="336">
        <v>-5977613</v>
      </c>
      <c r="AM23" s="336"/>
      <c r="AN23" s="336"/>
      <c r="AO23" s="335"/>
      <c r="AP23" s="336"/>
      <c r="AQ23" s="336">
        <v>15416167</v>
      </c>
      <c r="AR23" s="336"/>
      <c r="AS23" s="336"/>
      <c r="AT23" s="335"/>
      <c r="AU23" s="336"/>
      <c r="AV23" s="336">
        <v>-315227</v>
      </c>
      <c r="AW23" s="336"/>
      <c r="AX23" s="336"/>
      <c r="AY23" s="335"/>
      <c r="AZ23" s="336"/>
      <c r="BA23" s="336">
        <v>-6539100</v>
      </c>
      <c r="BB23" s="336"/>
      <c r="BC23" s="336"/>
      <c r="BD23" s="335"/>
      <c r="BE23" s="336"/>
      <c r="BF23" s="336">
        <v>59957836</v>
      </c>
      <c r="BG23" s="336"/>
      <c r="BH23" s="336"/>
      <c r="BI23" s="335"/>
      <c r="BJ23" s="336"/>
      <c r="BK23" s="336">
        <v>0</v>
      </c>
      <c r="BL23" s="336"/>
      <c r="BM23" s="336"/>
      <c r="BN23" s="335"/>
      <c r="BO23" s="336"/>
      <c r="BP23" s="336">
        <v>0</v>
      </c>
      <c r="BQ23" s="336"/>
      <c r="BR23" s="336"/>
      <c r="BS23" s="335"/>
      <c r="BT23" s="336"/>
      <c r="BU23" s="336">
        <f>SUM(M23:BP23)</f>
        <v>96873682</v>
      </c>
      <c r="BV23" s="336"/>
      <c r="BW23" s="336"/>
      <c r="BX23" s="335"/>
      <c r="BY23" s="336"/>
      <c r="BZ23" s="336">
        <v>-17008126</v>
      </c>
      <c r="CA23" s="336"/>
      <c r="CB23" s="336"/>
      <c r="CC23" s="335"/>
      <c r="CD23" s="336"/>
      <c r="CE23" s="336">
        <v>-17895405</v>
      </c>
      <c r="CF23" s="336"/>
      <c r="CG23" s="336"/>
      <c r="CH23" s="335"/>
      <c r="CI23" s="336"/>
      <c r="CJ23" s="336">
        <v>-2162772</v>
      </c>
      <c r="CK23" s="336"/>
      <c r="CL23" s="336"/>
      <c r="CM23" s="335"/>
      <c r="CN23" s="336"/>
      <c r="CO23" s="336">
        <v>1746060</v>
      </c>
      <c r="CP23" s="336"/>
      <c r="CQ23" s="336"/>
      <c r="CR23" s="335"/>
      <c r="CS23" s="336"/>
      <c r="CT23" s="336">
        <v>9207825</v>
      </c>
      <c r="CU23" s="336"/>
      <c r="CV23" s="336"/>
      <c r="CW23" s="335"/>
      <c r="CX23" s="336"/>
      <c r="CY23" s="336">
        <f>-8222766</f>
        <v>-8222766</v>
      </c>
      <c r="CZ23" s="336"/>
      <c r="DA23" s="336"/>
      <c r="DB23" s="335"/>
      <c r="DC23" s="336"/>
      <c r="DD23" s="336">
        <v>21412052</v>
      </c>
      <c r="DE23" s="336"/>
      <c r="DF23" s="336"/>
      <c r="DG23" s="335"/>
      <c r="DH23" s="336"/>
      <c r="DI23" s="336">
        <v>67094</v>
      </c>
      <c r="DJ23" s="336"/>
      <c r="DK23" s="336"/>
      <c r="DL23" s="335"/>
      <c r="DM23" s="336"/>
      <c r="DN23" s="336">
        <v>5423083</v>
      </c>
      <c r="DO23" s="336"/>
      <c r="DP23" s="336"/>
      <c r="DQ23" s="335"/>
      <c r="DR23" s="336"/>
      <c r="DS23" s="336">
        <v>3006040</v>
      </c>
      <c r="DT23" s="336"/>
      <c r="DU23" s="336"/>
      <c r="DV23" s="335"/>
      <c r="DW23" s="336"/>
      <c r="DX23" s="336">
        <f>484408</f>
        <v>484408</v>
      </c>
      <c r="DY23" s="336"/>
      <c r="DZ23" s="336"/>
      <c r="EA23" s="335"/>
      <c r="EB23" s="336"/>
      <c r="EC23" s="336">
        <v>4553332</v>
      </c>
      <c r="ED23" s="336"/>
      <c r="EE23" s="336"/>
      <c r="EF23" s="335"/>
      <c r="EG23" s="336"/>
      <c r="EH23" s="336">
        <f>-34627078+1</f>
        <v>-34627077</v>
      </c>
      <c r="EI23" s="336"/>
      <c r="EJ23" s="336"/>
      <c r="EK23" s="335"/>
      <c r="EL23" s="336"/>
      <c r="EM23" s="336">
        <f>SUM(CE23:DX23)</f>
        <v>13065619</v>
      </c>
      <c r="EN23" s="336"/>
      <c r="EO23" s="336"/>
      <c r="EP23" s="513"/>
    </row>
    <row r="24" spans="4:154" x14ac:dyDescent="0.2">
      <c r="D24" s="13"/>
      <c r="F24" s="198"/>
      <c r="H24" s="388"/>
      <c r="I24" s="388"/>
      <c r="J24" s="388"/>
      <c r="K24" s="387"/>
      <c r="L24" s="388"/>
      <c r="M24" s="388"/>
      <c r="N24" s="388"/>
      <c r="O24" s="388"/>
      <c r="P24" s="387"/>
      <c r="Q24" s="388"/>
      <c r="R24" s="388"/>
      <c r="S24" s="388"/>
      <c r="T24" s="388"/>
      <c r="U24" s="387"/>
      <c r="V24" s="388"/>
      <c r="W24" s="388"/>
      <c r="X24" s="388"/>
      <c r="Y24" s="388"/>
      <c r="Z24" s="387"/>
      <c r="AA24" s="388"/>
      <c r="AB24" s="388"/>
      <c r="AC24" s="388"/>
      <c r="AD24" s="388"/>
      <c r="AE24" s="387"/>
      <c r="AF24" s="388"/>
      <c r="AG24" s="388"/>
      <c r="AH24" s="388"/>
      <c r="AI24" s="388"/>
      <c r="AJ24" s="387"/>
      <c r="AK24" s="388"/>
      <c r="AL24" s="388"/>
      <c r="AM24" s="388"/>
      <c r="AN24" s="388"/>
      <c r="AO24" s="387"/>
      <c r="AP24" s="388"/>
      <c r="AQ24" s="388"/>
      <c r="AR24" s="388"/>
      <c r="AS24" s="388"/>
      <c r="AT24" s="387"/>
      <c r="AU24" s="388"/>
      <c r="AV24" s="388"/>
      <c r="AW24" s="388"/>
      <c r="AX24" s="388"/>
      <c r="AY24" s="387"/>
      <c r="AZ24" s="388"/>
      <c r="BA24" s="388"/>
      <c r="BB24" s="388"/>
      <c r="BC24" s="388"/>
      <c r="BD24" s="387"/>
      <c r="BE24" s="388"/>
      <c r="BF24" s="388"/>
      <c r="BG24" s="388"/>
      <c r="BH24" s="388"/>
      <c r="BI24" s="387"/>
      <c r="BJ24" s="388"/>
      <c r="BK24" s="388"/>
      <c r="BL24" s="388"/>
      <c r="BM24" s="388"/>
      <c r="BN24" s="387"/>
      <c r="BO24" s="388"/>
      <c r="BP24" s="388"/>
      <c r="BQ24" s="388"/>
      <c r="BR24" s="388"/>
      <c r="BS24" s="387"/>
      <c r="BT24" s="388"/>
      <c r="BX24" s="198"/>
      <c r="BZ24" s="388"/>
      <c r="CA24" s="388"/>
      <c r="CB24" s="388"/>
      <c r="CC24" s="387"/>
      <c r="CD24" s="388"/>
      <c r="CE24" s="388"/>
      <c r="CF24" s="388"/>
      <c r="CG24" s="388"/>
      <c r="CH24" s="387"/>
      <c r="CI24" s="388"/>
      <c r="CJ24" s="388"/>
      <c r="CK24" s="388"/>
      <c r="CL24" s="388"/>
      <c r="CM24" s="387"/>
      <c r="CN24" s="388"/>
      <c r="CO24" s="388"/>
      <c r="CP24" s="388"/>
      <c r="CQ24" s="388"/>
      <c r="CR24" s="387"/>
      <c r="CS24" s="388"/>
      <c r="CT24" s="388"/>
      <c r="CU24" s="388"/>
      <c r="CV24" s="388"/>
      <c r="CW24" s="387"/>
      <c r="CX24" s="388"/>
      <c r="CY24" s="388"/>
      <c r="CZ24" s="388"/>
      <c r="DA24" s="388"/>
      <c r="DB24" s="387"/>
      <c r="DC24" s="388"/>
      <c r="DD24" s="388"/>
      <c r="DE24" s="388"/>
      <c r="DF24" s="388"/>
      <c r="DG24" s="387"/>
      <c r="DH24" s="388"/>
      <c r="DI24" s="388"/>
      <c r="DJ24" s="388"/>
      <c r="DK24" s="388"/>
      <c r="DL24" s="387"/>
      <c r="DM24" s="388"/>
      <c r="DN24" s="388"/>
      <c r="DO24" s="388"/>
      <c r="DP24" s="388"/>
      <c r="DQ24" s="387"/>
      <c r="DR24" s="388"/>
      <c r="DS24" s="388"/>
      <c r="DT24" s="388"/>
      <c r="DU24" s="388"/>
      <c r="DV24" s="387"/>
      <c r="DW24" s="388"/>
      <c r="DX24" s="388"/>
      <c r="DY24" s="388"/>
      <c r="DZ24" s="388"/>
      <c r="EA24" s="387"/>
      <c r="EB24" s="388"/>
      <c r="EC24" s="388"/>
      <c r="ED24" s="388"/>
      <c r="EE24" s="388"/>
      <c r="EF24" s="387"/>
      <c r="EG24" s="388"/>
      <c r="EH24" s="388"/>
      <c r="EI24" s="388"/>
      <c r="EJ24" s="388"/>
      <c r="EK24" s="387"/>
      <c r="EL24" s="388"/>
      <c r="EP24" s="13"/>
      <c r="ER24" s="14"/>
    </row>
    <row r="25" spans="4:154" s="14" customFormat="1" x14ac:dyDescent="0.2">
      <c r="D25" s="93" t="s">
        <v>498</v>
      </c>
      <c r="E25" s="141"/>
      <c r="F25" s="180"/>
      <c r="H25" s="390">
        <v>0</v>
      </c>
      <c r="I25" s="390"/>
      <c r="J25" s="390"/>
      <c r="K25" s="389"/>
      <c r="L25" s="390"/>
      <c r="M25" s="390">
        <v>0</v>
      </c>
      <c r="N25" s="390"/>
      <c r="O25" s="390"/>
      <c r="P25" s="389"/>
      <c r="Q25" s="390"/>
      <c r="R25" s="390">
        <v>0</v>
      </c>
      <c r="S25" s="390"/>
      <c r="T25" s="390"/>
      <c r="U25" s="389"/>
      <c r="V25" s="390"/>
      <c r="W25" s="390">
        <v>0</v>
      </c>
      <c r="X25" s="390"/>
      <c r="Y25" s="390"/>
      <c r="Z25" s="389"/>
      <c r="AA25" s="390"/>
      <c r="AB25" s="390">
        <v>0</v>
      </c>
      <c r="AC25" s="390"/>
      <c r="AD25" s="390"/>
      <c r="AE25" s="389"/>
      <c r="AF25" s="390"/>
      <c r="AG25" s="390">
        <v>0</v>
      </c>
      <c r="AH25" s="390"/>
      <c r="AI25" s="390"/>
      <c r="AJ25" s="389"/>
      <c r="AK25" s="390"/>
      <c r="AL25" s="390">
        <v>0</v>
      </c>
      <c r="AM25" s="390"/>
      <c r="AN25" s="390"/>
      <c r="AO25" s="389"/>
      <c r="AP25" s="390"/>
      <c r="AQ25" s="390">
        <v>0</v>
      </c>
      <c r="AR25" s="390"/>
      <c r="AS25" s="390"/>
      <c r="AT25" s="389"/>
      <c r="AU25" s="390"/>
      <c r="AV25" s="390">
        <v>0</v>
      </c>
      <c r="AW25" s="390"/>
      <c r="AX25" s="390"/>
      <c r="AY25" s="389"/>
      <c r="AZ25" s="390"/>
      <c r="BA25" s="390">
        <v>0</v>
      </c>
      <c r="BB25" s="390"/>
      <c r="BC25" s="390"/>
      <c r="BD25" s="389"/>
      <c r="BE25" s="390"/>
      <c r="BF25" s="390">
        <v>0</v>
      </c>
      <c r="BG25" s="390"/>
      <c r="BH25" s="390"/>
      <c r="BI25" s="389"/>
      <c r="BJ25" s="390"/>
      <c r="BK25" s="390">
        <v>0</v>
      </c>
      <c r="BL25" s="390"/>
      <c r="BM25" s="390"/>
      <c r="BN25" s="389"/>
      <c r="BO25" s="390"/>
      <c r="BP25" s="390">
        <v>0</v>
      </c>
      <c r="BQ25" s="390"/>
      <c r="BR25" s="390"/>
      <c r="BS25" s="389"/>
      <c r="BT25" s="390"/>
      <c r="BU25" s="336">
        <f>SUM(M25:BP25)</f>
        <v>0</v>
      </c>
      <c r="BX25" s="180"/>
      <c r="BZ25" s="390">
        <v>2087301.7651195501</v>
      </c>
      <c r="CA25" s="390"/>
      <c r="CB25" s="390"/>
      <c r="CC25" s="389"/>
      <c r="CD25" s="390"/>
      <c r="CE25" s="390">
        <v>0</v>
      </c>
      <c r="CF25" s="390"/>
      <c r="CG25" s="390"/>
      <c r="CH25" s="389"/>
      <c r="CI25" s="390"/>
      <c r="CJ25" s="390">
        <v>0</v>
      </c>
      <c r="CK25" s="390"/>
      <c r="CL25" s="390"/>
      <c r="CM25" s="389"/>
      <c r="CN25" s="390"/>
      <c r="CO25" s="390">
        <v>0</v>
      </c>
      <c r="CP25" s="390"/>
      <c r="CQ25" s="390"/>
      <c r="CR25" s="389"/>
      <c r="CS25" s="390"/>
      <c r="CT25" s="390">
        <v>0</v>
      </c>
      <c r="CU25" s="390"/>
      <c r="CV25" s="390"/>
      <c r="CW25" s="389"/>
      <c r="CX25" s="390"/>
      <c r="CY25" s="390">
        <v>0</v>
      </c>
      <c r="CZ25" s="390"/>
      <c r="DA25" s="390"/>
      <c r="DB25" s="389"/>
      <c r="DC25" s="390"/>
      <c r="DD25" s="390">
        <v>0</v>
      </c>
      <c r="DE25" s="390"/>
      <c r="DF25" s="390"/>
      <c r="DG25" s="389"/>
      <c r="DH25" s="390"/>
      <c r="DI25" s="390">
        <v>0</v>
      </c>
      <c r="DJ25" s="390"/>
      <c r="DK25" s="390"/>
      <c r="DL25" s="389"/>
      <c r="DM25" s="390"/>
      <c r="DN25" s="390">
        <v>0</v>
      </c>
      <c r="DO25" s="390"/>
      <c r="DP25" s="390"/>
      <c r="DQ25" s="389"/>
      <c r="DR25" s="390"/>
      <c r="DS25" s="390">
        <v>0</v>
      </c>
      <c r="DT25" s="390"/>
      <c r="DU25" s="390"/>
      <c r="DV25" s="389"/>
      <c r="DW25" s="390"/>
      <c r="DX25" s="390">
        <v>0</v>
      </c>
      <c r="DY25" s="390"/>
      <c r="DZ25" s="390"/>
      <c r="EA25" s="389"/>
      <c r="EB25" s="390"/>
      <c r="EC25" s="390">
        <v>0</v>
      </c>
      <c r="ED25" s="390"/>
      <c r="EE25" s="390"/>
      <c r="EF25" s="389"/>
      <c r="EG25" s="390"/>
      <c r="EH25" s="390">
        <v>2087353.7651195501</v>
      </c>
      <c r="EI25" s="390"/>
      <c r="EJ25" s="390"/>
      <c r="EK25" s="389"/>
      <c r="EL25" s="390"/>
      <c r="EM25" s="336">
        <f>SUM(CE25:DX25)</f>
        <v>0</v>
      </c>
      <c r="EP25" s="93"/>
      <c r="EX25" s="525"/>
    </row>
    <row r="26" spans="4:154" x14ac:dyDescent="0.2">
      <c r="D26" s="13"/>
      <c r="F26" s="198"/>
      <c r="H26" s="388"/>
      <c r="I26" s="388"/>
      <c r="J26" s="388"/>
      <c r="K26" s="387"/>
      <c r="L26" s="388"/>
      <c r="M26" s="388"/>
      <c r="N26" s="388"/>
      <c r="O26" s="388"/>
      <c r="P26" s="387"/>
      <c r="Q26" s="388"/>
      <c r="R26" s="388"/>
      <c r="S26" s="388"/>
      <c r="T26" s="388"/>
      <c r="U26" s="387"/>
      <c r="V26" s="388"/>
      <c r="W26" s="388"/>
      <c r="X26" s="388"/>
      <c r="Y26" s="388"/>
      <c r="Z26" s="387"/>
      <c r="AA26" s="388"/>
      <c r="AB26" s="388"/>
      <c r="AC26" s="388"/>
      <c r="AD26" s="388"/>
      <c r="AE26" s="387"/>
      <c r="AF26" s="388"/>
      <c r="AG26" s="388"/>
      <c r="AH26" s="388"/>
      <c r="AI26" s="388"/>
      <c r="AJ26" s="387"/>
      <c r="AK26" s="388"/>
      <c r="AL26" s="388"/>
      <c r="AM26" s="388"/>
      <c r="AN26" s="388"/>
      <c r="AO26" s="387"/>
      <c r="AP26" s="388"/>
      <c r="AQ26" s="388"/>
      <c r="AR26" s="388"/>
      <c r="AS26" s="388"/>
      <c r="AT26" s="387"/>
      <c r="AU26" s="388"/>
      <c r="AV26" s="388"/>
      <c r="AW26" s="388"/>
      <c r="AX26" s="388"/>
      <c r="AY26" s="387"/>
      <c r="AZ26" s="388"/>
      <c r="BA26" s="388"/>
      <c r="BB26" s="388"/>
      <c r="BC26" s="388"/>
      <c r="BD26" s="387"/>
      <c r="BE26" s="388"/>
      <c r="BF26" s="388"/>
      <c r="BG26" s="388"/>
      <c r="BH26" s="388"/>
      <c r="BI26" s="387"/>
      <c r="BJ26" s="388"/>
      <c r="BK26" s="388"/>
      <c r="BL26" s="388"/>
      <c r="BM26" s="388"/>
      <c r="BN26" s="387"/>
      <c r="BO26" s="388"/>
      <c r="BP26" s="388"/>
      <c r="BQ26" s="388"/>
      <c r="BR26" s="388"/>
      <c r="BS26" s="387"/>
      <c r="BT26" s="388"/>
      <c r="BU26" s="388"/>
      <c r="BV26" s="388"/>
      <c r="BW26" s="388"/>
      <c r="BX26" s="387"/>
      <c r="BY26" s="388"/>
      <c r="BZ26" s="388"/>
      <c r="CA26" s="388"/>
      <c r="CB26" s="388"/>
      <c r="CC26" s="387"/>
      <c r="CD26" s="388"/>
      <c r="CE26" s="388"/>
      <c r="CF26" s="388"/>
      <c r="CG26" s="388"/>
      <c r="CH26" s="387"/>
      <c r="CI26" s="388"/>
      <c r="CJ26" s="388"/>
      <c r="CK26" s="388"/>
      <c r="CL26" s="388"/>
      <c r="CM26" s="387"/>
      <c r="CN26" s="388"/>
      <c r="CO26" s="388"/>
      <c r="CP26" s="388"/>
      <c r="CQ26" s="388"/>
      <c r="CR26" s="387"/>
      <c r="CS26" s="388"/>
      <c r="CT26" s="388"/>
      <c r="CU26" s="388"/>
      <c r="CV26" s="388"/>
      <c r="CW26" s="387"/>
      <c r="CX26" s="388"/>
      <c r="CY26" s="388"/>
      <c r="CZ26" s="388"/>
      <c r="DA26" s="388"/>
      <c r="DB26" s="387"/>
      <c r="DC26" s="388"/>
      <c r="DD26" s="388"/>
      <c r="DE26" s="388"/>
      <c r="DF26" s="388"/>
      <c r="DG26" s="387"/>
      <c r="DH26" s="388"/>
      <c r="DI26" s="388"/>
      <c r="DJ26" s="388"/>
      <c r="DK26" s="388"/>
      <c r="DL26" s="387"/>
      <c r="DM26" s="388"/>
      <c r="DN26" s="388"/>
      <c r="DO26" s="388"/>
      <c r="DP26" s="388"/>
      <c r="DQ26" s="387"/>
      <c r="DR26" s="388"/>
      <c r="DS26" s="388"/>
      <c r="DT26" s="388"/>
      <c r="DU26" s="388"/>
      <c r="DV26" s="387"/>
      <c r="DW26" s="388"/>
      <c r="DX26" s="388"/>
      <c r="DY26" s="388"/>
      <c r="DZ26" s="388"/>
      <c r="EA26" s="387"/>
      <c r="EB26" s="388"/>
      <c r="EC26" s="388"/>
      <c r="ED26" s="388"/>
      <c r="EE26" s="388"/>
      <c r="EF26" s="387"/>
      <c r="EG26" s="388"/>
      <c r="EH26" s="388"/>
      <c r="EI26" s="388"/>
      <c r="EJ26" s="388"/>
      <c r="EK26" s="387"/>
      <c r="EL26" s="388"/>
      <c r="EM26" s="388"/>
      <c r="EN26" s="388"/>
      <c r="EO26" s="388"/>
      <c r="EP26" s="433"/>
      <c r="ER26" s="14"/>
    </row>
    <row r="27" spans="4:154" s="14" customFormat="1" x14ac:dyDescent="0.2">
      <c r="D27" s="93" t="s">
        <v>499</v>
      </c>
      <c r="E27" s="85" t="s">
        <v>62</v>
      </c>
      <c r="F27" s="198"/>
      <c r="G27" s="1"/>
      <c r="H27" s="336">
        <f>SUM(H28:H29)</f>
        <v>7368043.66846109</v>
      </c>
      <c r="I27" s="336"/>
      <c r="J27" s="336"/>
      <c r="K27" s="335"/>
      <c r="L27" s="336"/>
      <c r="M27" s="336">
        <f>SUM(M28:M29)</f>
        <v>0</v>
      </c>
      <c r="N27" s="336"/>
      <c r="O27" s="336"/>
      <c r="P27" s="335"/>
      <c r="Q27" s="336"/>
      <c r="R27" s="336">
        <f>SUM(R28:R29)</f>
        <v>871744.25600000005</v>
      </c>
      <c r="S27" s="336"/>
      <c r="T27" s="336"/>
      <c r="U27" s="335"/>
      <c r="V27" s="336"/>
      <c r="W27" s="336">
        <f>SUM(W28:W29)</f>
        <v>0</v>
      </c>
      <c r="X27" s="336"/>
      <c r="Y27" s="336"/>
      <c r="Z27" s="335"/>
      <c r="AA27" s="336"/>
      <c r="AB27" s="336">
        <f>SUM(AB28:AB29)</f>
        <v>126224</v>
      </c>
      <c r="AC27" s="336"/>
      <c r="AD27" s="336"/>
      <c r="AE27" s="335"/>
      <c r="AF27" s="336"/>
      <c r="AG27" s="336">
        <f>SUM(AG28:AG29)</f>
        <v>0</v>
      </c>
      <c r="AH27" s="336"/>
      <c r="AI27" s="336"/>
      <c r="AJ27" s="335"/>
      <c r="AK27" s="336"/>
      <c r="AL27" s="336">
        <f>SUM(AL28:AL29)</f>
        <v>3836</v>
      </c>
      <c r="AM27" s="336"/>
      <c r="AN27" s="336"/>
      <c r="AO27" s="335"/>
      <c r="AP27" s="336"/>
      <c r="AQ27" s="336">
        <f>SUM(AQ28:AQ29)</f>
        <v>1831061</v>
      </c>
      <c r="AR27" s="336"/>
      <c r="AS27" s="336"/>
      <c r="AT27" s="335"/>
      <c r="AU27" s="336"/>
      <c r="AV27" s="336">
        <f>SUM(AV28:AV29)</f>
        <v>2236273</v>
      </c>
      <c r="AW27" s="336"/>
      <c r="AX27" s="336"/>
      <c r="AY27" s="335"/>
      <c r="AZ27" s="336"/>
      <c r="BA27" s="336">
        <f>SUM(BA28:BA29)</f>
        <v>1620990</v>
      </c>
      <c r="BB27" s="336"/>
      <c r="BC27" s="336"/>
      <c r="BD27" s="335"/>
      <c r="BE27" s="336"/>
      <c r="BF27" s="336">
        <f>SUM(BF28:BF29)</f>
        <v>89678</v>
      </c>
      <c r="BG27" s="336"/>
      <c r="BH27" s="336"/>
      <c r="BI27" s="335"/>
      <c r="BJ27" s="336"/>
      <c r="BK27" s="336">
        <f>SUM(BK28:BK29)</f>
        <v>0</v>
      </c>
      <c r="BL27" s="336"/>
      <c r="BM27" s="336"/>
      <c r="BN27" s="335"/>
      <c r="BO27" s="336"/>
      <c r="BP27" s="336">
        <f>SUM(BP28:BP29)</f>
        <v>0</v>
      </c>
      <c r="BQ27" s="336"/>
      <c r="BR27" s="336"/>
      <c r="BS27" s="335"/>
      <c r="BT27" s="336"/>
      <c r="BU27" s="336">
        <f>SUM(BU28:BU29)</f>
        <v>6779806.2560000001</v>
      </c>
      <c r="BV27" s="336"/>
      <c r="BW27" s="336"/>
      <c r="BX27" s="335"/>
      <c r="BY27" s="336"/>
      <c r="BZ27" s="336">
        <f>SUM(BZ28:BZ29)</f>
        <v>11826596</v>
      </c>
      <c r="CA27" s="336"/>
      <c r="CB27" s="336"/>
      <c r="CC27" s="335"/>
      <c r="CD27" s="336"/>
      <c r="CE27" s="336">
        <f>SUM(CE28:CE29)</f>
        <v>1285536</v>
      </c>
      <c r="CF27" s="336"/>
      <c r="CG27" s="336"/>
      <c r="CH27" s="335"/>
      <c r="CI27" s="336"/>
      <c r="CJ27" s="336">
        <f>SUM(CJ28:CJ29)</f>
        <v>0</v>
      </c>
      <c r="CK27" s="336"/>
      <c r="CL27" s="336"/>
      <c r="CM27" s="335"/>
      <c r="CN27" s="336"/>
      <c r="CO27" s="336">
        <f>SUM(CO28:CO29)</f>
        <v>12272</v>
      </c>
      <c r="CP27" s="336"/>
      <c r="CQ27" s="336"/>
      <c r="CR27" s="335"/>
      <c r="CS27" s="336"/>
      <c r="CT27" s="336">
        <f>SUM(CT28:CT29)</f>
        <v>0</v>
      </c>
      <c r="CU27" s="336"/>
      <c r="CV27" s="336"/>
      <c r="CW27" s="335"/>
      <c r="CX27" s="336"/>
      <c r="CY27" s="336">
        <f>SUM(CY28:CY29)</f>
        <v>1736919</v>
      </c>
      <c r="CZ27" s="336"/>
      <c r="DA27" s="336"/>
      <c r="DB27" s="335"/>
      <c r="DC27" s="336"/>
      <c r="DD27" s="336">
        <f>SUM(DD28:DD29)</f>
        <v>245929</v>
      </c>
      <c r="DE27" s="336"/>
      <c r="DF27" s="336"/>
      <c r="DG27" s="335"/>
      <c r="DH27" s="336"/>
      <c r="DI27" s="336">
        <f>SUM(DI28:DI29)</f>
        <v>2261765</v>
      </c>
      <c r="DJ27" s="336"/>
      <c r="DK27" s="336"/>
      <c r="DL27" s="335"/>
      <c r="DM27" s="336"/>
      <c r="DN27" s="336">
        <f>SUM(DN28:DN29)</f>
        <v>1146180</v>
      </c>
      <c r="DO27" s="336"/>
      <c r="DP27" s="336"/>
      <c r="DQ27" s="335"/>
      <c r="DR27" s="336"/>
      <c r="DS27" s="336">
        <f>SUM(DS28:DS29)</f>
        <v>1005353</v>
      </c>
      <c r="DT27" s="336"/>
      <c r="DU27" s="336"/>
      <c r="DV27" s="335"/>
      <c r="DW27" s="336"/>
      <c r="DX27" s="336">
        <f>SUM(DX28:DX29)</f>
        <v>41798</v>
      </c>
      <c r="DY27" s="336"/>
      <c r="DZ27" s="336"/>
      <c r="EA27" s="335"/>
      <c r="EB27" s="336"/>
      <c r="EC27" s="336">
        <f>SUM(EC28:EC29)</f>
        <v>360442</v>
      </c>
      <c r="ED27" s="336"/>
      <c r="EE27" s="336"/>
      <c r="EF27" s="335"/>
      <c r="EG27" s="336"/>
      <c r="EH27" s="336">
        <f>SUM(EH28:EH29)</f>
        <v>3730402</v>
      </c>
      <c r="EI27" s="336"/>
      <c r="EJ27" s="336"/>
      <c r="EK27" s="335"/>
      <c r="EL27" s="336"/>
      <c r="EM27" s="512">
        <f>SUM(EM28:EM29)</f>
        <v>7735752</v>
      </c>
      <c r="EN27" s="336"/>
      <c r="EO27" s="336"/>
      <c r="EP27" s="513"/>
    </row>
    <row r="28" spans="4:154" s="14" customFormat="1" x14ac:dyDescent="0.2">
      <c r="D28" s="526" t="s">
        <v>500</v>
      </c>
      <c r="E28" s="141"/>
      <c r="F28" s="182"/>
      <c r="G28" s="527"/>
      <c r="H28" s="528">
        <f>4082765.44774151+3285278.22071958</f>
        <v>7368043.66846109</v>
      </c>
      <c r="I28" s="528"/>
      <c r="J28" s="529"/>
      <c r="K28" s="529"/>
      <c r="L28" s="528"/>
      <c r="M28" s="528">
        <v>0</v>
      </c>
      <c r="N28" s="528"/>
      <c r="O28" s="529"/>
      <c r="P28" s="529"/>
      <c r="Q28" s="528"/>
      <c r="R28" s="528">
        <v>871744.25600000005</v>
      </c>
      <c r="S28" s="528"/>
      <c r="T28" s="529"/>
      <c r="U28" s="529"/>
      <c r="V28" s="528"/>
      <c r="W28" s="528">
        <v>0</v>
      </c>
      <c r="X28" s="528"/>
      <c r="Y28" s="529"/>
      <c r="Z28" s="529"/>
      <c r="AA28" s="528"/>
      <c r="AB28" s="528">
        <v>126224</v>
      </c>
      <c r="AC28" s="528"/>
      <c r="AD28" s="529"/>
      <c r="AE28" s="529"/>
      <c r="AF28" s="528"/>
      <c r="AG28" s="528">
        <v>0</v>
      </c>
      <c r="AH28" s="528"/>
      <c r="AI28" s="529"/>
      <c r="AJ28" s="529"/>
      <c r="AK28" s="528"/>
      <c r="AL28" s="528">
        <v>3836</v>
      </c>
      <c r="AM28" s="528"/>
      <c r="AN28" s="529"/>
      <c r="AO28" s="529"/>
      <c r="AP28" s="528"/>
      <c r="AQ28" s="528">
        <v>1831061</v>
      </c>
      <c r="AR28" s="528"/>
      <c r="AS28" s="529"/>
      <c r="AT28" s="529"/>
      <c r="AU28" s="528"/>
      <c r="AV28" s="528">
        <v>2236273</v>
      </c>
      <c r="AW28" s="528"/>
      <c r="AX28" s="529"/>
      <c r="AY28" s="529"/>
      <c r="AZ28" s="528"/>
      <c r="BA28" s="528">
        <v>1620990</v>
      </c>
      <c r="BB28" s="457"/>
      <c r="BC28" s="529"/>
      <c r="BD28" s="529"/>
      <c r="BE28" s="457"/>
      <c r="BF28" s="528">
        <v>89678</v>
      </c>
      <c r="BG28" s="528"/>
      <c r="BH28" s="529"/>
      <c r="BI28" s="529"/>
      <c r="BJ28" s="528"/>
      <c r="BK28" s="528">
        <v>0</v>
      </c>
      <c r="BL28" s="528"/>
      <c r="BM28" s="529"/>
      <c r="BN28" s="529"/>
      <c r="BO28" s="528"/>
      <c r="BP28" s="528">
        <v>0</v>
      </c>
      <c r="BQ28" s="528"/>
      <c r="BR28" s="529"/>
      <c r="BS28" s="529"/>
      <c r="BT28" s="528"/>
      <c r="BU28" s="528">
        <f>SUM(M28:BP28)</f>
        <v>6779806.2560000001</v>
      </c>
      <c r="BV28" s="528"/>
      <c r="BW28" s="529"/>
      <c r="BX28" s="529"/>
      <c r="BY28" s="528"/>
      <c r="BZ28" s="528">
        <v>11826596</v>
      </c>
      <c r="CA28" s="528"/>
      <c r="CB28" s="529"/>
      <c r="CC28" s="529"/>
      <c r="CD28" s="528"/>
      <c r="CE28" s="528">
        <v>1285536</v>
      </c>
      <c r="CF28" s="528"/>
      <c r="CG28" s="529"/>
      <c r="CH28" s="529"/>
      <c r="CI28" s="528"/>
      <c r="CJ28" s="528">
        <v>0</v>
      </c>
      <c r="CK28" s="528"/>
      <c r="CL28" s="529"/>
      <c r="CM28" s="529"/>
      <c r="CN28" s="528"/>
      <c r="CO28" s="528">
        <v>12272</v>
      </c>
      <c r="CP28" s="528"/>
      <c r="CQ28" s="529"/>
      <c r="CR28" s="529"/>
      <c r="CS28" s="528"/>
      <c r="CT28" s="528">
        <v>0</v>
      </c>
      <c r="CU28" s="528"/>
      <c r="CV28" s="529"/>
      <c r="CW28" s="529"/>
      <c r="CX28" s="528"/>
      <c r="CY28" s="528">
        <v>1736919</v>
      </c>
      <c r="CZ28" s="528"/>
      <c r="DA28" s="529"/>
      <c r="DB28" s="529"/>
      <c r="DC28" s="528"/>
      <c r="DD28" s="528">
        <v>245929</v>
      </c>
      <c r="DE28" s="528"/>
      <c r="DF28" s="529"/>
      <c r="DG28" s="529"/>
      <c r="DH28" s="528"/>
      <c r="DI28" s="528">
        <v>2261765</v>
      </c>
      <c r="DJ28" s="528"/>
      <c r="DK28" s="529"/>
      <c r="DL28" s="529"/>
      <c r="DM28" s="528"/>
      <c r="DN28" s="528">
        <v>1146180</v>
      </c>
      <c r="DO28" s="528"/>
      <c r="DP28" s="529"/>
      <c r="DQ28" s="529"/>
      <c r="DR28" s="528"/>
      <c r="DS28" s="528">
        <v>1005353</v>
      </c>
      <c r="DT28" s="457"/>
      <c r="DU28" s="529"/>
      <c r="DV28" s="529"/>
      <c r="DW28" s="457"/>
      <c r="DX28" s="528">
        <v>41798</v>
      </c>
      <c r="DY28" s="528"/>
      <c r="DZ28" s="529"/>
      <c r="EA28" s="529"/>
      <c r="EB28" s="528"/>
      <c r="EC28" s="528">
        <v>360442</v>
      </c>
      <c r="ED28" s="528"/>
      <c r="EE28" s="529"/>
      <c r="EF28" s="529"/>
      <c r="EG28" s="528"/>
      <c r="EH28" s="528">
        <v>3730402</v>
      </c>
      <c r="EI28" s="528"/>
      <c r="EJ28" s="529"/>
      <c r="EK28" s="529"/>
      <c r="EL28" s="530"/>
      <c r="EM28" s="528">
        <f>SUM(CE28:DX28)</f>
        <v>7735752</v>
      </c>
      <c r="EN28" s="531"/>
      <c r="EO28" s="532"/>
      <c r="EP28" s="513"/>
    </row>
    <row r="29" spans="4:154" hidden="1" x14ac:dyDescent="0.2">
      <c r="D29" s="223" t="s">
        <v>501</v>
      </c>
      <c r="F29" s="198"/>
      <c r="G29" s="385"/>
      <c r="H29" s="522">
        <v>0</v>
      </c>
      <c r="I29" s="523"/>
      <c r="J29" s="330"/>
      <c r="K29" s="329"/>
      <c r="L29" s="524"/>
      <c r="M29" s="522">
        <v>0</v>
      </c>
      <c r="N29" s="523"/>
      <c r="O29" s="330"/>
      <c r="P29" s="329"/>
      <c r="Q29" s="524"/>
      <c r="R29" s="522">
        <v>0</v>
      </c>
      <c r="S29" s="523"/>
      <c r="T29" s="330"/>
      <c r="U29" s="329"/>
      <c r="V29" s="524"/>
      <c r="W29" s="522">
        <v>0</v>
      </c>
      <c r="X29" s="523"/>
      <c r="Y29" s="330"/>
      <c r="Z29" s="329"/>
      <c r="AA29" s="524"/>
      <c r="AB29" s="522">
        <v>0</v>
      </c>
      <c r="AC29" s="523"/>
      <c r="AD29" s="330"/>
      <c r="AE29" s="329"/>
      <c r="AF29" s="524"/>
      <c r="AG29" s="522">
        <v>0</v>
      </c>
      <c r="AH29" s="523"/>
      <c r="AI29" s="330"/>
      <c r="AJ29" s="329"/>
      <c r="AK29" s="524"/>
      <c r="AL29" s="522">
        <v>0</v>
      </c>
      <c r="AM29" s="523"/>
      <c r="AN29" s="330"/>
      <c r="AO29" s="329"/>
      <c r="AP29" s="524"/>
      <c r="AQ29" s="522">
        <v>0</v>
      </c>
      <c r="AR29" s="523"/>
      <c r="AS29" s="330"/>
      <c r="AT29" s="329"/>
      <c r="AU29" s="524"/>
      <c r="AV29" s="522">
        <v>0</v>
      </c>
      <c r="AW29" s="523"/>
      <c r="AX29" s="330"/>
      <c r="AY29" s="329"/>
      <c r="AZ29" s="524"/>
      <c r="BA29" s="522">
        <v>0</v>
      </c>
      <c r="BB29" s="523"/>
      <c r="BC29" s="330"/>
      <c r="BD29" s="329"/>
      <c r="BE29" s="524"/>
      <c r="BF29" s="522">
        <v>0</v>
      </c>
      <c r="BG29" s="523"/>
      <c r="BH29" s="330"/>
      <c r="BI29" s="329"/>
      <c r="BJ29" s="524"/>
      <c r="BK29" s="522">
        <v>0</v>
      </c>
      <c r="BL29" s="523"/>
      <c r="BM29" s="330"/>
      <c r="BN29" s="329"/>
      <c r="BO29" s="524"/>
      <c r="BP29" s="522">
        <v>0</v>
      </c>
      <c r="BQ29" s="523"/>
      <c r="BR29" s="330"/>
      <c r="BS29" s="329"/>
      <c r="BT29" s="524"/>
      <c r="BU29" s="522">
        <f>SUM(M29:BP29)</f>
        <v>0</v>
      </c>
      <c r="BV29" s="523"/>
      <c r="BW29" s="330"/>
      <c r="BX29" s="329"/>
      <c r="BY29" s="524"/>
      <c r="BZ29" s="522">
        <v>0</v>
      </c>
      <c r="CA29" s="523"/>
      <c r="CB29" s="330"/>
      <c r="CC29" s="329"/>
      <c r="CD29" s="524"/>
      <c r="CE29" s="522">
        <v>0</v>
      </c>
      <c r="CF29" s="523"/>
      <c r="CG29" s="330"/>
      <c r="CH29" s="329"/>
      <c r="CI29" s="524"/>
      <c r="CJ29" s="522">
        <v>0</v>
      </c>
      <c r="CK29" s="523"/>
      <c r="CL29" s="330"/>
      <c r="CM29" s="329"/>
      <c r="CN29" s="524"/>
      <c r="CO29" s="522">
        <v>0</v>
      </c>
      <c r="CP29" s="523"/>
      <c r="CQ29" s="330"/>
      <c r="CR29" s="329"/>
      <c r="CS29" s="524"/>
      <c r="CT29" s="522">
        <v>0</v>
      </c>
      <c r="CU29" s="523"/>
      <c r="CV29" s="330"/>
      <c r="CW29" s="329"/>
      <c r="CX29" s="524"/>
      <c r="CY29" s="522">
        <v>0</v>
      </c>
      <c r="CZ29" s="523"/>
      <c r="DA29" s="330"/>
      <c r="DB29" s="329"/>
      <c r="DC29" s="524"/>
      <c r="DD29" s="522">
        <v>0</v>
      </c>
      <c r="DE29" s="523"/>
      <c r="DF29" s="330"/>
      <c r="DG29" s="329"/>
      <c r="DH29" s="524"/>
      <c r="DI29" s="522">
        <v>0</v>
      </c>
      <c r="DJ29" s="523"/>
      <c r="DK29" s="330"/>
      <c r="DL29" s="329"/>
      <c r="DM29" s="524"/>
      <c r="DN29" s="522">
        <v>0</v>
      </c>
      <c r="DO29" s="523"/>
      <c r="DP29" s="330"/>
      <c r="DQ29" s="329"/>
      <c r="DR29" s="524"/>
      <c r="DS29" s="522">
        <v>0</v>
      </c>
      <c r="DT29" s="523"/>
      <c r="DU29" s="330"/>
      <c r="DV29" s="329"/>
      <c r="DW29" s="524"/>
      <c r="DX29" s="522">
        <v>0</v>
      </c>
      <c r="DY29" s="523"/>
      <c r="DZ29" s="330"/>
      <c r="EA29" s="329"/>
      <c r="EB29" s="524"/>
      <c r="EC29" s="522">
        <v>0</v>
      </c>
      <c r="ED29" s="523"/>
      <c r="EE29" s="330"/>
      <c r="EF29" s="329"/>
      <c r="EG29" s="524"/>
      <c r="EH29" s="522">
        <v>0</v>
      </c>
      <c r="EI29" s="523"/>
      <c r="EJ29" s="330"/>
      <c r="EK29" s="329"/>
      <c r="EL29" s="524"/>
      <c r="EM29" s="533">
        <f>SUM(CE29:DD29)</f>
        <v>0</v>
      </c>
      <c r="EN29" s="523"/>
      <c r="EO29" s="330"/>
      <c r="EP29" s="517"/>
      <c r="ER29" s="14"/>
    </row>
    <row r="30" spans="4:154" x14ac:dyDescent="0.2">
      <c r="D30" s="13"/>
      <c r="F30" s="198"/>
      <c r="K30" s="198"/>
      <c r="P30" s="198"/>
      <c r="U30" s="198"/>
      <c r="Z30" s="198"/>
      <c r="AE30" s="198"/>
      <c r="AJ30" s="198"/>
      <c r="AO30" s="198"/>
      <c r="AT30" s="198"/>
      <c r="AY30" s="198"/>
      <c r="BD30" s="198"/>
      <c r="BI30" s="198"/>
      <c r="BN30" s="198"/>
      <c r="BS30" s="198"/>
      <c r="BW30" s="330"/>
      <c r="BX30" s="329"/>
      <c r="BY30" s="330"/>
      <c r="CC30" s="198"/>
      <c r="CH30" s="198"/>
      <c r="CM30" s="198"/>
      <c r="CR30" s="198"/>
      <c r="CW30" s="198"/>
      <c r="DB30" s="198"/>
      <c r="DG30" s="198"/>
      <c r="DL30" s="198"/>
      <c r="DQ30" s="198"/>
      <c r="DV30" s="198"/>
      <c r="EA30" s="198"/>
      <c r="EF30" s="198"/>
      <c r="EK30" s="198"/>
      <c r="EM30" s="101"/>
      <c r="EN30" s="330"/>
      <c r="EO30" s="330"/>
      <c r="EP30" s="517"/>
      <c r="ER30" s="14"/>
    </row>
    <row r="31" spans="4:154" x14ac:dyDescent="0.2">
      <c r="D31" s="13"/>
      <c r="F31" s="198"/>
      <c r="H31" s="388"/>
      <c r="I31" s="388"/>
      <c r="J31" s="388"/>
      <c r="K31" s="387"/>
      <c r="L31" s="388"/>
      <c r="M31" s="388"/>
      <c r="N31" s="388"/>
      <c r="O31" s="388"/>
      <c r="P31" s="387"/>
      <c r="Q31" s="388"/>
      <c r="R31" s="388"/>
      <c r="S31" s="388"/>
      <c r="T31" s="388"/>
      <c r="U31" s="387"/>
      <c r="V31" s="388"/>
      <c r="W31" s="388"/>
      <c r="X31" s="388"/>
      <c r="Y31" s="388"/>
      <c r="Z31" s="387"/>
      <c r="AA31" s="388"/>
      <c r="AB31" s="388"/>
      <c r="AC31" s="388"/>
      <c r="AD31" s="388"/>
      <c r="AE31" s="387"/>
      <c r="AF31" s="388"/>
      <c r="AG31" s="388"/>
      <c r="AH31" s="388"/>
      <c r="AI31" s="388"/>
      <c r="AJ31" s="387"/>
      <c r="AK31" s="388"/>
      <c r="AL31" s="388"/>
      <c r="AM31" s="388"/>
      <c r="AN31" s="388"/>
      <c r="AO31" s="387"/>
      <c r="AP31" s="388"/>
      <c r="AQ31" s="388"/>
      <c r="AR31" s="388"/>
      <c r="AS31" s="388"/>
      <c r="AT31" s="387"/>
      <c r="AU31" s="388"/>
      <c r="AV31" s="388"/>
      <c r="AW31" s="388"/>
      <c r="AX31" s="388"/>
      <c r="AY31" s="387"/>
      <c r="AZ31" s="388"/>
      <c r="BA31" s="388"/>
      <c r="BB31" s="388"/>
      <c r="BC31" s="388"/>
      <c r="BD31" s="387"/>
      <c r="BE31" s="388"/>
      <c r="BF31" s="388"/>
      <c r="BG31" s="388"/>
      <c r="BH31" s="388"/>
      <c r="BI31" s="387"/>
      <c r="BJ31" s="388"/>
      <c r="BK31" s="388"/>
      <c r="BL31" s="388"/>
      <c r="BM31" s="388"/>
      <c r="BN31" s="387"/>
      <c r="BO31" s="388"/>
      <c r="BP31" s="388"/>
      <c r="BQ31" s="388"/>
      <c r="BR31" s="388"/>
      <c r="BS31" s="387"/>
      <c r="BT31" s="388"/>
      <c r="BU31" s="388"/>
      <c r="BV31" s="388"/>
      <c r="BW31" s="388"/>
      <c r="BX31" s="387"/>
      <c r="BY31" s="388"/>
      <c r="BZ31" s="388"/>
      <c r="CA31" s="388"/>
      <c r="CB31" s="388"/>
      <c r="CC31" s="387"/>
      <c r="CD31" s="388"/>
      <c r="CE31" s="388"/>
      <c r="CF31" s="388"/>
      <c r="CG31" s="388"/>
      <c r="CH31" s="387"/>
      <c r="CI31" s="388"/>
      <c r="CJ31" s="388"/>
      <c r="CK31" s="388"/>
      <c r="CL31" s="388"/>
      <c r="CM31" s="387"/>
      <c r="CN31" s="388"/>
      <c r="CO31" s="388"/>
      <c r="CP31" s="388"/>
      <c r="CQ31" s="388"/>
      <c r="CR31" s="387"/>
      <c r="CS31" s="388"/>
      <c r="CT31" s="388"/>
      <c r="CU31" s="388"/>
      <c r="CV31" s="388"/>
      <c r="CW31" s="387"/>
      <c r="CX31" s="388"/>
      <c r="CY31" s="388"/>
      <c r="CZ31" s="388"/>
      <c r="DA31" s="388"/>
      <c r="DB31" s="387"/>
      <c r="DC31" s="388"/>
      <c r="DD31" s="388"/>
      <c r="DE31" s="388"/>
      <c r="DF31" s="388"/>
      <c r="DG31" s="387"/>
      <c r="DH31" s="388"/>
      <c r="DI31" s="388"/>
      <c r="DJ31" s="388"/>
      <c r="DK31" s="388"/>
      <c r="DL31" s="387"/>
      <c r="DM31" s="388"/>
      <c r="DN31" s="388"/>
      <c r="DO31" s="388"/>
      <c r="DP31" s="388"/>
      <c r="DQ31" s="387"/>
      <c r="DR31" s="388"/>
      <c r="DS31" s="388"/>
      <c r="DT31" s="388"/>
      <c r="DU31" s="388"/>
      <c r="DV31" s="387"/>
      <c r="DW31" s="388"/>
      <c r="DX31" s="388"/>
      <c r="DY31" s="388"/>
      <c r="DZ31" s="388"/>
      <c r="EA31" s="387"/>
      <c r="EB31" s="388"/>
      <c r="EC31" s="388"/>
      <c r="ED31" s="388"/>
      <c r="EE31" s="388"/>
      <c r="EF31" s="387"/>
      <c r="EG31" s="388"/>
      <c r="EH31" s="388"/>
      <c r="EI31" s="388"/>
      <c r="EJ31" s="388"/>
      <c r="EK31" s="387"/>
      <c r="EL31" s="388"/>
      <c r="EM31" s="388"/>
      <c r="EN31" s="388"/>
      <c r="EO31" s="388"/>
      <c r="EP31" s="433"/>
      <c r="ER31" s="14"/>
      <c r="EX31" s="534"/>
    </row>
    <row r="32" spans="4:154" s="14" customFormat="1" x14ac:dyDescent="0.2">
      <c r="D32" s="93" t="s">
        <v>502</v>
      </c>
      <c r="E32" s="85" t="s">
        <v>90</v>
      </c>
      <c r="F32" s="198"/>
      <c r="G32" s="336"/>
      <c r="H32" s="390">
        <f>SUM(H33:H34)</f>
        <v>0</v>
      </c>
      <c r="I32" s="336"/>
      <c r="J32" s="336"/>
      <c r="K32" s="335"/>
      <c r="L32" s="336"/>
      <c r="M32" s="336">
        <f>SUM(M33:M34)</f>
        <v>0</v>
      </c>
      <c r="N32" s="336"/>
      <c r="O32" s="336"/>
      <c r="P32" s="335"/>
      <c r="Q32" s="336"/>
      <c r="R32" s="336">
        <f>SUM(R33:R34)</f>
        <v>0</v>
      </c>
      <c r="S32" s="336"/>
      <c r="T32" s="336"/>
      <c r="U32" s="335"/>
      <c r="V32" s="336"/>
      <c r="W32" s="336">
        <f>SUM(W33:W34)</f>
        <v>0</v>
      </c>
      <c r="X32" s="336"/>
      <c r="Y32" s="336"/>
      <c r="Z32" s="335"/>
      <c r="AA32" s="336"/>
      <c r="AB32" s="336">
        <f>SUM(AB33:AB34)</f>
        <v>-22185</v>
      </c>
      <c r="AC32" s="336"/>
      <c r="AD32" s="336"/>
      <c r="AE32" s="335"/>
      <c r="AF32" s="336"/>
      <c r="AG32" s="336">
        <f>SUM(AG33:AG34)</f>
        <v>0</v>
      </c>
      <c r="AH32" s="336"/>
      <c r="AI32" s="336"/>
      <c r="AJ32" s="335"/>
      <c r="AK32" s="336"/>
      <c r="AL32" s="336">
        <f>SUM(AL33:AL34)</f>
        <v>0</v>
      </c>
      <c r="AM32" s="336"/>
      <c r="AN32" s="336"/>
      <c r="AO32" s="335"/>
      <c r="AP32" s="336"/>
      <c r="AQ32" s="336">
        <f>SUM(AQ33:AQ34)</f>
        <v>0</v>
      </c>
      <c r="AR32" s="336"/>
      <c r="AS32" s="336"/>
      <c r="AT32" s="335"/>
      <c r="AU32" s="336"/>
      <c r="AV32" s="336">
        <f>SUM(AV33:AV34)</f>
        <v>0</v>
      </c>
      <c r="AW32" s="336"/>
      <c r="AX32" s="336"/>
      <c r="AY32" s="335"/>
      <c r="AZ32" s="336"/>
      <c r="BA32" s="336">
        <f>SUM(BA33:BA34)</f>
        <v>0</v>
      </c>
      <c r="BB32" s="336"/>
      <c r="BC32" s="336"/>
      <c r="BD32" s="335"/>
      <c r="BE32" s="336"/>
      <c r="BF32" s="336">
        <f>SUM(BF33:BF34)</f>
        <v>0</v>
      </c>
      <c r="BG32" s="336"/>
      <c r="BH32" s="336"/>
      <c r="BI32" s="335"/>
      <c r="BJ32" s="336"/>
      <c r="BK32" s="336">
        <f>SUM(BK33:BK34)</f>
        <v>0</v>
      </c>
      <c r="BL32" s="336"/>
      <c r="BM32" s="336"/>
      <c r="BN32" s="335"/>
      <c r="BO32" s="336"/>
      <c r="BP32" s="336">
        <f>SUM(BP33:BP34)</f>
        <v>0</v>
      </c>
      <c r="BQ32" s="390"/>
      <c r="BR32" s="390"/>
      <c r="BS32" s="389"/>
      <c r="BT32" s="336"/>
      <c r="BU32" s="390">
        <f>SUM(BU33:BU34)</f>
        <v>-22185</v>
      </c>
      <c r="BV32" s="336"/>
      <c r="BW32" s="390"/>
      <c r="BX32" s="389"/>
      <c r="BY32" s="336"/>
      <c r="BZ32" s="390">
        <f>SUM(BZ33:BZ34)</f>
        <v>-372703</v>
      </c>
      <c r="CA32" s="336"/>
      <c r="CB32" s="336"/>
      <c r="CC32" s="335"/>
      <c r="CD32" s="336"/>
      <c r="CE32" s="336">
        <f>SUM(CE33:CE34)</f>
        <v>0</v>
      </c>
      <c r="CF32" s="336"/>
      <c r="CG32" s="336"/>
      <c r="CH32" s="335"/>
      <c r="CI32" s="336"/>
      <c r="CJ32" s="336">
        <f>SUM(CJ33:CJ34)</f>
        <v>0</v>
      </c>
      <c r="CK32" s="336"/>
      <c r="CL32" s="336"/>
      <c r="CM32" s="335"/>
      <c r="CN32" s="336"/>
      <c r="CO32" s="336">
        <f>SUM(CO33:CO34)</f>
        <v>0</v>
      </c>
      <c r="CP32" s="336"/>
      <c r="CQ32" s="336"/>
      <c r="CR32" s="335"/>
      <c r="CS32" s="336"/>
      <c r="CT32" s="336">
        <f>SUM(CT33:CT34)</f>
        <v>0</v>
      </c>
      <c r="CU32" s="336"/>
      <c r="CV32" s="336"/>
      <c r="CW32" s="335"/>
      <c r="CX32" s="336"/>
      <c r="CY32" s="336">
        <f>SUM(CY33:CY34)</f>
        <v>-98</v>
      </c>
      <c r="CZ32" s="336"/>
      <c r="DA32" s="336"/>
      <c r="DB32" s="335"/>
      <c r="DC32" s="336"/>
      <c r="DD32" s="336">
        <f>SUM(DD33:DD34)</f>
        <v>0</v>
      </c>
      <c r="DE32" s="336"/>
      <c r="DF32" s="336"/>
      <c r="DG32" s="335"/>
      <c r="DH32" s="336"/>
      <c r="DI32" s="336">
        <f>SUM(DI33:DI34)</f>
        <v>-372528</v>
      </c>
      <c r="DJ32" s="336"/>
      <c r="DK32" s="336"/>
      <c r="DL32" s="335"/>
      <c r="DM32" s="336"/>
      <c r="DN32" s="336">
        <f>SUM(DN33:DN34)</f>
        <v>0</v>
      </c>
      <c r="DO32" s="336"/>
      <c r="DP32" s="336"/>
      <c r="DQ32" s="335"/>
      <c r="DR32" s="336"/>
      <c r="DS32" s="336">
        <f>SUM(DS33:DS34)</f>
        <v>0</v>
      </c>
      <c r="DT32" s="336"/>
      <c r="DU32" s="336"/>
      <c r="DV32" s="335"/>
      <c r="DW32" s="336"/>
      <c r="DX32" s="336">
        <f>SUM(DX33:DX34)</f>
        <v>0</v>
      </c>
      <c r="DY32" s="336"/>
      <c r="DZ32" s="336"/>
      <c r="EA32" s="335"/>
      <c r="EB32" s="336"/>
      <c r="EC32" s="336">
        <f>SUM(EC33:EC34)</f>
        <v>0</v>
      </c>
      <c r="ED32" s="336"/>
      <c r="EE32" s="336"/>
      <c r="EF32" s="335"/>
      <c r="EG32" s="336"/>
      <c r="EH32" s="336">
        <f>SUM(EH33:EH34)</f>
        <v>-77</v>
      </c>
      <c r="EI32" s="390"/>
      <c r="EJ32" s="390"/>
      <c r="EK32" s="389"/>
      <c r="EL32" s="336"/>
      <c r="EM32" s="365">
        <f>SUM(EM33:EM34)</f>
        <v>-372626</v>
      </c>
      <c r="EN32" s="336"/>
      <c r="EO32" s="390"/>
      <c r="EP32" s="468"/>
    </row>
    <row r="33" spans="4:148" s="14" customFormat="1" x14ac:dyDescent="0.2">
      <c r="D33" s="526" t="s">
        <v>503</v>
      </c>
      <c r="E33" s="141"/>
      <c r="F33" s="182"/>
      <c r="G33" s="527"/>
      <c r="H33" s="528">
        <v>0</v>
      </c>
      <c r="I33" s="528"/>
      <c r="J33" s="529"/>
      <c r="K33" s="529"/>
      <c r="L33" s="528"/>
      <c r="M33" s="528">
        <v>0</v>
      </c>
      <c r="N33" s="528"/>
      <c r="O33" s="529"/>
      <c r="P33" s="529"/>
      <c r="Q33" s="528"/>
      <c r="R33" s="528">
        <v>0</v>
      </c>
      <c r="S33" s="528"/>
      <c r="T33" s="529"/>
      <c r="U33" s="529"/>
      <c r="V33" s="528"/>
      <c r="W33" s="528">
        <v>0</v>
      </c>
      <c r="X33" s="528"/>
      <c r="Y33" s="529"/>
      <c r="Z33" s="529"/>
      <c r="AA33" s="528"/>
      <c r="AB33" s="528">
        <v>-22185</v>
      </c>
      <c r="AC33" s="528"/>
      <c r="AD33" s="529"/>
      <c r="AE33" s="529"/>
      <c r="AF33" s="528"/>
      <c r="AG33" s="528">
        <v>0</v>
      </c>
      <c r="AH33" s="528"/>
      <c r="AI33" s="529"/>
      <c r="AJ33" s="529"/>
      <c r="AK33" s="528"/>
      <c r="AL33" s="528">
        <v>0</v>
      </c>
      <c r="AM33" s="528"/>
      <c r="AN33" s="529"/>
      <c r="AO33" s="529"/>
      <c r="AP33" s="528"/>
      <c r="AQ33" s="528">
        <v>0</v>
      </c>
      <c r="AR33" s="528"/>
      <c r="AS33" s="529"/>
      <c r="AT33" s="529"/>
      <c r="AU33" s="528"/>
      <c r="AV33" s="528">
        <v>0</v>
      </c>
      <c r="AW33" s="528"/>
      <c r="AX33" s="529"/>
      <c r="AY33" s="529"/>
      <c r="AZ33" s="528"/>
      <c r="BA33" s="528">
        <v>0</v>
      </c>
      <c r="BB33" s="457"/>
      <c r="BC33" s="529"/>
      <c r="BD33" s="529"/>
      <c r="BE33" s="457"/>
      <c r="BF33" s="528">
        <v>0</v>
      </c>
      <c r="BG33" s="528"/>
      <c r="BH33" s="529"/>
      <c r="BI33" s="529"/>
      <c r="BJ33" s="528"/>
      <c r="BK33" s="528">
        <v>0</v>
      </c>
      <c r="BL33" s="528"/>
      <c r="BM33" s="529"/>
      <c r="BN33" s="529"/>
      <c r="BO33" s="528"/>
      <c r="BP33" s="528">
        <v>0</v>
      </c>
      <c r="BQ33" s="528"/>
      <c r="BR33" s="529"/>
      <c r="BS33" s="529"/>
      <c r="BT33" s="528"/>
      <c r="BU33" s="528">
        <f>SUM(M33:BP33)</f>
        <v>-22185</v>
      </c>
      <c r="BV33" s="528"/>
      <c r="BW33" s="529"/>
      <c r="BX33" s="529"/>
      <c r="BY33" s="528"/>
      <c r="BZ33" s="528">
        <v>-372703</v>
      </c>
      <c r="CA33" s="528"/>
      <c r="CB33" s="529"/>
      <c r="CC33" s="529"/>
      <c r="CD33" s="528"/>
      <c r="CE33" s="528">
        <v>0</v>
      </c>
      <c r="CF33" s="528"/>
      <c r="CG33" s="529"/>
      <c r="CH33" s="529"/>
      <c r="CI33" s="528"/>
      <c r="CJ33" s="528">
        <v>0</v>
      </c>
      <c r="CK33" s="528"/>
      <c r="CL33" s="529"/>
      <c r="CM33" s="529"/>
      <c r="CN33" s="528"/>
      <c r="CO33" s="528">
        <v>0</v>
      </c>
      <c r="CP33" s="528"/>
      <c r="CQ33" s="529"/>
      <c r="CR33" s="529"/>
      <c r="CS33" s="528"/>
      <c r="CT33" s="528">
        <v>0</v>
      </c>
      <c r="CU33" s="528"/>
      <c r="CV33" s="529"/>
      <c r="CW33" s="529"/>
      <c r="CX33" s="528"/>
      <c r="CY33" s="528">
        <v>-98</v>
      </c>
      <c r="CZ33" s="528"/>
      <c r="DA33" s="529"/>
      <c r="DB33" s="529"/>
      <c r="DC33" s="528"/>
      <c r="DD33" s="528">
        <v>0</v>
      </c>
      <c r="DE33" s="528"/>
      <c r="DF33" s="529"/>
      <c r="DG33" s="529"/>
      <c r="DH33" s="528"/>
      <c r="DI33" s="528">
        <v>-372528</v>
      </c>
      <c r="DJ33" s="528"/>
      <c r="DK33" s="529"/>
      <c r="DL33" s="529"/>
      <c r="DM33" s="528"/>
      <c r="DN33" s="528">
        <v>0</v>
      </c>
      <c r="DO33" s="528"/>
      <c r="DP33" s="529"/>
      <c r="DQ33" s="529"/>
      <c r="DR33" s="528"/>
      <c r="DS33" s="528">
        <v>0</v>
      </c>
      <c r="DT33" s="457"/>
      <c r="DU33" s="529"/>
      <c r="DV33" s="529"/>
      <c r="DW33" s="457"/>
      <c r="DX33" s="528">
        <v>0</v>
      </c>
      <c r="DY33" s="528"/>
      <c r="DZ33" s="529"/>
      <c r="EA33" s="529"/>
      <c r="EB33" s="528"/>
      <c r="EC33" s="528">
        <v>0</v>
      </c>
      <c r="ED33" s="528"/>
      <c r="EE33" s="529"/>
      <c r="EF33" s="529"/>
      <c r="EG33" s="528"/>
      <c r="EH33" s="528">
        <v>-77</v>
      </c>
      <c r="EI33" s="528"/>
      <c r="EJ33" s="529"/>
      <c r="EK33" s="529"/>
      <c r="EL33" s="530"/>
      <c r="EM33" s="528">
        <f>SUM(CE33:DX33)</f>
        <v>-372626</v>
      </c>
      <c r="EN33" s="531"/>
      <c r="EO33" s="532"/>
      <c r="EP33" s="513"/>
    </row>
    <row r="34" spans="4:148" hidden="1" x14ac:dyDescent="0.2">
      <c r="D34" s="223" t="s">
        <v>501</v>
      </c>
      <c r="F34" s="198"/>
      <c r="G34" s="385"/>
      <c r="H34" s="522">
        <v>0</v>
      </c>
      <c r="I34" s="523"/>
      <c r="J34" s="330"/>
      <c r="K34" s="329"/>
      <c r="L34" s="385"/>
      <c r="M34" s="522">
        <v>0</v>
      </c>
      <c r="N34" s="523"/>
      <c r="O34" s="330"/>
      <c r="P34" s="329"/>
      <c r="Q34" s="524"/>
      <c r="R34" s="522">
        <v>0</v>
      </c>
      <c r="S34" s="523"/>
      <c r="T34" s="330"/>
      <c r="U34" s="329"/>
      <c r="V34" s="524"/>
      <c r="W34" s="522">
        <v>0</v>
      </c>
      <c r="X34" s="523"/>
      <c r="Y34" s="330"/>
      <c r="Z34" s="329"/>
      <c r="AA34" s="524"/>
      <c r="AB34" s="522">
        <v>0</v>
      </c>
      <c r="AC34" s="523"/>
      <c r="AD34" s="330"/>
      <c r="AE34" s="329"/>
      <c r="AF34" s="524"/>
      <c r="AG34" s="522">
        <v>0</v>
      </c>
      <c r="AH34" s="523"/>
      <c r="AI34" s="330"/>
      <c r="AJ34" s="329"/>
      <c r="AK34" s="524"/>
      <c r="AL34" s="522">
        <v>0</v>
      </c>
      <c r="AM34" s="523"/>
      <c r="AN34" s="330"/>
      <c r="AO34" s="329"/>
      <c r="AP34" s="524"/>
      <c r="AQ34" s="522">
        <v>0</v>
      </c>
      <c r="AR34" s="523"/>
      <c r="AS34" s="330"/>
      <c r="AT34" s="329"/>
      <c r="AU34" s="524"/>
      <c r="AV34" s="522">
        <v>0</v>
      </c>
      <c r="AW34" s="523"/>
      <c r="AX34" s="330"/>
      <c r="AY34" s="329"/>
      <c r="AZ34" s="524"/>
      <c r="BA34" s="522">
        <v>0</v>
      </c>
      <c r="BB34" s="523"/>
      <c r="BC34" s="330"/>
      <c r="BD34" s="329"/>
      <c r="BE34" s="524"/>
      <c r="BF34" s="522">
        <v>0</v>
      </c>
      <c r="BG34" s="523"/>
      <c r="BH34" s="330"/>
      <c r="BI34" s="329"/>
      <c r="BJ34" s="524"/>
      <c r="BK34" s="522">
        <v>0</v>
      </c>
      <c r="BL34" s="523"/>
      <c r="BM34" s="330"/>
      <c r="BN34" s="329"/>
      <c r="BO34" s="524"/>
      <c r="BP34" s="522">
        <v>0</v>
      </c>
      <c r="BQ34" s="523"/>
      <c r="BR34" s="388"/>
      <c r="BS34" s="387"/>
      <c r="BT34" s="385"/>
      <c r="BU34" s="522">
        <f>SUM(M34:BP34)</f>
        <v>0</v>
      </c>
      <c r="BV34" s="523"/>
      <c r="BW34" s="388"/>
      <c r="BX34" s="387"/>
      <c r="BY34" s="385"/>
      <c r="BZ34" s="522">
        <v>0</v>
      </c>
      <c r="CA34" s="523"/>
      <c r="CB34" s="330"/>
      <c r="CC34" s="329"/>
      <c r="CD34" s="385"/>
      <c r="CE34" s="522">
        <v>0</v>
      </c>
      <c r="CF34" s="523"/>
      <c r="CG34" s="330"/>
      <c r="CH34" s="329"/>
      <c r="CI34" s="524"/>
      <c r="CJ34" s="522">
        <v>0</v>
      </c>
      <c r="CK34" s="523"/>
      <c r="CL34" s="330"/>
      <c r="CM34" s="329"/>
      <c r="CN34" s="524"/>
      <c r="CO34" s="522">
        <v>0</v>
      </c>
      <c r="CP34" s="523"/>
      <c r="CQ34" s="330"/>
      <c r="CR34" s="329"/>
      <c r="CS34" s="524"/>
      <c r="CT34" s="522">
        <v>0</v>
      </c>
      <c r="CU34" s="523"/>
      <c r="CV34" s="330"/>
      <c r="CW34" s="329"/>
      <c r="CX34" s="524"/>
      <c r="CY34" s="522">
        <v>0</v>
      </c>
      <c r="CZ34" s="523"/>
      <c r="DA34" s="330"/>
      <c r="DB34" s="329"/>
      <c r="DC34" s="524"/>
      <c r="DD34" s="522">
        <v>0</v>
      </c>
      <c r="DE34" s="523"/>
      <c r="DF34" s="330"/>
      <c r="DG34" s="329"/>
      <c r="DH34" s="524"/>
      <c r="DI34" s="522">
        <v>0</v>
      </c>
      <c r="DJ34" s="523"/>
      <c r="DK34" s="330"/>
      <c r="DL34" s="329"/>
      <c r="DM34" s="524"/>
      <c r="DN34" s="522">
        <v>0</v>
      </c>
      <c r="DO34" s="523"/>
      <c r="DP34" s="330"/>
      <c r="DQ34" s="329"/>
      <c r="DR34" s="524"/>
      <c r="DS34" s="522">
        <v>0</v>
      </c>
      <c r="DT34" s="523"/>
      <c r="DU34" s="330"/>
      <c r="DV34" s="329"/>
      <c r="DW34" s="524"/>
      <c r="DX34" s="522">
        <v>0</v>
      </c>
      <c r="DY34" s="523"/>
      <c r="DZ34" s="330"/>
      <c r="EA34" s="329"/>
      <c r="EB34" s="524"/>
      <c r="EC34" s="522">
        <v>0</v>
      </c>
      <c r="ED34" s="523"/>
      <c r="EE34" s="330"/>
      <c r="EF34" s="329"/>
      <c r="EG34" s="524"/>
      <c r="EH34" s="522">
        <v>0</v>
      </c>
      <c r="EI34" s="523"/>
      <c r="EJ34" s="388"/>
      <c r="EK34" s="387"/>
      <c r="EL34" s="385"/>
      <c r="EM34" s="533">
        <f>SUM(CE34:DD34)</f>
        <v>0</v>
      </c>
      <c r="EN34" s="523"/>
      <c r="EO34" s="388"/>
      <c r="EP34" s="433"/>
      <c r="ER34" s="14"/>
    </row>
    <row r="35" spans="4:148" x14ac:dyDescent="0.2">
      <c r="D35" s="13"/>
      <c r="F35" s="198"/>
      <c r="H35" s="330"/>
      <c r="I35" s="330"/>
      <c r="J35" s="330"/>
      <c r="K35" s="329"/>
      <c r="L35" s="330"/>
      <c r="M35" s="330"/>
      <c r="N35" s="330"/>
      <c r="O35" s="330"/>
      <c r="P35" s="329"/>
      <c r="Q35" s="330"/>
      <c r="R35" s="330"/>
      <c r="S35" s="330"/>
      <c r="T35" s="330"/>
      <c r="U35" s="329"/>
      <c r="V35" s="330"/>
      <c r="W35" s="330"/>
      <c r="X35" s="330"/>
      <c r="Y35" s="330"/>
      <c r="Z35" s="329"/>
      <c r="AA35" s="330"/>
      <c r="AB35" s="330"/>
      <c r="AC35" s="330"/>
      <c r="AD35" s="330"/>
      <c r="AE35" s="329"/>
      <c r="AF35" s="330"/>
      <c r="AG35" s="330"/>
      <c r="AH35" s="330"/>
      <c r="AI35" s="330"/>
      <c r="AJ35" s="329"/>
      <c r="AK35" s="330"/>
      <c r="AL35" s="330"/>
      <c r="AM35" s="330"/>
      <c r="AN35" s="330"/>
      <c r="AO35" s="329"/>
      <c r="AP35" s="330"/>
      <c r="AQ35" s="330"/>
      <c r="AR35" s="330"/>
      <c r="AS35" s="330"/>
      <c r="AT35" s="329"/>
      <c r="AU35" s="330"/>
      <c r="AV35" s="330"/>
      <c r="AW35" s="514"/>
      <c r="AX35" s="330"/>
      <c r="AY35" s="329"/>
      <c r="AZ35" s="330"/>
      <c r="BA35" s="330"/>
      <c r="BB35" s="330"/>
      <c r="BC35" s="330"/>
      <c r="BD35" s="329"/>
      <c r="BE35" s="330"/>
      <c r="BF35" s="330"/>
      <c r="BG35" s="330"/>
      <c r="BH35" s="330"/>
      <c r="BI35" s="329"/>
      <c r="BJ35" s="330"/>
      <c r="BK35" s="330"/>
      <c r="BL35" s="330"/>
      <c r="BM35" s="330"/>
      <c r="BN35" s="329"/>
      <c r="BO35" s="514"/>
      <c r="BP35" s="330"/>
      <c r="BQ35" s="514"/>
      <c r="BR35" s="330"/>
      <c r="BS35" s="329"/>
      <c r="BT35" s="330"/>
      <c r="BU35" s="330"/>
      <c r="BV35" s="330"/>
      <c r="BW35" s="330"/>
      <c r="BX35" s="329"/>
      <c r="BY35" s="330"/>
      <c r="BZ35" s="330"/>
      <c r="CA35" s="330"/>
      <c r="CB35" s="330"/>
      <c r="CC35" s="329"/>
      <c r="CD35" s="330"/>
      <c r="CE35" s="330"/>
      <c r="CF35" s="330"/>
      <c r="CG35" s="330"/>
      <c r="CH35" s="329"/>
      <c r="CI35" s="330"/>
      <c r="CJ35" s="330"/>
      <c r="CK35" s="330"/>
      <c r="CL35" s="330"/>
      <c r="CM35" s="329"/>
      <c r="CN35" s="330"/>
      <c r="CO35" s="330"/>
      <c r="CP35" s="330"/>
      <c r="CQ35" s="330"/>
      <c r="CR35" s="329"/>
      <c r="CS35" s="330"/>
      <c r="CT35" s="330"/>
      <c r="CU35" s="330"/>
      <c r="CV35" s="330"/>
      <c r="CW35" s="329"/>
      <c r="CX35" s="330"/>
      <c r="CY35" s="330"/>
      <c r="CZ35" s="330"/>
      <c r="DA35" s="330"/>
      <c r="DB35" s="329"/>
      <c r="DC35" s="330"/>
      <c r="DD35" s="330"/>
      <c r="DE35" s="330"/>
      <c r="DF35" s="330"/>
      <c r="DG35" s="329"/>
      <c r="DH35" s="330"/>
      <c r="DI35" s="330"/>
      <c r="DJ35" s="330"/>
      <c r="DK35" s="330"/>
      <c r="DL35" s="329"/>
      <c r="DM35" s="330"/>
      <c r="DN35" s="330"/>
      <c r="DO35" s="514"/>
      <c r="DP35" s="330"/>
      <c r="DQ35" s="329"/>
      <c r="DR35" s="330"/>
      <c r="DS35" s="330"/>
      <c r="DT35" s="330"/>
      <c r="DU35" s="330"/>
      <c r="DV35" s="329"/>
      <c r="DW35" s="330"/>
      <c r="DX35" s="330"/>
      <c r="DY35" s="330"/>
      <c r="DZ35" s="330"/>
      <c r="EA35" s="329"/>
      <c r="EB35" s="330"/>
      <c r="EC35" s="330"/>
      <c r="ED35" s="330"/>
      <c r="EE35" s="330"/>
      <c r="EF35" s="329"/>
      <c r="EG35" s="514"/>
      <c r="EH35" s="330"/>
      <c r="EI35" s="514"/>
      <c r="EJ35" s="330"/>
      <c r="EK35" s="329"/>
      <c r="EL35" s="330"/>
      <c r="EM35" s="514"/>
      <c r="EN35" s="514"/>
      <c r="EO35" s="330"/>
      <c r="EP35" s="517"/>
      <c r="ER35" s="14"/>
    </row>
    <row r="36" spans="4:148" x14ac:dyDescent="0.2">
      <c r="D36" s="13"/>
      <c r="F36" s="198"/>
      <c r="H36" s="388"/>
      <c r="I36" s="388"/>
      <c r="J36" s="388"/>
      <c r="K36" s="387"/>
      <c r="L36" s="388"/>
      <c r="M36" s="388"/>
      <c r="N36" s="388"/>
      <c r="O36" s="388"/>
      <c r="P36" s="387"/>
      <c r="Q36" s="388"/>
      <c r="R36" s="388"/>
      <c r="S36" s="388"/>
      <c r="T36" s="388"/>
      <c r="U36" s="387"/>
      <c r="V36" s="388"/>
      <c r="W36" s="388"/>
      <c r="X36" s="388"/>
      <c r="Y36" s="388"/>
      <c r="Z36" s="387"/>
      <c r="AA36" s="388"/>
      <c r="AB36" s="388"/>
      <c r="AC36" s="388"/>
      <c r="AD36" s="388"/>
      <c r="AE36" s="387"/>
      <c r="AF36" s="388"/>
      <c r="AG36" s="388"/>
      <c r="AH36" s="388"/>
      <c r="AI36" s="388"/>
      <c r="AJ36" s="387"/>
      <c r="AK36" s="388"/>
      <c r="AL36" s="388"/>
      <c r="AM36" s="388"/>
      <c r="AN36" s="388"/>
      <c r="AO36" s="387"/>
      <c r="AP36" s="388"/>
      <c r="AQ36" s="388"/>
      <c r="AR36" s="388"/>
      <c r="AS36" s="388"/>
      <c r="AT36" s="387"/>
      <c r="AU36" s="388"/>
      <c r="AV36" s="388"/>
      <c r="AW36" s="388"/>
      <c r="AX36" s="388"/>
      <c r="AY36" s="387"/>
      <c r="AZ36" s="388"/>
      <c r="BA36" s="388"/>
      <c r="BB36" s="388"/>
      <c r="BC36" s="388"/>
      <c r="BD36" s="387"/>
      <c r="BE36" s="388"/>
      <c r="BF36" s="388"/>
      <c r="BG36" s="388"/>
      <c r="BH36" s="388"/>
      <c r="BI36" s="387"/>
      <c r="BJ36" s="388"/>
      <c r="BK36" s="388"/>
      <c r="BL36" s="388"/>
      <c r="BM36" s="388"/>
      <c r="BN36" s="387"/>
      <c r="BO36" s="388"/>
      <c r="BP36" s="388"/>
      <c r="BQ36" s="388"/>
      <c r="BR36" s="388"/>
      <c r="BS36" s="387"/>
      <c r="BT36" s="388"/>
      <c r="BU36" s="388"/>
      <c r="BV36" s="388"/>
      <c r="BW36" s="388"/>
      <c r="BX36" s="387"/>
      <c r="BY36" s="388"/>
      <c r="BZ36" s="388"/>
      <c r="CA36" s="388"/>
      <c r="CB36" s="388"/>
      <c r="CC36" s="387"/>
      <c r="CD36" s="388"/>
      <c r="CE36" s="388"/>
      <c r="CF36" s="388"/>
      <c r="CG36" s="388"/>
      <c r="CH36" s="387"/>
      <c r="CI36" s="388"/>
      <c r="CJ36" s="388"/>
      <c r="CK36" s="388"/>
      <c r="CL36" s="388"/>
      <c r="CM36" s="387"/>
      <c r="CN36" s="388"/>
      <c r="CO36" s="388"/>
      <c r="CP36" s="388"/>
      <c r="CQ36" s="388"/>
      <c r="CR36" s="387"/>
      <c r="CS36" s="388"/>
      <c r="CT36" s="388"/>
      <c r="CU36" s="388"/>
      <c r="CV36" s="388"/>
      <c r="CW36" s="387"/>
      <c r="CX36" s="388"/>
      <c r="CY36" s="388"/>
      <c r="CZ36" s="388"/>
      <c r="DA36" s="388"/>
      <c r="DB36" s="387"/>
      <c r="DC36" s="388"/>
      <c r="DD36" s="388"/>
      <c r="DE36" s="388"/>
      <c r="DF36" s="388"/>
      <c r="DG36" s="387"/>
      <c r="DH36" s="388"/>
      <c r="DI36" s="388"/>
      <c r="DJ36" s="388"/>
      <c r="DK36" s="388"/>
      <c r="DL36" s="387"/>
      <c r="DM36" s="388"/>
      <c r="DN36" s="388"/>
      <c r="DO36" s="388"/>
      <c r="DP36" s="388"/>
      <c r="DQ36" s="387"/>
      <c r="DR36" s="388"/>
      <c r="DS36" s="388"/>
      <c r="DT36" s="388"/>
      <c r="DU36" s="388"/>
      <c r="DV36" s="387"/>
      <c r="DW36" s="388"/>
      <c r="DX36" s="388"/>
      <c r="DY36" s="388"/>
      <c r="DZ36" s="388"/>
      <c r="EA36" s="387"/>
      <c r="EB36" s="388"/>
      <c r="EC36" s="388"/>
      <c r="ED36" s="388"/>
      <c r="EE36" s="388"/>
      <c r="EF36" s="387"/>
      <c r="EG36" s="388"/>
      <c r="EH36" s="388"/>
      <c r="EI36" s="388"/>
      <c r="EJ36" s="388"/>
      <c r="EK36" s="387"/>
      <c r="EL36" s="388"/>
      <c r="EM36" s="388"/>
      <c r="EN36" s="388"/>
      <c r="EO36" s="388"/>
      <c r="EP36" s="433"/>
      <c r="ER36" s="14"/>
    </row>
    <row r="37" spans="4:148" s="14" customFormat="1" hidden="1" x14ac:dyDescent="0.2">
      <c r="D37" s="93"/>
      <c r="E37" s="141"/>
      <c r="F37" s="180"/>
      <c r="H37" s="336"/>
      <c r="I37" s="336"/>
      <c r="J37" s="336"/>
      <c r="K37" s="335"/>
      <c r="L37" s="336"/>
      <c r="M37" s="336"/>
      <c r="N37" s="336"/>
      <c r="O37" s="336"/>
      <c r="P37" s="335"/>
      <c r="Q37" s="336"/>
      <c r="R37" s="336"/>
      <c r="S37" s="336"/>
      <c r="T37" s="336"/>
      <c r="U37" s="335"/>
      <c r="V37" s="336"/>
      <c r="W37" s="336"/>
      <c r="X37" s="336"/>
      <c r="Y37" s="336"/>
      <c r="Z37" s="335"/>
      <c r="AA37" s="336"/>
      <c r="AB37" s="336"/>
      <c r="AC37" s="336"/>
      <c r="AD37" s="336"/>
      <c r="AE37" s="335"/>
      <c r="AF37" s="336"/>
      <c r="AG37" s="336"/>
      <c r="AH37" s="336"/>
      <c r="AI37" s="336"/>
      <c r="AJ37" s="335"/>
      <c r="AK37" s="336"/>
      <c r="AL37" s="336"/>
      <c r="AM37" s="336"/>
      <c r="AN37" s="336"/>
      <c r="AO37" s="335"/>
      <c r="AP37" s="336"/>
      <c r="AQ37" s="336"/>
      <c r="AR37" s="336"/>
      <c r="AS37" s="336"/>
      <c r="AT37" s="335"/>
      <c r="AU37" s="336"/>
      <c r="AV37" s="336"/>
      <c r="AW37" s="336"/>
      <c r="AX37" s="336"/>
      <c r="AY37" s="335"/>
      <c r="AZ37" s="336"/>
      <c r="BA37" s="336"/>
      <c r="BB37" s="336"/>
      <c r="BC37" s="336"/>
      <c r="BD37" s="335"/>
      <c r="BE37" s="336"/>
      <c r="BF37" s="336"/>
      <c r="BG37" s="336"/>
      <c r="BH37" s="336"/>
      <c r="BI37" s="335"/>
      <c r="BJ37" s="336"/>
      <c r="BK37" s="336"/>
      <c r="BL37" s="336"/>
      <c r="BM37" s="336"/>
      <c r="BN37" s="335"/>
      <c r="BO37" s="336"/>
      <c r="BP37" s="336"/>
      <c r="BQ37" s="336"/>
      <c r="BR37" s="336"/>
      <c r="BS37" s="335"/>
      <c r="BT37" s="336"/>
      <c r="BU37" s="336"/>
      <c r="BV37" s="336"/>
      <c r="BW37" s="336"/>
      <c r="BX37" s="335"/>
      <c r="BY37" s="336"/>
      <c r="BZ37" s="336"/>
      <c r="CA37" s="336"/>
      <c r="CB37" s="336"/>
      <c r="CC37" s="335"/>
      <c r="CD37" s="336"/>
      <c r="CE37" s="336"/>
      <c r="CF37" s="336"/>
      <c r="CG37" s="336"/>
      <c r="CH37" s="335"/>
      <c r="CI37" s="336"/>
      <c r="CJ37" s="336"/>
      <c r="CK37" s="336"/>
      <c r="CL37" s="336"/>
      <c r="CM37" s="335"/>
      <c r="CN37" s="336"/>
      <c r="CO37" s="336"/>
      <c r="CP37" s="336"/>
      <c r="CQ37" s="336"/>
      <c r="CR37" s="335"/>
      <c r="CS37" s="336"/>
      <c r="CT37" s="336"/>
      <c r="CU37" s="336"/>
      <c r="CV37" s="336"/>
      <c r="CW37" s="335"/>
      <c r="CX37" s="336"/>
      <c r="CY37" s="336"/>
      <c r="CZ37" s="336"/>
      <c r="DA37" s="336"/>
      <c r="DB37" s="335"/>
      <c r="DC37" s="336"/>
      <c r="DD37" s="336"/>
      <c r="DE37" s="336"/>
      <c r="DF37" s="336"/>
      <c r="DG37" s="335"/>
      <c r="DH37" s="336"/>
      <c r="DI37" s="336"/>
      <c r="DJ37" s="336"/>
      <c r="DK37" s="336"/>
      <c r="DL37" s="335"/>
      <c r="DM37" s="336"/>
      <c r="DN37" s="336"/>
      <c r="DO37" s="336"/>
      <c r="DP37" s="336"/>
      <c r="DQ37" s="335"/>
      <c r="DR37" s="336"/>
      <c r="DS37" s="336"/>
      <c r="DT37" s="336"/>
      <c r="DU37" s="336"/>
      <c r="DV37" s="335"/>
      <c r="DW37" s="336"/>
      <c r="DX37" s="336"/>
      <c r="DY37" s="336"/>
      <c r="DZ37" s="336"/>
      <c r="EA37" s="335"/>
      <c r="EB37" s="336"/>
      <c r="EC37" s="336"/>
      <c r="ED37" s="336"/>
      <c r="EE37" s="336"/>
      <c r="EF37" s="335"/>
      <c r="EG37" s="336"/>
      <c r="EH37" s="336"/>
      <c r="EI37" s="336"/>
      <c r="EJ37" s="336"/>
      <c r="EK37" s="335"/>
      <c r="EL37" s="336"/>
      <c r="EM37" s="512"/>
      <c r="EN37" s="336"/>
      <c r="EO37" s="336"/>
      <c r="EP37" s="513"/>
    </row>
    <row r="38" spans="4:148" s="14" customFormat="1" x14ac:dyDescent="0.2">
      <c r="D38" s="93" t="s">
        <v>504</v>
      </c>
      <c r="E38" s="141"/>
      <c r="F38" s="182"/>
      <c r="G38" s="527"/>
      <c r="H38" s="535">
        <v>0</v>
      </c>
      <c r="I38" s="535"/>
      <c r="J38" s="536"/>
      <c r="K38" s="536"/>
      <c r="L38" s="535"/>
      <c r="M38" s="535">
        <f>-[32]original!$F$82</f>
        <v>-34158767.953769997</v>
      </c>
      <c r="N38" s="535"/>
      <c r="O38" s="536"/>
      <c r="P38" s="536"/>
      <c r="Q38" s="535"/>
      <c r="R38" s="535">
        <f>-[33]original!$G$82</f>
        <v>665778.1075699823</v>
      </c>
      <c r="S38" s="535"/>
      <c r="T38" s="536"/>
      <c r="U38" s="536"/>
      <c r="V38" s="535"/>
      <c r="W38" s="535">
        <f>-[34]original!$H$82</f>
        <v>-3529360.3766400218</v>
      </c>
      <c r="X38" s="535"/>
      <c r="Y38" s="536"/>
      <c r="Z38" s="536"/>
      <c r="AA38" s="535"/>
      <c r="AB38" s="535">
        <f>-[35]original!$I$82</f>
        <v>39129472.039829999</v>
      </c>
      <c r="AC38" s="535"/>
      <c r="AD38" s="536"/>
      <c r="AE38" s="536"/>
      <c r="AF38" s="535"/>
      <c r="AG38" s="535">
        <f>-[36]original!$J$82</f>
        <v>-36409361.543499991</v>
      </c>
      <c r="AH38" s="535"/>
      <c r="AI38" s="536"/>
      <c r="AJ38" s="536"/>
      <c r="AK38" s="535"/>
      <c r="AL38" s="535">
        <f>-[37]original!$K$82</f>
        <v>10350561.970830038</v>
      </c>
      <c r="AM38" s="535"/>
      <c r="AN38" s="536"/>
      <c r="AO38" s="536"/>
      <c r="AP38" s="535"/>
      <c r="AQ38" s="535">
        <f>-[38]original!$L$82</f>
        <v>-13234789.152860001</v>
      </c>
      <c r="AR38" s="535"/>
      <c r="AS38" s="536"/>
      <c r="AT38" s="536"/>
      <c r="AU38" s="535"/>
      <c r="AV38" s="535">
        <f>-[39]original!$M$82</f>
        <v>-507485.77358999848</v>
      </c>
      <c r="AW38" s="535"/>
      <c r="AX38" s="536"/>
      <c r="AY38" s="536"/>
      <c r="AZ38" s="535"/>
      <c r="BA38" s="535">
        <f>-[40]original!$N$82</f>
        <v>5933754.2305000126</v>
      </c>
      <c r="BB38" s="537"/>
      <c r="BC38" s="536"/>
      <c r="BD38" s="536"/>
      <c r="BE38" s="537"/>
      <c r="BF38" s="535">
        <f>-[41]original!$O$82</f>
        <v>-33766452.223689988</v>
      </c>
      <c r="BG38" s="535"/>
      <c r="BH38" s="536"/>
      <c r="BI38" s="536"/>
      <c r="BJ38" s="535"/>
      <c r="BK38" s="535">
        <v>0</v>
      </c>
      <c r="BL38" s="535"/>
      <c r="BM38" s="536"/>
      <c r="BN38" s="536"/>
      <c r="BO38" s="535"/>
      <c r="BP38" s="535">
        <v>0</v>
      </c>
      <c r="BQ38" s="535"/>
      <c r="BR38" s="536"/>
      <c r="BS38" s="536"/>
      <c r="BT38" s="535"/>
      <c r="BU38" s="535">
        <f>SUM(M38:BP38)</f>
        <v>-65526650.67531997</v>
      </c>
      <c r="BV38" s="535"/>
      <c r="BW38" s="536"/>
      <c r="BX38" s="536"/>
      <c r="BY38" s="535"/>
      <c r="BZ38" s="535">
        <f>-[39]original!$V$82</f>
        <v>-676139.5121998759</v>
      </c>
      <c r="CA38" s="535"/>
      <c r="CB38" s="536"/>
      <c r="CC38" s="536"/>
      <c r="CD38" s="535"/>
      <c r="CE38" s="535">
        <f>-[42]original!$F$83</f>
        <v>-9617047.0857300311</v>
      </c>
      <c r="CF38" s="535"/>
      <c r="CG38" s="536"/>
      <c r="CH38" s="536"/>
      <c r="CI38" s="535"/>
      <c r="CJ38" s="535">
        <f>-[34]original!$X$82</f>
        <v>1658010.930979982</v>
      </c>
      <c r="CK38" s="535"/>
      <c r="CL38" s="536"/>
      <c r="CM38" s="536"/>
      <c r="CN38" s="535"/>
      <c r="CO38" s="535">
        <f>-[43]original!$H$83</f>
        <v>13980252.002719998</v>
      </c>
      <c r="CP38" s="535"/>
      <c r="CQ38" s="536"/>
      <c r="CR38" s="536"/>
      <c r="CS38" s="535"/>
      <c r="CT38" s="535">
        <f>-[44]original!$I$83</f>
        <v>-8777405.5292999893</v>
      </c>
      <c r="CU38" s="535"/>
      <c r="CV38" s="536"/>
      <c r="CW38" s="536"/>
      <c r="CX38" s="535"/>
      <c r="CY38" s="535">
        <f>-[45]original!$J$83</f>
        <v>-9967884.6452499926</v>
      </c>
      <c r="CZ38" s="535"/>
      <c r="DA38" s="536"/>
      <c r="DB38" s="536"/>
      <c r="DC38" s="535"/>
      <c r="DD38" s="535">
        <f>-[46]original!$K$83</f>
        <v>-4315544.2743200064</v>
      </c>
      <c r="DE38" s="535"/>
      <c r="DF38" s="536"/>
      <c r="DG38" s="536"/>
      <c r="DH38" s="535"/>
      <c r="DI38" s="535">
        <f>-[47]original!$L$84</f>
        <v>-395955.73492997885</v>
      </c>
      <c r="DJ38" s="535"/>
      <c r="DK38" s="536"/>
      <c r="DL38" s="536"/>
      <c r="DM38" s="535"/>
      <c r="DN38" s="535">
        <f>-[48]original!$M$84</f>
        <v>-18897629.034100011</v>
      </c>
      <c r="DO38" s="535"/>
      <c r="DP38" s="536"/>
      <c r="DQ38" s="536"/>
      <c r="DR38" s="535"/>
      <c r="DS38" s="535">
        <f>-[49]original!$N$82</f>
        <v>-1291051.425060004</v>
      </c>
      <c r="DT38" s="537"/>
      <c r="DU38" s="536"/>
      <c r="DV38" s="536"/>
      <c r="DW38" s="537"/>
      <c r="DX38" s="535">
        <f>-[50]original!$O$82</f>
        <v>-2746121.6662400216</v>
      </c>
      <c r="DY38" s="535"/>
      <c r="DZ38" s="536"/>
      <c r="EA38" s="536"/>
      <c r="EB38" s="535"/>
      <c r="EC38" s="535">
        <f>-[51]original!$P$82</f>
        <v>-5785998.0916399956</v>
      </c>
      <c r="ED38" s="535"/>
      <c r="EE38" s="536"/>
      <c r="EF38" s="536"/>
      <c r="EG38" s="535"/>
      <c r="EH38" s="535">
        <f>-[52]original!$Q$82</f>
        <v>48587728.50752002</v>
      </c>
      <c r="EI38" s="535"/>
      <c r="EJ38" s="536"/>
      <c r="EK38" s="536"/>
      <c r="EL38" s="538"/>
      <c r="EM38" s="535">
        <f>SUM(CE38:DX38)</f>
        <v>-40370376.461230054</v>
      </c>
      <c r="EN38" s="531"/>
      <c r="EO38" s="532"/>
      <c r="EP38" s="513"/>
    </row>
    <row r="39" spans="4:148" x14ac:dyDescent="0.2">
      <c r="D39" s="13"/>
      <c r="E39" s="158"/>
      <c r="F39" s="198"/>
      <c r="H39" s="330"/>
      <c r="I39" s="330"/>
      <c r="J39" s="330"/>
      <c r="K39" s="329"/>
      <c r="L39" s="330"/>
      <c r="M39" s="330"/>
      <c r="N39" s="330"/>
      <c r="O39" s="330"/>
      <c r="P39" s="329"/>
      <c r="Q39" s="330"/>
      <c r="R39" s="330"/>
      <c r="S39" s="330"/>
      <c r="T39" s="330"/>
      <c r="U39" s="329"/>
      <c r="V39" s="330"/>
      <c r="W39" s="330"/>
      <c r="X39" s="330"/>
      <c r="Y39" s="330"/>
      <c r="Z39" s="329"/>
      <c r="AA39" s="330"/>
      <c r="AB39" s="330"/>
      <c r="AC39" s="330"/>
      <c r="AD39" s="330"/>
      <c r="AE39" s="329"/>
      <c r="AF39" s="330"/>
      <c r="AG39" s="330"/>
      <c r="AH39" s="330"/>
      <c r="AI39" s="330"/>
      <c r="AJ39" s="329"/>
      <c r="AK39" s="330"/>
      <c r="AL39" s="330"/>
      <c r="AM39" s="330"/>
      <c r="AN39" s="330"/>
      <c r="AO39" s="329"/>
      <c r="AP39" s="330"/>
      <c r="AQ39" s="330"/>
      <c r="AR39" s="330"/>
      <c r="AS39" s="330"/>
      <c r="AT39" s="329"/>
      <c r="AU39" s="330"/>
      <c r="AV39" s="330"/>
      <c r="AW39" s="330"/>
      <c r="AX39" s="330"/>
      <c r="AY39" s="329"/>
      <c r="AZ39" s="330"/>
      <c r="BA39" s="330"/>
      <c r="BB39" s="330"/>
      <c r="BC39" s="330"/>
      <c r="BD39" s="329"/>
      <c r="BE39" s="330"/>
      <c r="BF39" s="330"/>
      <c r="BG39" s="330"/>
      <c r="BH39" s="330"/>
      <c r="BI39" s="329"/>
      <c r="BJ39" s="330"/>
      <c r="BK39" s="330"/>
      <c r="BL39" s="330"/>
      <c r="BM39" s="330"/>
      <c r="BN39" s="329"/>
      <c r="BO39" s="330"/>
      <c r="BP39" s="330"/>
      <c r="BQ39" s="330"/>
      <c r="BR39" s="330"/>
      <c r="BS39" s="329"/>
      <c r="BT39" s="330"/>
      <c r="BU39" s="330"/>
      <c r="BV39" s="330"/>
      <c r="BW39" s="330"/>
      <c r="BX39" s="329"/>
      <c r="BY39" s="330"/>
      <c r="BZ39" s="330"/>
      <c r="CA39" s="330"/>
      <c r="CB39" s="330"/>
      <c r="CC39" s="329"/>
      <c r="CD39" s="330"/>
      <c r="CE39" s="330"/>
      <c r="CF39" s="330"/>
      <c r="CG39" s="330"/>
      <c r="CH39" s="329"/>
      <c r="CI39" s="330"/>
      <c r="CJ39" s="330"/>
      <c r="CK39" s="330"/>
      <c r="CL39" s="330"/>
      <c r="CM39" s="329"/>
      <c r="CN39" s="330"/>
      <c r="CO39" s="330"/>
      <c r="CP39" s="330"/>
      <c r="CQ39" s="330"/>
      <c r="CR39" s="329"/>
      <c r="CS39" s="330"/>
      <c r="CT39" s="330"/>
      <c r="CU39" s="330"/>
      <c r="CV39" s="330"/>
      <c r="CW39" s="329"/>
      <c r="CX39" s="330"/>
      <c r="CY39" s="330"/>
      <c r="CZ39" s="330"/>
      <c r="DA39" s="330"/>
      <c r="DB39" s="329"/>
      <c r="DC39" s="330"/>
      <c r="DD39" s="330"/>
      <c r="DE39" s="330"/>
      <c r="DF39" s="330"/>
      <c r="DG39" s="329"/>
      <c r="DH39" s="330"/>
      <c r="DI39" s="330"/>
      <c r="DJ39" s="330"/>
      <c r="DK39" s="330"/>
      <c r="DL39" s="329"/>
      <c r="DM39" s="330"/>
      <c r="DN39" s="330"/>
      <c r="DO39" s="330"/>
      <c r="DP39" s="330"/>
      <c r="DQ39" s="329"/>
      <c r="DR39" s="330"/>
      <c r="DS39" s="330"/>
      <c r="DT39" s="330"/>
      <c r="DU39" s="330"/>
      <c r="DV39" s="329"/>
      <c r="DW39" s="330"/>
      <c r="DX39" s="330"/>
      <c r="DY39" s="330"/>
      <c r="DZ39" s="330"/>
      <c r="EA39" s="329"/>
      <c r="EB39" s="330"/>
      <c r="EC39" s="330"/>
      <c r="ED39" s="330"/>
      <c r="EE39" s="330"/>
      <c r="EF39" s="329"/>
      <c r="EG39" s="330"/>
      <c r="EH39" s="330"/>
      <c r="EI39" s="330"/>
      <c r="EJ39" s="330"/>
      <c r="EK39" s="329"/>
      <c r="EL39" s="330"/>
      <c r="EM39" s="330"/>
      <c r="EN39" s="528"/>
      <c r="EO39" s="330"/>
      <c r="EP39" s="517"/>
      <c r="ER39" s="14"/>
    </row>
    <row r="40" spans="4:148" s="14" customFormat="1" x14ac:dyDescent="0.2">
      <c r="D40" s="160" t="s">
        <v>505</v>
      </c>
      <c r="E40" s="539" t="s">
        <v>60</v>
      </c>
      <c r="F40" s="214"/>
      <c r="G40" s="107"/>
      <c r="H40" s="343">
        <f>+H12+H38+H32+H27+H23</f>
        <v>47835711.668461092</v>
      </c>
      <c r="I40" s="343"/>
      <c r="J40" s="343"/>
      <c r="K40" s="342"/>
      <c r="L40" s="343"/>
      <c r="M40" s="343">
        <f>+M12+M38+M32+M27+M23</f>
        <v>-18499278.953769997</v>
      </c>
      <c r="N40" s="343"/>
      <c r="O40" s="343"/>
      <c r="P40" s="342"/>
      <c r="Q40" s="343"/>
      <c r="R40" s="343">
        <f>+R12+R38+R32+R27+R23</f>
        <v>537410.36356998235</v>
      </c>
      <c r="S40" s="343"/>
      <c r="T40" s="343"/>
      <c r="U40" s="342"/>
      <c r="V40" s="343"/>
      <c r="W40" s="343">
        <f>+W12+W38+W32+W27+W23</f>
        <v>-23974845.376640022</v>
      </c>
      <c r="X40" s="343"/>
      <c r="Y40" s="343"/>
      <c r="Z40" s="342"/>
      <c r="AA40" s="343"/>
      <c r="AB40" s="343">
        <f>+AB12+AB38+AB32+AB27+AB23</f>
        <v>-39272434.960170001</v>
      </c>
      <c r="AC40" s="343"/>
      <c r="AD40" s="343"/>
      <c r="AE40" s="342"/>
      <c r="AF40" s="343"/>
      <c r="AG40" s="343">
        <f>+AG12+AG38+AG32+AG27+AG23</f>
        <v>32418642.456500009</v>
      </c>
      <c r="AH40" s="343"/>
      <c r="AI40" s="343"/>
      <c r="AJ40" s="342"/>
      <c r="AK40" s="343"/>
      <c r="AL40" s="343">
        <f>+AL12+AL38+AL32+AL27+AL23</f>
        <v>-8875713.0291699618</v>
      </c>
      <c r="AM40" s="343"/>
      <c r="AN40" s="343"/>
      <c r="AO40" s="342"/>
      <c r="AP40" s="343"/>
      <c r="AQ40" s="343">
        <f>+AQ12+AQ38+AQ32+AQ27+AQ23</f>
        <v>-36949546.152860001</v>
      </c>
      <c r="AR40" s="343"/>
      <c r="AS40" s="343"/>
      <c r="AT40" s="342"/>
      <c r="AU40" s="343"/>
      <c r="AV40" s="343">
        <f>+AV12+AV38+AV32+AV27+AV23</f>
        <v>-18096631.773589998</v>
      </c>
      <c r="AW40" s="343"/>
      <c r="AX40" s="343"/>
      <c r="AY40" s="342"/>
      <c r="AZ40" s="343"/>
      <c r="BA40" s="343">
        <f>+BA12+BA38+BA32+BA27+BA23</f>
        <v>-17747258.769499987</v>
      </c>
      <c r="BB40" s="343"/>
      <c r="BC40" s="343"/>
      <c r="BD40" s="342"/>
      <c r="BE40" s="343"/>
      <c r="BF40" s="343">
        <f>+BF12+BF23+BF25+BF27+BF32+BF38</f>
        <v>25860728.776310012</v>
      </c>
      <c r="BG40" s="343"/>
      <c r="BH40" s="343"/>
      <c r="BI40" s="342"/>
      <c r="BJ40" s="343"/>
      <c r="BK40" s="343">
        <f>+BK12+BK38+BK32+BK27+BK23</f>
        <v>378365248</v>
      </c>
      <c r="BL40" s="343"/>
      <c r="BM40" s="343"/>
      <c r="BN40" s="342"/>
      <c r="BO40" s="343"/>
      <c r="BP40" s="343">
        <f>+BP12+BP38+BP32+BP27+BP23</f>
        <v>0</v>
      </c>
      <c r="BQ40" s="343"/>
      <c r="BR40" s="343"/>
      <c r="BS40" s="342"/>
      <c r="BT40" s="343"/>
      <c r="BU40" s="343">
        <f>+BU12+BU23+BU25+BU27+BU32+BU38</f>
        <v>-104598927.41931997</v>
      </c>
      <c r="BV40" s="343"/>
      <c r="BW40" s="343"/>
      <c r="BX40" s="342"/>
      <c r="BY40" s="343"/>
      <c r="BZ40" s="343">
        <f>+BZ12+BZ23+BZ25+BZ27+BZ32+BZ38</f>
        <v>-1669085.7470803251</v>
      </c>
      <c r="CA40" s="343"/>
      <c r="CB40" s="343"/>
      <c r="CC40" s="342"/>
      <c r="CD40" s="343"/>
      <c r="CE40" s="343">
        <f>+CE12+CE38+CE32+CE27+CE23</f>
        <v>12935068.914269969</v>
      </c>
      <c r="CF40" s="343"/>
      <c r="CG40" s="343"/>
      <c r="CH40" s="342"/>
      <c r="CI40" s="343"/>
      <c r="CJ40" s="343">
        <f>+CJ12+CJ38+CJ32+CJ27+CJ23</f>
        <v>6028814.930979982</v>
      </c>
      <c r="CK40" s="343"/>
      <c r="CL40" s="343"/>
      <c r="CM40" s="342"/>
      <c r="CN40" s="343"/>
      <c r="CO40" s="343">
        <f>+CO12+CO38+CO32+CO27+CO23</f>
        <v>-64456252.997280002</v>
      </c>
      <c r="CP40" s="343"/>
      <c r="CQ40" s="343"/>
      <c r="CR40" s="342"/>
      <c r="CS40" s="343"/>
      <c r="CT40" s="343">
        <f>+CT12+CT38+CT32+CT27+CT23</f>
        <v>71916201.470700011</v>
      </c>
      <c r="CU40" s="343"/>
      <c r="CV40" s="343"/>
      <c r="CW40" s="342"/>
      <c r="CX40" s="343"/>
      <c r="CY40" s="343">
        <f>+CY12+CY38+CY32+CY27+CY23</f>
        <v>-5938593.6452499926</v>
      </c>
      <c r="CZ40" s="343"/>
      <c r="DA40" s="343"/>
      <c r="DB40" s="342"/>
      <c r="DC40" s="343"/>
      <c r="DD40" s="343">
        <f>+DD12+DD38+DD32+DD27+DD23</f>
        <v>-87185842.274320006</v>
      </c>
      <c r="DE40" s="343"/>
      <c r="DF40" s="343"/>
      <c r="DG40" s="342"/>
      <c r="DH40" s="343"/>
      <c r="DI40" s="343">
        <f>+DI12+DI38+DI32+DI27+DI23</f>
        <v>4292248.2650700212</v>
      </c>
      <c r="DJ40" s="343"/>
      <c r="DK40" s="343"/>
      <c r="DL40" s="342"/>
      <c r="DM40" s="343"/>
      <c r="DN40" s="343">
        <f>+DN12+DN38+DN32+DN27+DN23</f>
        <v>-21698105.034100011</v>
      </c>
      <c r="DO40" s="343"/>
      <c r="DP40" s="343"/>
      <c r="DQ40" s="342"/>
      <c r="DR40" s="343"/>
      <c r="DS40" s="343">
        <f>+DS12+DS38+DS32+DS27+DS23</f>
        <v>-5176181.425060004</v>
      </c>
      <c r="DT40" s="343"/>
      <c r="DU40" s="343"/>
      <c r="DV40" s="342"/>
      <c r="DW40" s="343"/>
      <c r="DX40" s="343">
        <f>+DX12+DX23+DX25+DX27+DX32+DX38</f>
        <v>31144738.333759978</v>
      </c>
      <c r="DY40" s="343"/>
      <c r="DZ40" s="343"/>
      <c r="EA40" s="342"/>
      <c r="EB40" s="343"/>
      <c r="EC40" s="343">
        <f>+EC12+EC38+EC32+EC27+EC23</f>
        <v>-28811986.091639996</v>
      </c>
      <c r="ED40" s="343"/>
      <c r="EE40" s="343"/>
      <c r="EF40" s="342"/>
      <c r="EG40" s="343"/>
      <c r="EH40" s="343">
        <f>+EH12+EH38+EH32+EH27+EH23</f>
        <v>86300995.50752002</v>
      </c>
      <c r="EI40" s="343"/>
      <c r="EJ40" s="343"/>
      <c r="EK40" s="342"/>
      <c r="EL40" s="343"/>
      <c r="EM40" s="343">
        <f>+EM12+EM38+EM32+EM27+EM23+EM25</f>
        <v>-58137903.461230054</v>
      </c>
      <c r="EN40" s="540"/>
      <c r="EO40" s="336"/>
      <c r="EP40" s="513"/>
    </row>
    <row r="41" spans="4:148" x14ac:dyDescent="0.2">
      <c r="D41" s="541" t="s">
        <v>506</v>
      </c>
      <c r="E41" s="541"/>
      <c r="F41" s="541"/>
      <c r="G41" s="541"/>
      <c r="H41" s="541"/>
      <c r="I41" s="541"/>
      <c r="J41" s="541"/>
      <c r="K41" s="541"/>
      <c r="L41" s="541"/>
      <c r="M41" s="541"/>
      <c r="N41" s="541"/>
      <c r="O41" s="541"/>
      <c r="P41" s="541"/>
      <c r="Q41" s="541"/>
      <c r="R41" s="541"/>
      <c r="S41" s="541"/>
      <c r="T41" s="541"/>
      <c r="U41" s="541"/>
      <c r="V41" s="541"/>
      <c r="W41" s="541"/>
      <c r="X41" s="541"/>
      <c r="Y41" s="541"/>
      <c r="Z41" s="541"/>
      <c r="AA41" s="541"/>
      <c r="AB41" s="541"/>
      <c r="AC41" s="541"/>
      <c r="AD41" s="541"/>
      <c r="AE41" s="541"/>
      <c r="AF41" s="541"/>
      <c r="AG41" s="541"/>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row>
    <row r="42" spans="4:148" hidden="1" x14ac:dyDescent="0.2">
      <c r="D42" s="542" t="s">
        <v>507</v>
      </c>
    </row>
    <row r="43" spans="4:148" hidden="1" x14ac:dyDescent="0.2">
      <c r="D43" s="542" t="s">
        <v>508</v>
      </c>
    </row>
    <row r="44" spans="4:148" hidden="1" x14ac:dyDescent="0.2">
      <c r="D44" s="542" t="s">
        <v>509</v>
      </c>
    </row>
    <row r="45" spans="4:148" hidden="1" x14ac:dyDescent="0.2">
      <c r="D45" s="542" t="s">
        <v>510</v>
      </c>
    </row>
    <row r="46" spans="4:148" x14ac:dyDescent="0.2">
      <c r="D46" s="542" t="s">
        <v>511</v>
      </c>
      <c r="CJ46" s="14"/>
    </row>
    <row r="47" spans="4:148" x14ac:dyDescent="0.2">
      <c r="D47" s="542" t="s">
        <v>512</v>
      </c>
      <c r="E47" s="543"/>
      <c r="F47" s="542"/>
      <c r="G47" s="542"/>
      <c r="BZ47" s="290"/>
    </row>
    <row r="48" spans="4:148" x14ac:dyDescent="0.2">
      <c r="E48" s="543"/>
      <c r="F48" s="542"/>
      <c r="G48" s="542"/>
      <c r="M48" s="544"/>
      <c r="CA48" s="1">
        <v>2087353.7651195501</v>
      </c>
      <c r="DN48" s="330"/>
      <c r="DO48" s="330"/>
      <c r="DP48" s="330"/>
      <c r="DQ48" s="330"/>
      <c r="DR48" s="330"/>
    </row>
    <row r="49" spans="4:93" x14ac:dyDescent="0.2">
      <c r="E49" s="543"/>
      <c r="F49" s="542"/>
      <c r="G49" s="542"/>
    </row>
    <row r="50" spans="4:93" hidden="1" x14ac:dyDescent="0.2">
      <c r="BZ50" s="1">
        <v>3245038.1090099812</v>
      </c>
    </row>
    <row r="51" spans="4:93" hidden="1" x14ac:dyDescent="0.2">
      <c r="CO51" s="14">
        <f>CO38+4818384</f>
        <v>18798636.002719998</v>
      </c>
    </row>
    <row r="52" spans="4:93" hidden="1" x14ac:dyDescent="0.2">
      <c r="CJ52" s="1">
        <f>CJ38-1071906</f>
        <v>586104.93097998202</v>
      </c>
      <c r="CO52" s="545">
        <f>CO51/2</f>
        <v>9399318.0013599992</v>
      </c>
    </row>
    <row r="53" spans="4:93" hidden="1" x14ac:dyDescent="0.2">
      <c r="D53" s="546"/>
      <c r="M53" s="1">
        <f>M12-CE12</f>
        <v>-57646155</v>
      </c>
      <c r="N53" s="1">
        <f t="shared" ref="N53:BU57" si="0">N12-CF12</f>
        <v>0</v>
      </c>
      <c r="O53" s="1">
        <f t="shared" si="0"/>
        <v>0</v>
      </c>
      <c r="P53" s="1">
        <f t="shared" si="0"/>
        <v>0</v>
      </c>
      <c r="Q53" s="1">
        <f t="shared" si="0"/>
        <v>0</v>
      </c>
      <c r="R53" s="1">
        <f t="shared" si="0"/>
        <v>-3183722</v>
      </c>
      <c r="S53" s="1">
        <f t="shared" si="0"/>
        <v>0</v>
      </c>
      <c r="T53" s="1">
        <f t="shared" si="0"/>
        <v>0</v>
      </c>
      <c r="U53" s="1">
        <f t="shared" si="0"/>
        <v>0</v>
      </c>
      <c r="V53" s="1">
        <f t="shared" si="0"/>
        <v>0</v>
      </c>
      <c r="W53" s="1">
        <f t="shared" si="0"/>
        <v>57221837</v>
      </c>
      <c r="X53" s="1">
        <f t="shared" si="0"/>
        <v>0</v>
      </c>
      <c r="Y53" s="1">
        <f t="shared" si="0"/>
        <v>0</v>
      </c>
      <c r="Z53" s="1">
        <f t="shared" si="0"/>
        <v>0</v>
      </c>
      <c r="AA53" s="1">
        <f t="shared" si="0"/>
        <v>0</v>
      </c>
      <c r="AB53" s="1">
        <f t="shared" si="0"/>
        <v>-125135569</v>
      </c>
      <c r="AC53" s="1">
        <f t="shared" si="0"/>
        <v>0</v>
      </c>
      <c r="AD53" s="1">
        <f t="shared" si="0"/>
        <v>0</v>
      </c>
      <c r="AE53" s="1">
        <f t="shared" si="0"/>
        <v>0</v>
      </c>
      <c r="AF53" s="1">
        <f t="shared" si="0"/>
        <v>0</v>
      </c>
      <c r="AG53" s="1">
        <f t="shared" si="0"/>
        <v>31446198</v>
      </c>
      <c r="AH53" s="1">
        <f t="shared" si="0"/>
        <v>0</v>
      </c>
      <c r="AI53" s="1">
        <f t="shared" si="0"/>
        <v>0</v>
      </c>
      <c r="AJ53" s="1">
        <f t="shared" si="0"/>
        <v>0</v>
      </c>
      <c r="AK53" s="1">
        <f t="shared" si="0"/>
        <v>0</v>
      </c>
      <c r="AL53" s="1">
        <f t="shared" si="0"/>
        <v>91275781</v>
      </c>
      <c r="AM53" s="1">
        <f t="shared" si="0"/>
        <v>0</v>
      </c>
      <c r="AN53" s="1">
        <f t="shared" si="0"/>
        <v>0</v>
      </c>
      <c r="AO53" s="1">
        <f t="shared" si="0"/>
        <v>0</v>
      </c>
      <c r="AP53" s="1">
        <f t="shared" si="0"/>
        <v>0</v>
      </c>
      <c r="AQ53" s="1">
        <f t="shared" si="0"/>
        <v>-43693858</v>
      </c>
      <c r="AR53" s="1">
        <f t="shared" si="0"/>
        <v>0</v>
      </c>
      <c r="AS53" s="1">
        <f t="shared" si="0"/>
        <v>0</v>
      </c>
      <c r="AT53" s="1">
        <f t="shared" si="0"/>
        <v>0</v>
      </c>
      <c r="AU53" s="1">
        <f t="shared" si="0"/>
        <v>0</v>
      </c>
      <c r="AV53" s="1">
        <f t="shared" si="0"/>
        <v>-10140453</v>
      </c>
      <c r="AW53" s="1">
        <f t="shared" si="0"/>
        <v>0</v>
      </c>
      <c r="AX53" s="1">
        <f t="shared" si="0"/>
        <v>0</v>
      </c>
      <c r="AY53" s="1">
        <f t="shared" si="0"/>
        <v>0</v>
      </c>
      <c r="AZ53" s="1">
        <f t="shared" si="0"/>
        <v>0</v>
      </c>
      <c r="BA53" s="1">
        <f t="shared" si="0"/>
        <v>-10866380</v>
      </c>
      <c r="BB53" s="1">
        <f t="shared" si="0"/>
        <v>0</v>
      </c>
      <c r="BC53" s="1">
        <f t="shared" si="0"/>
        <v>0</v>
      </c>
      <c r="BD53" s="1">
        <f t="shared" si="0"/>
        <v>0</v>
      </c>
      <c r="BE53" s="1">
        <f t="shared" si="0"/>
        <v>0</v>
      </c>
      <c r="BF53" s="1">
        <f t="shared" si="0"/>
        <v>-33784987</v>
      </c>
      <c r="BG53" s="1">
        <f t="shared" si="0"/>
        <v>0</v>
      </c>
      <c r="BH53" s="1">
        <f t="shared" si="0"/>
        <v>0</v>
      </c>
      <c r="BI53" s="1">
        <f t="shared" si="0"/>
        <v>0</v>
      </c>
      <c r="BJ53" s="1">
        <f t="shared" si="0"/>
        <v>0</v>
      </c>
      <c r="BK53" s="1">
        <f t="shared" si="0"/>
        <v>406305010</v>
      </c>
      <c r="BL53" s="1">
        <f t="shared" si="0"/>
        <v>0</v>
      </c>
      <c r="BM53" s="1">
        <f t="shared" si="0"/>
        <v>0</v>
      </c>
      <c r="BN53" s="1">
        <f t="shared" si="0"/>
        <v>0</v>
      </c>
      <c r="BO53" s="1">
        <f t="shared" si="0"/>
        <v>0</v>
      </c>
      <c r="BP53" s="1">
        <f t="shared" si="0"/>
        <v>-68610019</v>
      </c>
      <c r="BQ53" s="1">
        <f t="shared" si="0"/>
        <v>0</v>
      </c>
      <c r="BR53" s="1">
        <f t="shared" si="0"/>
        <v>0</v>
      </c>
      <c r="BS53" s="1">
        <f t="shared" si="0"/>
        <v>0</v>
      </c>
      <c r="BT53" s="1">
        <f t="shared" si="0"/>
        <v>0</v>
      </c>
      <c r="BU53" s="1">
        <f t="shared" si="0"/>
        <v>-104507308</v>
      </c>
    </row>
    <row r="54" spans="4:93" hidden="1" x14ac:dyDescent="0.2">
      <c r="M54" s="1">
        <f t="shared" ref="M54:AB69" si="1">M13-CE13</f>
        <v>-2473985</v>
      </c>
      <c r="N54" s="1">
        <f t="shared" si="0"/>
        <v>0</v>
      </c>
      <c r="O54" s="1">
        <f t="shared" si="0"/>
        <v>0</v>
      </c>
      <c r="P54" s="1">
        <f t="shared" si="0"/>
        <v>0</v>
      </c>
      <c r="Q54" s="1">
        <f t="shared" si="0"/>
        <v>0</v>
      </c>
      <c r="R54" s="1">
        <f t="shared" si="0"/>
        <v>55172170</v>
      </c>
      <c r="S54" s="1">
        <f t="shared" si="0"/>
        <v>0</v>
      </c>
      <c r="T54" s="1">
        <f t="shared" si="0"/>
        <v>0</v>
      </c>
      <c r="U54" s="1">
        <f t="shared" si="0"/>
        <v>0</v>
      </c>
      <c r="V54" s="1">
        <f t="shared" si="0"/>
        <v>0</v>
      </c>
      <c r="W54" s="1">
        <f t="shared" si="0"/>
        <v>58355892</v>
      </c>
      <c r="X54" s="1">
        <f t="shared" si="0"/>
        <v>0</v>
      </c>
      <c r="Y54" s="1">
        <f t="shared" si="0"/>
        <v>0</v>
      </c>
      <c r="Z54" s="1">
        <f t="shared" si="0"/>
        <v>0</v>
      </c>
      <c r="AA54" s="1">
        <f t="shared" si="0"/>
        <v>0</v>
      </c>
      <c r="AB54" s="1">
        <f t="shared" si="0"/>
        <v>1134055</v>
      </c>
      <c r="AC54" s="1">
        <f t="shared" si="0"/>
        <v>0</v>
      </c>
      <c r="AD54" s="1">
        <f t="shared" si="0"/>
        <v>0</v>
      </c>
      <c r="AE54" s="1">
        <f t="shared" si="0"/>
        <v>0</v>
      </c>
      <c r="AF54" s="1">
        <f t="shared" si="0"/>
        <v>0</v>
      </c>
      <c r="AG54" s="1">
        <f t="shared" si="0"/>
        <v>126269624</v>
      </c>
      <c r="AH54" s="1">
        <f t="shared" si="0"/>
        <v>0</v>
      </c>
      <c r="AI54" s="1">
        <f t="shared" si="0"/>
        <v>0</v>
      </c>
      <c r="AJ54" s="1">
        <f t="shared" si="0"/>
        <v>0</v>
      </c>
      <c r="AK54" s="1">
        <f t="shared" si="0"/>
        <v>0</v>
      </c>
      <c r="AL54" s="1">
        <f t="shared" si="0"/>
        <v>94823426</v>
      </c>
      <c r="AM54" s="1">
        <f t="shared" si="0"/>
        <v>0</v>
      </c>
      <c r="AN54" s="1">
        <f t="shared" si="0"/>
        <v>0</v>
      </c>
      <c r="AO54" s="1">
        <f t="shared" si="0"/>
        <v>0</v>
      </c>
      <c r="AP54" s="1">
        <f t="shared" si="0"/>
        <v>0</v>
      </c>
      <c r="AQ54" s="1">
        <f t="shared" si="0"/>
        <v>3547645</v>
      </c>
      <c r="AR54" s="1">
        <f t="shared" si="0"/>
        <v>0</v>
      </c>
      <c r="AS54" s="1">
        <f t="shared" si="0"/>
        <v>0</v>
      </c>
      <c r="AT54" s="1">
        <f t="shared" si="0"/>
        <v>0</v>
      </c>
      <c r="AU54" s="1">
        <f t="shared" si="0"/>
        <v>0</v>
      </c>
      <c r="AV54" s="1">
        <f t="shared" si="0"/>
        <v>47241503</v>
      </c>
      <c r="AW54" s="1">
        <f t="shared" si="0"/>
        <v>0</v>
      </c>
      <c r="AX54" s="1">
        <f t="shared" si="0"/>
        <v>0</v>
      </c>
      <c r="AY54" s="1">
        <f t="shared" si="0"/>
        <v>0</v>
      </c>
      <c r="AZ54" s="1">
        <f t="shared" si="0"/>
        <v>0</v>
      </c>
      <c r="BA54" s="1">
        <f t="shared" si="0"/>
        <v>57381956</v>
      </c>
      <c r="BB54" s="1">
        <f t="shared" si="0"/>
        <v>0</v>
      </c>
      <c r="BC54" s="1">
        <f t="shared" si="0"/>
        <v>0</v>
      </c>
      <c r="BD54" s="1">
        <f t="shared" si="0"/>
        <v>0</v>
      </c>
      <c r="BE54" s="1">
        <f t="shared" si="0"/>
        <v>0</v>
      </c>
      <c r="BF54" s="1">
        <f t="shared" si="0"/>
        <v>68248336</v>
      </c>
      <c r="BG54" s="1">
        <f t="shared" si="0"/>
        <v>0</v>
      </c>
      <c r="BH54" s="1">
        <f t="shared" si="0"/>
        <v>0</v>
      </c>
      <c r="BI54" s="1">
        <f t="shared" si="0"/>
        <v>0</v>
      </c>
      <c r="BJ54" s="1">
        <f t="shared" si="0"/>
        <v>0</v>
      </c>
      <c r="BK54" s="1">
        <f t="shared" si="0"/>
        <v>102033323</v>
      </c>
      <c r="BL54" s="1">
        <f t="shared" si="0"/>
        <v>0</v>
      </c>
      <c r="BM54" s="1">
        <f t="shared" si="0"/>
        <v>0</v>
      </c>
      <c r="BN54" s="1">
        <f t="shared" si="0"/>
        <v>0</v>
      </c>
      <c r="BO54" s="1">
        <f t="shared" si="0"/>
        <v>0</v>
      </c>
      <c r="BP54" s="1">
        <f t="shared" si="0"/>
        <v>-304271687</v>
      </c>
      <c r="BQ54" s="1">
        <f t="shared" si="0"/>
        <v>0</v>
      </c>
      <c r="BR54" s="1">
        <f t="shared" si="0"/>
        <v>0</v>
      </c>
      <c r="BS54" s="1">
        <f t="shared" si="0"/>
        <v>0</v>
      </c>
      <c r="BT54" s="1">
        <f t="shared" si="0"/>
        <v>0</v>
      </c>
      <c r="BU54" s="1">
        <f t="shared" si="0"/>
        <v>-2473985</v>
      </c>
      <c r="CO54" s="1">
        <f>CJ52-CO51</f>
        <v>-18212531.071740016</v>
      </c>
    </row>
    <row r="55" spans="4:93" hidden="1" x14ac:dyDescent="0.2">
      <c r="D55" s="547"/>
      <c r="M55" s="1">
        <f t="shared" si="1"/>
        <v>16407808</v>
      </c>
      <c r="N55" s="1">
        <f t="shared" si="0"/>
        <v>0</v>
      </c>
      <c r="O55" s="1">
        <f t="shared" si="0"/>
        <v>0</v>
      </c>
      <c r="P55" s="1">
        <f t="shared" si="0"/>
        <v>0</v>
      </c>
      <c r="Q55" s="1">
        <f t="shared" si="0"/>
        <v>0</v>
      </c>
      <c r="R55" s="1">
        <f t="shared" si="0"/>
        <v>16966801</v>
      </c>
      <c r="S55" s="1">
        <f t="shared" si="0"/>
        <v>0</v>
      </c>
      <c r="T55" s="1">
        <f t="shared" si="0"/>
        <v>0</v>
      </c>
      <c r="U55" s="1">
        <f t="shared" si="0"/>
        <v>0</v>
      </c>
      <c r="V55" s="1">
        <f t="shared" si="0"/>
        <v>0</v>
      </c>
      <c r="W55" s="1">
        <f t="shared" si="0"/>
        <v>24865930</v>
      </c>
      <c r="X55" s="1">
        <f t="shared" si="0"/>
        <v>0</v>
      </c>
      <c r="Y55" s="1">
        <f t="shared" si="0"/>
        <v>0</v>
      </c>
      <c r="Z55" s="1">
        <f t="shared" si="0"/>
        <v>0</v>
      </c>
      <c r="AA55" s="1">
        <f t="shared" si="0"/>
        <v>0</v>
      </c>
      <c r="AB55" s="1">
        <f t="shared" si="0"/>
        <v>17229919</v>
      </c>
      <c r="AC55" s="1">
        <f t="shared" si="0"/>
        <v>0</v>
      </c>
      <c r="AD55" s="1">
        <f t="shared" si="0"/>
        <v>0</v>
      </c>
      <c r="AE55" s="1">
        <f t="shared" si="0"/>
        <v>0</v>
      </c>
      <c r="AF55" s="1">
        <f t="shared" si="0"/>
        <v>0</v>
      </c>
      <c r="AG55" s="1">
        <f t="shared" si="0"/>
        <v>62600155</v>
      </c>
      <c r="AH55" s="1">
        <f t="shared" si="0"/>
        <v>0</v>
      </c>
      <c r="AI55" s="1">
        <f t="shared" si="0"/>
        <v>0</v>
      </c>
      <c r="AJ55" s="1">
        <f t="shared" si="0"/>
        <v>0</v>
      </c>
      <c r="AK55" s="1">
        <f t="shared" si="0"/>
        <v>0</v>
      </c>
      <c r="AL55" s="1">
        <f t="shared" si="0"/>
        <v>25114365</v>
      </c>
      <c r="AM55" s="1">
        <f t="shared" si="0"/>
        <v>0</v>
      </c>
      <c r="AN55" s="1">
        <f t="shared" si="0"/>
        <v>0</v>
      </c>
      <c r="AO55" s="1">
        <f t="shared" si="0"/>
        <v>0</v>
      </c>
      <c r="AP55" s="1">
        <f t="shared" si="0"/>
        <v>0</v>
      </c>
      <c r="AQ55" s="1">
        <f t="shared" si="0"/>
        <v>-63624200</v>
      </c>
      <c r="AR55" s="1">
        <f t="shared" si="0"/>
        <v>0</v>
      </c>
      <c r="AS55" s="1">
        <f t="shared" si="0"/>
        <v>0</v>
      </c>
      <c r="AT55" s="1">
        <f t="shared" si="0"/>
        <v>0</v>
      </c>
      <c r="AU55" s="1">
        <f t="shared" si="0"/>
        <v>0</v>
      </c>
      <c r="AV55" s="1">
        <f t="shared" si="0"/>
        <v>-72920853</v>
      </c>
      <c r="AW55" s="1">
        <f t="shared" si="0"/>
        <v>0</v>
      </c>
      <c r="AX55" s="1">
        <f t="shared" si="0"/>
        <v>0</v>
      </c>
      <c r="AY55" s="1">
        <f t="shared" si="0"/>
        <v>0</v>
      </c>
      <c r="AZ55" s="1">
        <f t="shared" si="0"/>
        <v>0</v>
      </c>
      <c r="BA55" s="1">
        <f t="shared" si="0"/>
        <v>-72696479</v>
      </c>
      <c r="BB55" s="1">
        <f t="shared" si="0"/>
        <v>0</v>
      </c>
      <c r="BC55" s="1">
        <f t="shared" si="0"/>
        <v>0</v>
      </c>
      <c r="BD55" s="1">
        <f t="shared" si="0"/>
        <v>0</v>
      </c>
      <c r="BE55" s="1">
        <f t="shared" si="0"/>
        <v>0</v>
      </c>
      <c r="BF55" s="1">
        <f t="shared" si="0"/>
        <v>-72531410</v>
      </c>
      <c r="BG55" s="1">
        <f t="shared" si="0"/>
        <v>0</v>
      </c>
      <c r="BH55" s="1">
        <f t="shared" si="0"/>
        <v>0</v>
      </c>
      <c r="BI55" s="1">
        <f t="shared" si="0"/>
        <v>0</v>
      </c>
      <c r="BJ55" s="1">
        <f t="shared" si="0"/>
        <v>0</v>
      </c>
      <c r="BK55" s="1">
        <f t="shared" si="0"/>
        <v>-72510051</v>
      </c>
      <c r="BL55" s="1">
        <f t="shared" si="0"/>
        <v>0</v>
      </c>
      <c r="BM55" s="1">
        <f t="shared" si="0"/>
        <v>0</v>
      </c>
      <c r="BN55" s="1">
        <f t="shared" si="0"/>
        <v>0</v>
      </c>
      <c r="BO55" s="1">
        <f t="shared" si="0"/>
        <v>0</v>
      </c>
      <c r="BP55" s="1">
        <f t="shared" si="0"/>
        <v>-214239939</v>
      </c>
      <c r="BQ55" s="1">
        <f t="shared" si="0"/>
        <v>0</v>
      </c>
      <c r="BR55" s="1">
        <f t="shared" si="0"/>
        <v>0</v>
      </c>
      <c r="BS55" s="1">
        <f t="shared" si="0"/>
        <v>0</v>
      </c>
      <c r="BT55" s="1">
        <f t="shared" si="0"/>
        <v>0</v>
      </c>
      <c r="BU55" s="1">
        <f t="shared" si="0"/>
        <v>16407808</v>
      </c>
    </row>
    <row r="56" spans="4:93" hidden="1" x14ac:dyDescent="0.2">
      <c r="D56" s="420"/>
      <c r="M56" s="1">
        <f t="shared" si="1"/>
        <v>-18881793</v>
      </c>
      <c r="N56" s="1">
        <f t="shared" si="0"/>
        <v>0</v>
      </c>
      <c r="O56" s="1">
        <f t="shared" si="0"/>
        <v>0</v>
      </c>
      <c r="P56" s="1">
        <f t="shared" si="0"/>
        <v>0</v>
      </c>
      <c r="Q56" s="1">
        <f t="shared" si="0"/>
        <v>0</v>
      </c>
      <c r="R56" s="1">
        <f t="shared" si="0"/>
        <v>38205369</v>
      </c>
      <c r="S56" s="1">
        <f t="shared" si="0"/>
        <v>0</v>
      </c>
      <c r="T56" s="1">
        <f t="shared" si="0"/>
        <v>0</v>
      </c>
      <c r="U56" s="1">
        <f t="shared" si="0"/>
        <v>0</v>
      </c>
      <c r="V56" s="1">
        <f t="shared" si="0"/>
        <v>0</v>
      </c>
      <c r="W56" s="1">
        <f t="shared" si="0"/>
        <v>33489962</v>
      </c>
      <c r="X56" s="1">
        <f t="shared" si="0"/>
        <v>0</v>
      </c>
      <c r="Y56" s="1">
        <f t="shared" si="0"/>
        <v>0</v>
      </c>
      <c r="Z56" s="1">
        <f t="shared" si="0"/>
        <v>0</v>
      </c>
      <c r="AA56" s="1">
        <f t="shared" si="0"/>
        <v>0</v>
      </c>
      <c r="AB56" s="1">
        <f t="shared" si="0"/>
        <v>-16095864</v>
      </c>
      <c r="AC56" s="1">
        <f t="shared" si="0"/>
        <v>0</v>
      </c>
      <c r="AD56" s="1">
        <f t="shared" si="0"/>
        <v>0</v>
      </c>
      <c r="AE56" s="1">
        <f t="shared" si="0"/>
        <v>0</v>
      </c>
      <c r="AF56" s="1">
        <f t="shared" si="0"/>
        <v>0</v>
      </c>
      <c r="AG56" s="1">
        <f t="shared" si="0"/>
        <v>63669469</v>
      </c>
      <c r="AH56" s="1">
        <f t="shared" si="0"/>
        <v>0</v>
      </c>
      <c r="AI56" s="1">
        <f t="shared" si="0"/>
        <v>0</v>
      </c>
      <c r="AJ56" s="1">
        <f t="shared" si="0"/>
        <v>0</v>
      </c>
      <c r="AK56" s="1">
        <f t="shared" si="0"/>
        <v>0</v>
      </c>
      <c r="AL56" s="1">
        <f t="shared" si="0"/>
        <v>69709061</v>
      </c>
      <c r="AM56" s="1">
        <f t="shared" si="0"/>
        <v>0</v>
      </c>
      <c r="AN56" s="1">
        <f t="shared" si="0"/>
        <v>0</v>
      </c>
      <c r="AO56" s="1">
        <f t="shared" si="0"/>
        <v>0</v>
      </c>
      <c r="AP56" s="1">
        <f t="shared" si="0"/>
        <v>0</v>
      </c>
      <c r="AQ56" s="1">
        <f t="shared" si="0"/>
        <v>67171845</v>
      </c>
      <c r="AR56" s="1">
        <f t="shared" si="0"/>
        <v>0</v>
      </c>
      <c r="AS56" s="1">
        <f t="shared" si="0"/>
        <v>0</v>
      </c>
      <c r="AT56" s="1">
        <f t="shared" si="0"/>
        <v>0</v>
      </c>
      <c r="AU56" s="1">
        <f t="shared" si="0"/>
        <v>0</v>
      </c>
      <c r="AV56" s="1">
        <f t="shared" si="0"/>
        <v>120162356</v>
      </c>
      <c r="AW56" s="1">
        <f t="shared" si="0"/>
        <v>0</v>
      </c>
      <c r="AX56" s="1">
        <f t="shared" si="0"/>
        <v>0</v>
      </c>
      <c r="AY56" s="1">
        <f t="shared" si="0"/>
        <v>0</v>
      </c>
      <c r="AZ56" s="1">
        <f t="shared" si="0"/>
        <v>0</v>
      </c>
      <c r="BA56" s="1">
        <f t="shared" si="0"/>
        <v>130078435</v>
      </c>
      <c r="BB56" s="1">
        <f t="shared" si="0"/>
        <v>0</v>
      </c>
      <c r="BC56" s="1">
        <f t="shared" si="0"/>
        <v>0</v>
      </c>
      <c r="BD56" s="1">
        <f t="shared" si="0"/>
        <v>0</v>
      </c>
      <c r="BE56" s="1">
        <f t="shared" si="0"/>
        <v>0</v>
      </c>
      <c r="BF56" s="1">
        <f t="shared" si="0"/>
        <v>140779746</v>
      </c>
      <c r="BG56" s="1">
        <f t="shared" si="0"/>
        <v>0</v>
      </c>
      <c r="BH56" s="1">
        <f t="shared" si="0"/>
        <v>0</v>
      </c>
      <c r="BI56" s="1">
        <f t="shared" si="0"/>
        <v>0</v>
      </c>
      <c r="BJ56" s="1">
        <f t="shared" si="0"/>
        <v>0</v>
      </c>
      <c r="BK56" s="1">
        <f t="shared" si="0"/>
        <v>174543374</v>
      </c>
      <c r="BL56" s="1">
        <f t="shared" si="0"/>
        <v>0</v>
      </c>
      <c r="BM56" s="1">
        <f t="shared" si="0"/>
        <v>0</v>
      </c>
      <c r="BN56" s="1">
        <f t="shared" si="0"/>
        <v>0</v>
      </c>
      <c r="BO56" s="1">
        <f t="shared" si="0"/>
        <v>0</v>
      </c>
      <c r="BP56" s="1">
        <f t="shared" si="0"/>
        <v>-90031748</v>
      </c>
      <c r="BQ56" s="1">
        <f t="shared" si="0"/>
        <v>0</v>
      </c>
      <c r="BR56" s="1">
        <f t="shared" si="0"/>
        <v>0</v>
      </c>
      <c r="BS56" s="1">
        <f t="shared" si="0"/>
        <v>0</v>
      </c>
      <c r="BT56" s="1">
        <f t="shared" si="0"/>
        <v>0</v>
      </c>
      <c r="BU56" s="1">
        <f t="shared" si="0"/>
        <v>-18881793</v>
      </c>
    </row>
    <row r="57" spans="4:93" hidden="1" x14ac:dyDescent="0.2">
      <c r="D57" s="548"/>
      <c r="M57" s="1">
        <f t="shared" si="1"/>
        <v>0</v>
      </c>
      <c r="N57" s="1">
        <f t="shared" si="0"/>
        <v>0</v>
      </c>
      <c r="O57" s="1">
        <f t="shared" si="0"/>
        <v>0</v>
      </c>
      <c r="P57" s="1">
        <f t="shared" si="0"/>
        <v>0</v>
      </c>
      <c r="Q57" s="1">
        <f t="shared" si="0"/>
        <v>0</v>
      </c>
      <c r="R57" s="1">
        <f t="shared" si="0"/>
        <v>0</v>
      </c>
      <c r="S57" s="1">
        <f t="shared" si="0"/>
        <v>0</v>
      </c>
      <c r="T57" s="1">
        <f t="shared" si="0"/>
        <v>0</v>
      </c>
      <c r="U57" s="1">
        <f t="shared" si="0"/>
        <v>0</v>
      </c>
      <c r="V57" s="1">
        <f t="shared" si="0"/>
        <v>0</v>
      </c>
      <c r="W57" s="1">
        <f t="shared" si="0"/>
        <v>0</v>
      </c>
      <c r="X57" s="1">
        <f t="shared" si="0"/>
        <v>0</v>
      </c>
      <c r="Y57" s="1">
        <f t="shared" si="0"/>
        <v>0</v>
      </c>
      <c r="Z57" s="1">
        <f t="shared" si="0"/>
        <v>0</v>
      </c>
      <c r="AA57" s="1">
        <f t="shared" si="0"/>
        <v>0</v>
      </c>
      <c r="AB57" s="1">
        <f t="shared" si="0"/>
        <v>0</v>
      </c>
      <c r="AC57" s="1">
        <f t="shared" ref="AC57:BU62" si="2">AC16-CU16</f>
        <v>0</v>
      </c>
      <c r="AD57" s="1">
        <f t="shared" si="2"/>
        <v>0</v>
      </c>
      <c r="AE57" s="1">
        <f t="shared" si="2"/>
        <v>0</v>
      </c>
      <c r="AF57" s="1">
        <f t="shared" si="2"/>
        <v>0</v>
      </c>
      <c r="AG57" s="1">
        <f t="shared" si="2"/>
        <v>0</v>
      </c>
      <c r="AH57" s="1">
        <f t="shared" si="2"/>
        <v>0</v>
      </c>
      <c r="AI57" s="1">
        <f t="shared" si="2"/>
        <v>0</v>
      </c>
      <c r="AJ57" s="1">
        <f t="shared" si="2"/>
        <v>0</v>
      </c>
      <c r="AK57" s="1">
        <f t="shared" si="2"/>
        <v>0</v>
      </c>
      <c r="AL57" s="1">
        <f t="shared" si="2"/>
        <v>0</v>
      </c>
      <c r="AM57" s="1">
        <f t="shared" si="2"/>
        <v>0</v>
      </c>
      <c r="AN57" s="1">
        <f t="shared" si="2"/>
        <v>0</v>
      </c>
      <c r="AO57" s="1">
        <f t="shared" si="2"/>
        <v>0</v>
      </c>
      <c r="AP57" s="1">
        <f t="shared" si="2"/>
        <v>0</v>
      </c>
      <c r="AQ57" s="1">
        <f t="shared" si="2"/>
        <v>0</v>
      </c>
      <c r="AR57" s="1">
        <f t="shared" si="2"/>
        <v>0</v>
      </c>
      <c r="AS57" s="1">
        <f t="shared" si="2"/>
        <v>0</v>
      </c>
      <c r="AT57" s="1">
        <f t="shared" si="2"/>
        <v>0</v>
      </c>
      <c r="AU57" s="1">
        <f t="shared" si="2"/>
        <v>0</v>
      </c>
      <c r="AV57" s="1">
        <f t="shared" si="2"/>
        <v>0</v>
      </c>
      <c r="AW57" s="1">
        <f t="shared" si="2"/>
        <v>0</v>
      </c>
      <c r="AX57" s="1">
        <f t="shared" si="2"/>
        <v>0</v>
      </c>
      <c r="AY57" s="1">
        <f t="shared" si="2"/>
        <v>0</v>
      </c>
      <c r="AZ57" s="1">
        <f t="shared" si="2"/>
        <v>0</v>
      </c>
      <c r="BA57" s="1">
        <f t="shared" si="2"/>
        <v>0</v>
      </c>
      <c r="BB57" s="1">
        <f t="shared" si="2"/>
        <v>0</v>
      </c>
      <c r="BC57" s="1">
        <f t="shared" si="2"/>
        <v>0</v>
      </c>
      <c r="BD57" s="1">
        <f t="shared" si="2"/>
        <v>0</v>
      </c>
      <c r="BE57" s="1">
        <f t="shared" si="2"/>
        <v>0</v>
      </c>
      <c r="BF57" s="1">
        <f t="shared" si="2"/>
        <v>0</v>
      </c>
      <c r="BG57" s="1">
        <f t="shared" si="2"/>
        <v>0</v>
      </c>
      <c r="BH57" s="1">
        <f t="shared" si="2"/>
        <v>0</v>
      </c>
      <c r="BI57" s="1">
        <f t="shared" si="2"/>
        <v>0</v>
      </c>
      <c r="BJ57" s="1">
        <f t="shared" si="2"/>
        <v>0</v>
      </c>
      <c r="BK57" s="1">
        <f t="shared" si="2"/>
        <v>0</v>
      </c>
      <c r="BL57" s="1">
        <f t="shared" si="2"/>
        <v>0</v>
      </c>
      <c r="BM57" s="1">
        <f t="shared" si="2"/>
        <v>0</v>
      </c>
      <c r="BN57" s="1">
        <f t="shared" si="2"/>
        <v>0</v>
      </c>
      <c r="BO57" s="1">
        <f t="shared" si="2"/>
        <v>0</v>
      </c>
      <c r="BP57" s="1">
        <f t="shared" si="2"/>
        <v>0</v>
      </c>
      <c r="BQ57" s="1">
        <f t="shared" si="2"/>
        <v>0</v>
      </c>
      <c r="BR57" s="1">
        <f t="shared" si="2"/>
        <v>0</v>
      </c>
      <c r="BS57" s="1">
        <f t="shared" si="2"/>
        <v>0</v>
      </c>
      <c r="BT57" s="1">
        <f t="shared" si="2"/>
        <v>0</v>
      </c>
      <c r="BU57" s="1">
        <f t="shared" si="2"/>
        <v>0</v>
      </c>
      <c r="CJ57" s="549"/>
    </row>
    <row r="58" spans="4:93" hidden="1" x14ac:dyDescent="0.2">
      <c r="M58" s="1">
        <f t="shared" si="1"/>
        <v>55172170</v>
      </c>
      <c r="N58" s="1">
        <f t="shared" si="1"/>
        <v>0</v>
      </c>
      <c r="O58" s="1">
        <f t="shared" si="1"/>
        <v>0</v>
      </c>
      <c r="P58" s="1">
        <f t="shared" si="1"/>
        <v>0</v>
      </c>
      <c r="Q58" s="1">
        <f t="shared" si="1"/>
        <v>0</v>
      </c>
      <c r="R58" s="1">
        <f t="shared" si="1"/>
        <v>58355892</v>
      </c>
      <c r="S58" s="1">
        <f t="shared" si="1"/>
        <v>0</v>
      </c>
      <c r="T58" s="1">
        <f t="shared" si="1"/>
        <v>0</v>
      </c>
      <c r="U58" s="1">
        <f t="shared" si="1"/>
        <v>0</v>
      </c>
      <c r="V58" s="1">
        <f t="shared" si="1"/>
        <v>0</v>
      </c>
      <c r="W58" s="1">
        <f t="shared" si="1"/>
        <v>1134055</v>
      </c>
      <c r="X58" s="1">
        <f t="shared" si="1"/>
        <v>0</v>
      </c>
      <c r="Y58" s="1">
        <f t="shared" si="1"/>
        <v>0</v>
      </c>
      <c r="Z58" s="1">
        <f t="shared" si="1"/>
        <v>0</v>
      </c>
      <c r="AA58" s="1">
        <f t="shared" si="1"/>
        <v>0</v>
      </c>
      <c r="AB58" s="1">
        <f t="shared" si="1"/>
        <v>126269624</v>
      </c>
      <c r="AC58" s="1">
        <f t="shared" si="2"/>
        <v>0</v>
      </c>
      <c r="AD58" s="1">
        <f t="shared" si="2"/>
        <v>0</v>
      </c>
      <c r="AE58" s="1">
        <f t="shared" si="2"/>
        <v>0</v>
      </c>
      <c r="AF58" s="1">
        <f t="shared" si="2"/>
        <v>0</v>
      </c>
      <c r="AG58" s="1">
        <f t="shared" si="2"/>
        <v>94823426</v>
      </c>
      <c r="AH58" s="1">
        <f t="shared" si="2"/>
        <v>0</v>
      </c>
      <c r="AI58" s="1">
        <f t="shared" si="2"/>
        <v>0</v>
      </c>
      <c r="AJ58" s="1">
        <f t="shared" si="2"/>
        <v>0</v>
      </c>
      <c r="AK58" s="1">
        <f t="shared" si="2"/>
        <v>0</v>
      </c>
      <c r="AL58" s="1">
        <f t="shared" si="2"/>
        <v>3547645</v>
      </c>
      <c r="AM58" s="1">
        <f t="shared" si="2"/>
        <v>0</v>
      </c>
      <c r="AN58" s="1">
        <f t="shared" si="2"/>
        <v>0</v>
      </c>
      <c r="AO58" s="1">
        <f t="shared" si="2"/>
        <v>0</v>
      </c>
      <c r="AP58" s="1">
        <f t="shared" si="2"/>
        <v>0</v>
      </c>
      <c r="AQ58" s="1">
        <f t="shared" si="2"/>
        <v>47241503</v>
      </c>
      <c r="AR58" s="1">
        <f t="shared" si="2"/>
        <v>0</v>
      </c>
      <c r="AS58" s="1">
        <f t="shared" si="2"/>
        <v>0</v>
      </c>
      <c r="AT58" s="1">
        <f t="shared" si="2"/>
        <v>0</v>
      </c>
      <c r="AU58" s="1">
        <f t="shared" si="2"/>
        <v>0</v>
      </c>
      <c r="AV58" s="1">
        <f t="shared" si="2"/>
        <v>57381956</v>
      </c>
      <c r="AW58" s="1">
        <f t="shared" si="2"/>
        <v>0</v>
      </c>
      <c r="AX58" s="1">
        <f t="shared" si="2"/>
        <v>0</v>
      </c>
      <c r="AY58" s="1">
        <f t="shared" si="2"/>
        <v>0</v>
      </c>
      <c r="AZ58" s="1">
        <f t="shared" si="2"/>
        <v>0</v>
      </c>
      <c r="BA58" s="1">
        <f t="shared" si="2"/>
        <v>68248336</v>
      </c>
      <c r="BB58" s="1">
        <f t="shared" si="2"/>
        <v>0</v>
      </c>
      <c r="BC58" s="1">
        <f t="shared" si="2"/>
        <v>0</v>
      </c>
      <c r="BD58" s="1">
        <f t="shared" si="2"/>
        <v>0</v>
      </c>
      <c r="BE58" s="1">
        <f t="shared" si="2"/>
        <v>0</v>
      </c>
      <c r="BF58" s="1">
        <f t="shared" si="2"/>
        <v>102033323</v>
      </c>
      <c r="BG58" s="1">
        <f t="shared" si="2"/>
        <v>0</v>
      </c>
      <c r="BH58" s="1">
        <f t="shared" si="2"/>
        <v>0</v>
      </c>
      <c r="BI58" s="1">
        <f t="shared" si="2"/>
        <v>0</v>
      </c>
      <c r="BJ58" s="1">
        <f t="shared" si="2"/>
        <v>0</v>
      </c>
      <c r="BK58" s="1">
        <f t="shared" si="2"/>
        <v>-304271687</v>
      </c>
      <c r="BL58" s="1">
        <f t="shared" si="2"/>
        <v>0</v>
      </c>
      <c r="BM58" s="1">
        <f t="shared" si="2"/>
        <v>0</v>
      </c>
      <c r="BN58" s="1">
        <f t="shared" si="2"/>
        <v>0</v>
      </c>
      <c r="BO58" s="1">
        <f t="shared" si="2"/>
        <v>0</v>
      </c>
      <c r="BP58" s="1">
        <f t="shared" si="2"/>
        <v>-235661668</v>
      </c>
      <c r="BQ58" s="1">
        <f t="shared" si="2"/>
        <v>0</v>
      </c>
      <c r="BR58" s="1">
        <f t="shared" si="2"/>
        <v>0</v>
      </c>
      <c r="BS58" s="1">
        <f t="shared" si="2"/>
        <v>0</v>
      </c>
      <c r="BT58" s="1">
        <f t="shared" si="2"/>
        <v>0</v>
      </c>
      <c r="BU58" s="1">
        <f t="shared" si="2"/>
        <v>102033323</v>
      </c>
    </row>
    <row r="59" spans="4:93" hidden="1" x14ac:dyDescent="0.2">
      <c r="M59" s="1">
        <f t="shared" si="1"/>
        <v>16966801</v>
      </c>
      <c r="N59" s="1">
        <f t="shared" si="1"/>
        <v>0</v>
      </c>
      <c r="O59" s="1">
        <f t="shared" si="1"/>
        <v>0</v>
      </c>
      <c r="P59" s="1">
        <f t="shared" si="1"/>
        <v>0</v>
      </c>
      <c r="Q59" s="1">
        <f t="shared" si="1"/>
        <v>0</v>
      </c>
      <c r="R59" s="1">
        <f t="shared" si="1"/>
        <v>24865930</v>
      </c>
      <c r="S59" s="1">
        <f t="shared" si="1"/>
        <v>0</v>
      </c>
      <c r="T59" s="1">
        <f t="shared" si="1"/>
        <v>0</v>
      </c>
      <c r="U59" s="1">
        <f t="shared" si="1"/>
        <v>0</v>
      </c>
      <c r="V59" s="1">
        <f t="shared" si="1"/>
        <v>0</v>
      </c>
      <c r="W59" s="1">
        <f t="shared" si="1"/>
        <v>17229919</v>
      </c>
      <c r="X59" s="1">
        <f t="shared" si="1"/>
        <v>0</v>
      </c>
      <c r="Y59" s="1">
        <f t="shared" si="1"/>
        <v>0</v>
      </c>
      <c r="Z59" s="1">
        <f t="shared" si="1"/>
        <v>0</v>
      </c>
      <c r="AA59" s="1">
        <f t="shared" si="1"/>
        <v>0</v>
      </c>
      <c r="AB59" s="1">
        <f t="shared" si="1"/>
        <v>62600155</v>
      </c>
      <c r="AC59" s="1">
        <f t="shared" si="2"/>
        <v>0</v>
      </c>
      <c r="AD59" s="1">
        <f t="shared" si="2"/>
        <v>0</v>
      </c>
      <c r="AE59" s="1">
        <f t="shared" si="2"/>
        <v>0</v>
      </c>
      <c r="AF59" s="1">
        <f t="shared" si="2"/>
        <v>0</v>
      </c>
      <c r="AG59" s="1">
        <f t="shared" si="2"/>
        <v>25114365</v>
      </c>
      <c r="AH59" s="1">
        <f t="shared" si="2"/>
        <v>0</v>
      </c>
      <c r="AI59" s="1">
        <f t="shared" si="2"/>
        <v>0</v>
      </c>
      <c r="AJ59" s="1">
        <f t="shared" si="2"/>
        <v>0</v>
      </c>
      <c r="AK59" s="1">
        <f t="shared" si="2"/>
        <v>0</v>
      </c>
      <c r="AL59" s="1">
        <f t="shared" si="2"/>
        <v>-63624200</v>
      </c>
      <c r="AM59" s="1">
        <f t="shared" si="2"/>
        <v>0</v>
      </c>
      <c r="AN59" s="1">
        <f t="shared" si="2"/>
        <v>0</v>
      </c>
      <c r="AO59" s="1">
        <f t="shared" si="2"/>
        <v>0</v>
      </c>
      <c r="AP59" s="1">
        <f t="shared" si="2"/>
        <v>0</v>
      </c>
      <c r="AQ59" s="1">
        <f t="shared" si="2"/>
        <v>-72920853</v>
      </c>
      <c r="AR59" s="1">
        <f t="shared" si="2"/>
        <v>0</v>
      </c>
      <c r="AS59" s="1">
        <f t="shared" si="2"/>
        <v>0</v>
      </c>
      <c r="AT59" s="1">
        <f t="shared" si="2"/>
        <v>0</v>
      </c>
      <c r="AU59" s="1">
        <f t="shared" si="2"/>
        <v>0</v>
      </c>
      <c r="AV59" s="1">
        <f t="shared" si="2"/>
        <v>-72696479</v>
      </c>
      <c r="AW59" s="1">
        <f t="shared" si="2"/>
        <v>0</v>
      </c>
      <c r="AX59" s="1">
        <f t="shared" si="2"/>
        <v>0</v>
      </c>
      <c r="AY59" s="1">
        <f t="shared" si="2"/>
        <v>0</v>
      </c>
      <c r="AZ59" s="1">
        <f t="shared" si="2"/>
        <v>0</v>
      </c>
      <c r="BA59" s="1">
        <f t="shared" si="2"/>
        <v>-72531410</v>
      </c>
      <c r="BB59" s="1">
        <f t="shared" si="2"/>
        <v>0</v>
      </c>
      <c r="BC59" s="1">
        <f t="shared" si="2"/>
        <v>0</v>
      </c>
      <c r="BD59" s="1">
        <f t="shared" si="2"/>
        <v>0</v>
      </c>
      <c r="BE59" s="1">
        <f t="shared" si="2"/>
        <v>0</v>
      </c>
      <c r="BF59" s="1">
        <f t="shared" si="2"/>
        <v>-72510051</v>
      </c>
      <c r="BG59" s="1">
        <f t="shared" si="2"/>
        <v>0</v>
      </c>
      <c r="BH59" s="1">
        <f t="shared" si="2"/>
        <v>0</v>
      </c>
      <c r="BI59" s="1">
        <f t="shared" si="2"/>
        <v>0</v>
      </c>
      <c r="BJ59" s="1">
        <f t="shared" si="2"/>
        <v>0</v>
      </c>
      <c r="BK59" s="1">
        <f t="shared" si="2"/>
        <v>-214239939</v>
      </c>
      <c r="BL59" s="1">
        <f t="shared" si="2"/>
        <v>0</v>
      </c>
      <c r="BM59" s="1">
        <f t="shared" si="2"/>
        <v>0</v>
      </c>
      <c r="BN59" s="1">
        <f t="shared" si="2"/>
        <v>0</v>
      </c>
      <c r="BO59" s="1">
        <f t="shared" si="2"/>
        <v>0</v>
      </c>
      <c r="BP59" s="1">
        <f t="shared" si="2"/>
        <v>-191125443</v>
      </c>
      <c r="BQ59" s="1">
        <f t="shared" si="2"/>
        <v>0</v>
      </c>
      <c r="BR59" s="1">
        <f t="shared" si="2"/>
        <v>0</v>
      </c>
      <c r="BS59" s="1">
        <f t="shared" si="2"/>
        <v>0</v>
      </c>
      <c r="BT59" s="1">
        <f t="shared" si="2"/>
        <v>0</v>
      </c>
      <c r="BU59" s="1">
        <f t="shared" si="2"/>
        <v>-72510051</v>
      </c>
    </row>
    <row r="60" spans="4:93" hidden="1" x14ac:dyDescent="0.2">
      <c r="M60" s="1">
        <f t="shared" si="1"/>
        <v>38205369</v>
      </c>
      <c r="N60" s="1">
        <f t="shared" si="1"/>
        <v>0</v>
      </c>
      <c r="O60" s="1">
        <f t="shared" si="1"/>
        <v>0</v>
      </c>
      <c r="P60" s="1">
        <f t="shared" si="1"/>
        <v>0</v>
      </c>
      <c r="Q60" s="1">
        <f t="shared" si="1"/>
        <v>0</v>
      </c>
      <c r="R60" s="1">
        <f t="shared" si="1"/>
        <v>33489962</v>
      </c>
      <c r="S60" s="1">
        <f t="shared" si="1"/>
        <v>0</v>
      </c>
      <c r="T60" s="1">
        <f t="shared" si="1"/>
        <v>0</v>
      </c>
      <c r="U60" s="1">
        <f t="shared" si="1"/>
        <v>0</v>
      </c>
      <c r="V60" s="1">
        <f t="shared" si="1"/>
        <v>0</v>
      </c>
      <c r="W60" s="1">
        <f t="shared" si="1"/>
        <v>-16095864</v>
      </c>
      <c r="X60" s="1">
        <f t="shared" si="1"/>
        <v>0</v>
      </c>
      <c r="Y60" s="1">
        <f t="shared" si="1"/>
        <v>0</v>
      </c>
      <c r="Z60" s="1">
        <f t="shared" si="1"/>
        <v>0</v>
      </c>
      <c r="AA60" s="1">
        <f t="shared" si="1"/>
        <v>0</v>
      </c>
      <c r="AB60" s="1">
        <f t="shared" si="1"/>
        <v>63669469</v>
      </c>
      <c r="AC60" s="1">
        <f t="shared" si="2"/>
        <v>0</v>
      </c>
      <c r="AD60" s="1">
        <f t="shared" si="2"/>
        <v>0</v>
      </c>
      <c r="AE60" s="1">
        <f t="shared" si="2"/>
        <v>0</v>
      </c>
      <c r="AF60" s="1">
        <f t="shared" si="2"/>
        <v>0</v>
      </c>
      <c r="AG60" s="1">
        <f t="shared" si="2"/>
        <v>69709061</v>
      </c>
      <c r="AH60" s="1">
        <f t="shared" si="2"/>
        <v>0</v>
      </c>
      <c r="AI60" s="1">
        <f t="shared" si="2"/>
        <v>0</v>
      </c>
      <c r="AJ60" s="1">
        <f t="shared" si="2"/>
        <v>0</v>
      </c>
      <c r="AK60" s="1">
        <f t="shared" si="2"/>
        <v>0</v>
      </c>
      <c r="AL60" s="1">
        <f t="shared" si="2"/>
        <v>67171845</v>
      </c>
      <c r="AM60" s="1">
        <f t="shared" si="2"/>
        <v>0</v>
      </c>
      <c r="AN60" s="1">
        <f t="shared" si="2"/>
        <v>0</v>
      </c>
      <c r="AO60" s="1">
        <f t="shared" si="2"/>
        <v>0</v>
      </c>
      <c r="AP60" s="1">
        <f t="shared" si="2"/>
        <v>0</v>
      </c>
      <c r="AQ60" s="1">
        <f t="shared" si="2"/>
        <v>120162356</v>
      </c>
      <c r="AR60" s="1">
        <f t="shared" si="2"/>
        <v>0</v>
      </c>
      <c r="AS60" s="1">
        <f t="shared" si="2"/>
        <v>0</v>
      </c>
      <c r="AT60" s="1">
        <f t="shared" si="2"/>
        <v>0</v>
      </c>
      <c r="AU60" s="1">
        <f t="shared" si="2"/>
        <v>0</v>
      </c>
      <c r="AV60" s="1">
        <f t="shared" si="2"/>
        <v>130078435</v>
      </c>
      <c r="AW60" s="1">
        <f t="shared" si="2"/>
        <v>0</v>
      </c>
      <c r="AX60" s="1">
        <f t="shared" si="2"/>
        <v>0</v>
      </c>
      <c r="AY60" s="1">
        <f t="shared" si="2"/>
        <v>0</v>
      </c>
      <c r="AZ60" s="1">
        <f t="shared" si="2"/>
        <v>0</v>
      </c>
      <c r="BA60" s="1">
        <f t="shared" si="2"/>
        <v>140779746</v>
      </c>
      <c r="BB60" s="1">
        <f t="shared" si="2"/>
        <v>0</v>
      </c>
      <c r="BC60" s="1">
        <f t="shared" si="2"/>
        <v>0</v>
      </c>
      <c r="BD60" s="1">
        <f t="shared" si="2"/>
        <v>0</v>
      </c>
      <c r="BE60" s="1">
        <f t="shared" si="2"/>
        <v>0</v>
      </c>
      <c r="BF60" s="1">
        <f t="shared" si="2"/>
        <v>174543374</v>
      </c>
      <c r="BG60" s="1">
        <f t="shared" si="2"/>
        <v>0</v>
      </c>
      <c r="BH60" s="1">
        <f t="shared" si="2"/>
        <v>0</v>
      </c>
      <c r="BI60" s="1">
        <f t="shared" si="2"/>
        <v>0</v>
      </c>
      <c r="BJ60" s="1">
        <f t="shared" si="2"/>
        <v>0</v>
      </c>
      <c r="BK60" s="1">
        <f t="shared" si="2"/>
        <v>-90031748</v>
      </c>
      <c r="BL60" s="1">
        <f t="shared" si="2"/>
        <v>0</v>
      </c>
      <c r="BM60" s="1">
        <f t="shared" si="2"/>
        <v>0</v>
      </c>
      <c r="BN60" s="1">
        <f t="shared" si="2"/>
        <v>0</v>
      </c>
      <c r="BO60" s="1">
        <f t="shared" si="2"/>
        <v>0</v>
      </c>
      <c r="BP60" s="1">
        <f t="shared" si="2"/>
        <v>-44536225</v>
      </c>
      <c r="BQ60" s="1">
        <f t="shared" si="2"/>
        <v>0</v>
      </c>
      <c r="BR60" s="1">
        <f t="shared" si="2"/>
        <v>0</v>
      </c>
      <c r="BS60" s="1">
        <f t="shared" si="2"/>
        <v>0</v>
      </c>
      <c r="BT60" s="1">
        <f t="shared" si="2"/>
        <v>0</v>
      </c>
      <c r="BU60" s="1">
        <f t="shared" si="2"/>
        <v>174543374</v>
      </c>
    </row>
    <row r="61" spans="4:93" hidden="1" x14ac:dyDescent="0.2">
      <c r="M61" s="1">
        <f t="shared" si="1"/>
        <v>0</v>
      </c>
      <c r="N61" s="1">
        <f t="shared" si="1"/>
        <v>0</v>
      </c>
      <c r="O61" s="1">
        <f t="shared" si="1"/>
        <v>0</v>
      </c>
      <c r="P61" s="1">
        <f t="shared" si="1"/>
        <v>0</v>
      </c>
      <c r="Q61" s="1">
        <f t="shared" si="1"/>
        <v>0</v>
      </c>
      <c r="R61" s="1">
        <f t="shared" si="1"/>
        <v>0</v>
      </c>
      <c r="S61" s="1">
        <f t="shared" si="1"/>
        <v>0</v>
      </c>
      <c r="T61" s="1">
        <f t="shared" si="1"/>
        <v>0</v>
      </c>
      <c r="U61" s="1">
        <f t="shared" si="1"/>
        <v>0</v>
      </c>
      <c r="V61" s="1">
        <f t="shared" si="1"/>
        <v>0</v>
      </c>
      <c r="W61" s="1">
        <f t="shared" si="1"/>
        <v>0</v>
      </c>
      <c r="X61" s="1">
        <f t="shared" si="1"/>
        <v>0</v>
      </c>
      <c r="Y61" s="1">
        <f t="shared" si="1"/>
        <v>0</v>
      </c>
      <c r="Z61" s="1">
        <f t="shared" si="1"/>
        <v>0</v>
      </c>
      <c r="AA61" s="1">
        <f t="shared" si="1"/>
        <v>0</v>
      </c>
      <c r="AB61" s="1">
        <f t="shared" si="1"/>
        <v>0</v>
      </c>
      <c r="AC61" s="1">
        <f t="shared" si="2"/>
        <v>0</v>
      </c>
      <c r="AD61" s="1">
        <f t="shared" si="2"/>
        <v>0</v>
      </c>
      <c r="AE61" s="1">
        <f t="shared" si="2"/>
        <v>0</v>
      </c>
      <c r="AF61" s="1">
        <f t="shared" si="2"/>
        <v>0</v>
      </c>
      <c r="AG61" s="1">
        <f t="shared" si="2"/>
        <v>0</v>
      </c>
      <c r="AH61" s="1">
        <f t="shared" si="2"/>
        <v>0</v>
      </c>
      <c r="AI61" s="1">
        <f t="shared" si="2"/>
        <v>0</v>
      </c>
      <c r="AJ61" s="1">
        <f t="shared" si="2"/>
        <v>0</v>
      </c>
      <c r="AK61" s="1">
        <f t="shared" si="2"/>
        <v>0</v>
      </c>
      <c r="AL61" s="1">
        <f t="shared" si="2"/>
        <v>0</v>
      </c>
      <c r="AM61" s="1">
        <f t="shared" si="2"/>
        <v>0</v>
      </c>
      <c r="AN61" s="1">
        <f t="shared" si="2"/>
        <v>0</v>
      </c>
      <c r="AO61" s="1">
        <f t="shared" si="2"/>
        <v>0</v>
      </c>
      <c r="AP61" s="1">
        <f t="shared" si="2"/>
        <v>0</v>
      </c>
      <c r="AQ61" s="1">
        <f t="shared" si="2"/>
        <v>0</v>
      </c>
      <c r="AR61" s="1">
        <f t="shared" si="2"/>
        <v>0</v>
      </c>
      <c r="AS61" s="1">
        <f t="shared" si="2"/>
        <v>0</v>
      </c>
      <c r="AT61" s="1">
        <f t="shared" si="2"/>
        <v>0</v>
      </c>
      <c r="AU61" s="1">
        <f t="shared" si="2"/>
        <v>0</v>
      </c>
      <c r="AV61" s="1">
        <f t="shared" si="2"/>
        <v>0</v>
      </c>
      <c r="AW61" s="1">
        <f t="shared" si="2"/>
        <v>0</v>
      </c>
      <c r="AX61" s="1">
        <f t="shared" si="2"/>
        <v>0</v>
      </c>
      <c r="AY61" s="1">
        <f t="shared" si="2"/>
        <v>0</v>
      </c>
      <c r="AZ61" s="1">
        <f t="shared" si="2"/>
        <v>0</v>
      </c>
      <c r="BA61" s="1">
        <f t="shared" si="2"/>
        <v>0</v>
      </c>
      <c r="BB61" s="1">
        <f t="shared" si="2"/>
        <v>0</v>
      </c>
      <c r="BC61" s="1">
        <f t="shared" si="2"/>
        <v>0</v>
      </c>
      <c r="BD61" s="1">
        <f t="shared" si="2"/>
        <v>0</v>
      </c>
      <c r="BE61" s="1">
        <f t="shared" si="2"/>
        <v>0</v>
      </c>
      <c r="BF61" s="1">
        <f t="shared" si="2"/>
        <v>0</v>
      </c>
      <c r="BG61" s="1">
        <f t="shared" si="2"/>
        <v>0</v>
      </c>
      <c r="BH61" s="1">
        <f t="shared" si="2"/>
        <v>0</v>
      </c>
      <c r="BI61" s="1">
        <f t="shared" si="2"/>
        <v>0</v>
      </c>
      <c r="BJ61" s="1">
        <f t="shared" si="2"/>
        <v>0</v>
      </c>
      <c r="BK61" s="1">
        <f t="shared" si="2"/>
        <v>0</v>
      </c>
      <c r="BL61" s="1">
        <f t="shared" si="2"/>
        <v>0</v>
      </c>
      <c r="BM61" s="1">
        <f t="shared" si="2"/>
        <v>0</v>
      </c>
      <c r="BN61" s="1">
        <f t="shared" si="2"/>
        <v>0</v>
      </c>
      <c r="BO61" s="1">
        <f t="shared" si="2"/>
        <v>0</v>
      </c>
      <c r="BP61" s="1">
        <f t="shared" si="2"/>
        <v>0</v>
      </c>
      <c r="BQ61" s="1">
        <f t="shared" si="2"/>
        <v>0</v>
      </c>
      <c r="BR61" s="1">
        <f t="shared" si="2"/>
        <v>0</v>
      </c>
      <c r="BS61" s="1">
        <f t="shared" si="2"/>
        <v>0</v>
      </c>
      <c r="BT61" s="1">
        <f t="shared" si="2"/>
        <v>0</v>
      </c>
      <c r="BU61" s="1">
        <f t="shared" si="2"/>
        <v>0</v>
      </c>
    </row>
    <row r="62" spans="4:93" hidden="1" x14ac:dyDescent="0.2">
      <c r="M62" s="1">
        <f t="shared" si="1"/>
        <v>0</v>
      </c>
      <c r="N62" s="1">
        <f t="shared" si="1"/>
        <v>0</v>
      </c>
      <c r="O62" s="1">
        <f t="shared" si="1"/>
        <v>0</v>
      </c>
      <c r="P62" s="1">
        <f t="shared" si="1"/>
        <v>0</v>
      </c>
      <c r="Q62" s="1">
        <f t="shared" si="1"/>
        <v>0</v>
      </c>
      <c r="R62" s="1">
        <f t="shared" si="1"/>
        <v>0</v>
      </c>
      <c r="S62" s="1">
        <f t="shared" si="1"/>
        <v>0</v>
      </c>
      <c r="T62" s="1">
        <f t="shared" si="1"/>
        <v>0</v>
      </c>
      <c r="U62" s="1">
        <f t="shared" si="1"/>
        <v>0</v>
      </c>
      <c r="V62" s="1">
        <f t="shared" si="1"/>
        <v>0</v>
      </c>
      <c r="W62" s="1">
        <f t="shared" si="1"/>
        <v>0</v>
      </c>
      <c r="X62" s="1">
        <f t="shared" si="1"/>
        <v>0</v>
      </c>
      <c r="Y62" s="1">
        <f t="shared" si="1"/>
        <v>0</v>
      </c>
      <c r="Z62" s="1">
        <f t="shared" si="1"/>
        <v>0</v>
      </c>
      <c r="AA62" s="1">
        <f t="shared" si="1"/>
        <v>0</v>
      </c>
      <c r="AB62" s="1">
        <f t="shared" si="1"/>
        <v>0</v>
      </c>
      <c r="AC62" s="1">
        <f t="shared" si="2"/>
        <v>0</v>
      </c>
      <c r="AD62" s="1">
        <f t="shared" si="2"/>
        <v>0</v>
      </c>
      <c r="AE62" s="1">
        <f t="shared" si="2"/>
        <v>0</v>
      </c>
      <c r="AF62" s="1">
        <f t="shared" si="2"/>
        <v>0</v>
      </c>
      <c r="AG62" s="1">
        <f t="shared" si="2"/>
        <v>0</v>
      </c>
      <c r="AH62" s="1">
        <f t="shared" si="2"/>
        <v>0</v>
      </c>
      <c r="AI62" s="1">
        <f t="shared" si="2"/>
        <v>0</v>
      </c>
      <c r="AJ62" s="1">
        <f t="shared" si="2"/>
        <v>0</v>
      </c>
      <c r="AK62" s="1">
        <f t="shared" si="2"/>
        <v>0</v>
      </c>
      <c r="AL62" s="1">
        <f t="shared" si="2"/>
        <v>0</v>
      </c>
      <c r="AM62" s="1">
        <f t="shared" si="2"/>
        <v>0</v>
      </c>
      <c r="AN62" s="1">
        <f t="shared" si="2"/>
        <v>0</v>
      </c>
      <c r="AO62" s="1">
        <f t="shared" si="2"/>
        <v>0</v>
      </c>
      <c r="AP62" s="1">
        <f t="shared" si="2"/>
        <v>0</v>
      </c>
      <c r="AQ62" s="1">
        <f t="shared" si="2"/>
        <v>0</v>
      </c>
      <c r="AR62" s="1">
        <f t="shared" si="2"/>
        <v>0</v>
      </c>
      <c r="AS62" s="1">
        <f t="shared" si="2"/>
        <v>0</v>
      </c>
      <c r="AT62" s="1">
        <f t="shared" si="2"/>
        <v>0</v>
      </c>
      <c r="AU62" s="1">
        <f t="shared" si="2"/>
        <v>0</v>
      </c>
      <c r="AV62" s="1">
        <f t="shared" si="2"/>
        <v>0</v>
      </c>
      <c r="AW62" s="1">
        <f t="shared" si="2"/>
        <v>0</v>
      </c>
      <c r="AX62" s="1">
        <f t="shared" si="2"/>
        <v>0</v>
      </c>
      <c r="AY62" s="1">
        <f t="shared" si="2"/>
        <v>0</v>
      </c>
      <c r="AZ62" s="1">
        <f t="shared" si="2"/>
        <v>0</v>
      </c>
      <c r="BA62" s="1">
        <f t="shared" si="2"/>
        <v>0</v>
      </c>
      <c r="BB62" s="1">
        <f t="shared" si="2"/>
        <v>0</v>
      </c>
      <c r="BC62" s="1">
        <f t="shared" si="2"/>
        <v>0</v>
      </c>
      <c r="BD62" s="1">
        <f t="shared" si="2"/>
        <v>0</v>
      </c>
      <c r="BE62" s="1">
        <f t="shared" si="2"/>
        <v>0</v>
      </c>
      <c r="BF62" s="1">
        <f t="shared" si="2"/>
        <v>0</v>
      </c>
      <c r="BG62" s="1">
        <f t="shared" ref="BG62:BU77" si="3">BG21-DY21</f>
        <v>0</v>
      </c>
      <c r="BH62" s="1">
        <f t="shared" si="3"/>
        <v>0</v>
      </c>
      <c r="BI62" s="1">
        <f t="shared" si="3"/>
        <v>0</v>
      </c>
      <c r="BJ62" s="1">
        <f t="shared" si="3"/>
        <v>0</v>
      </c>
      <c r="BK62" s="1">
        <f t="shared" si="3"/>
        <v>0</v>
      </c>
      <c r="BL62" s="1">
        <f t="shared" si="3"/>
        <v>0</v>
      </c>
      <c r="BM62" s="1">
        <f t="shared" si="3"/>
        <v>0</v>
      </c>
      <c r="BN62" s="1">
        <f t="shared" si="3"/>
        <v>0</v>
      </c>
      <c r="BO62" s="1">
        <f t="shared" si="3"/>
        <v>0</v>
      </c>
      <c r="BP62" s="1">
        <f t="shared" si="3"/>
        <v>0</v>
      </c>
      <c r="BQ62" s="1">
        <f t="shared" si="3"/>
        <v>0</v>
      </c>
      <c r="BR62" s="1">
        <f t="shared" si="3"/>
        <v>0</v>
      </c>
      <c r="BS62" s="1">
        <f t="shared" si="3"/>
        <v>0</v>
      </c>
      <c r="BT62" s="1">
        <f t="shared" si="3"/>
        <v>0</v>
      </c>
      <c r="BU62" s="1">
        <f t="shared" si="3"/>
        <v>0</v>
      </c>
    </row>
    <row r="63" spans="4:93" hidden="1" x14ac:dyDescent="0.2">
      <c r="M63" s="1">
        <f t="shared" si="1"/>
        <v>0</v>
      </c>
      <c r="N63" s="1">
        <f t="shared" si="1"/>
        <v>0</v>
      </c>
      <c r="O63" s="1">
        <f t="shared" si="1"/>
        <v>0</v>
      </c>
      <c r="P63" s="1">
        <f t="shared" si="1"/>
        <v>0</v>
      </c>
      <c r="Q63" s="1">
        <f t="shared" si="1"/>
        <v>0</v>
      </c>
      <c r="R63" s="1">
        <f t="shared" si="1"/>
        <v>0</v>
      </c>
      <c r="S63" s="1">
        <f t="shared" si="1"/>
        <v>0</v>
      </c>
      <c r="T63" s="1">
        <f t="shared" si="1"/>
        <v>0</v>
      </c>
      <c r="U63" s="1">
        <f t="shared" si="1"/>
        <v>0</v>
      </c>
      <c r="V63" s="1">
        <f t="shared" si="1"/>
        <v>0</v>
      </c>
      <c r="W63" s="1">
        <f t="shared" si="1"/>
        <v>0</v>
      </c>
      <c r="X63" s="1">
        <f t="shared" si="1"/>
        <v>0</v>
      </c>
      <c r="Y63" s="1">
        <f t="shared" si="1"/>
        <v>0</v>
      </c>
      <c r="Z63" s="1">
        <f t="shared" si="1"/>
        <v>0</v>
      </c>
      <c r="AA63" s="1">
        <f t="shared" si="1"/>
        <v>0</v>
      </c>
      <c r="AB63" s="1">
        <f t="shared" si="1"/>
        <v>0</v>
      </c>
      <c r="AC63" s="1">
        <f t="shared" ref="AC63:BF71" si="4">AC22-CU22</f>
        <v>0</v>
      </c>
      <c r="AD63" s="1">
        <f t="shared" si="4"/>
        <v>0</v>
      </c>
      <c r="AE63" s="1">
        <f t="shared" si="4"/>
        <v>0</v>
      </c>
      <c r="AF63" s="1">
        <f t="shared" si="4"/>
        <v>0</v>
      </c>
      <c r="AG63" s="1">
        <f t="shared" si="4"/>
        <v>0</v>
      </c>
      <c r="AH63" s="1">
        <f t="shared" si="4"/>
        <v>0</v>
      </c>
      <c r="AI63" s="1">
        <f t="shared" si="4"/>
        <v>0</v>
      </c>
      <c r="AJ63" s="1">
        <f t="shared" si="4"/>
        <v>0</v>
      </c>
      <c r="AK63" s="1">
        <f t="shared" si="4"/>
        <v>0</v>
      </c>
      <c r="AL63" s="1">
        <f t="shared" si="4"/>
        <v>0</v>
      </c>
      <c r="AM63" s="1">
        <f t="shared" si="4"/>
        <v>0</v>
      </c>
      <c r="AN63" s="1">
        <f t="shared" si="4"/>
        <v>0</v>
      </c>
      <c r="AO63" s="1">
        <f t="shared" si="4"/>
        <v>0</v>
      </c>
      <c r="AP63" s="1">
        <f t="shared" si="4"/>
        <v>0</v>
      </c>
      <c r="AQ63" s="1">
        <f t="shared" si="4"/>
        <v>0</v>
      </c>
      <c r="AR63" s="1">
        <f t="shared" si="4"/>
        <v>0</v>
      </c>
      <c r="AS63" s="1">
        <f t="shared" si="4"/>
        <v>0</v>
      </c>
      <c r="AT63" s="1">
        <f t="shared" si="4"/>
        <v>0</v>
      </c>
      <c r="AU63" s="1">
        <f t="shared" si="4"/>
        <v>0</v>
      </c>
      <c r="AV63" s="1">
        <f t="shared" si="4"/>
        <v>0</v>
      </c>
      <c r="AW63" s="1">
        <f t="shared" si="4"/>
        <v>0</v>
      </c>
      <c r="AX63" s="1">
        <f t="shared" si="4"/>
        <v>0</v>
      </c>
      <c r="AY63" s="1">
        <f t="shared" si="4"/>
        <v>0</v>
      </c>
      <c r="AZ63" s="1">
        <f t="shared" si="4"/>
        <v>0</v>
      </c>
      <c r="BA63" s="1">
        <f t="shared" si="4"/>
        <v>0</v>
      </c>
      <c r="BB63" s="1">
        <f t="shared" si="4"/>
        <v>0</v>
      </c>
      <c r="BC63" s="1">
        <f t="shared" si="4"/>
        <v>0</v>
      </c>
      <c r="BD63" s="1">
        <f t="shared" si="4"/>
        <v>0</v>
      </c>
      <c r="BE63" s="1">
        <f t="shared" si="4"/>
        <v>0</v>
      </c>
      <c r="BF63" s="1">
        <f t="shared" si="4"/>
        <v>0</v>
      </c>
      <c r="BG63" s="1">
        <f t="shared" si="3"/>
        <v>0</v>
      </c>
      <c r="BH63" s="1">
        <f t="shared" si="3"/>
        <v>0</v>
      </c>
      <c r="BI63" s="1">
        <f t="shared" si="3"/>
        <v>0</v>
      </c>
      <c r="BJ63" s="1">
        <f t="shared" si="3"/>
        <v>0</v>
      </c>
      <c r="BK63" s="1">
        <f t="shared" si="3"/>
        <v>0</v>
      </c>
      <c r="BL63" s="1">
        <f t="shared" si="3"/>
        <v>0</v>
      </c>
      <c r="BM63" s="1">
        <f t="shared" si="3"/>
        <v>0</v>
      </c>
      <c r="BN63" s="1">
        <f t="shared" si="3"/>
        <v>0</v>
      </c>
      <c r="BO63" s="1">
        <f t="shared" si="3"/>
        <v>0</v>
      </c>
      <c r="BP63" s="1">
        <f t="shared" si="3"/>
        <v>0</v>
      </c>
      <c r="BQ63" s="1">
        <f t="shared" si="3"/>
        <v>0</v>
      </c>
      <c r="BR63" s="1">
        <f t="shared" si="3"/>
        <v>0</v>
      </c>
      <c r="BS63" s="1">
        <f t="shared" si="3"/>
        <v>0</v>
      </c>
      <c r="BT63" s="1">
        <f t="shared" si="3"/>
        <v>0</v>
      </c>
      <c r="BU63" s="1">
        <f t="shared" si="3"/>
        <v>0</v>
      </c>
    </row>
    <row r="64" spans="4:93" hidden="1" x14ac:dyDescent="0.2">
      <c r="M64" s="1">
        <f t="shared" si="1"/>
        <v>52039064</v>
      </c>
      <c r="N64" s="1">
        <f t="shared" si="1"/>
        <v>0</v>
      </c>
      <c r="O64" s="1">
        <f t="shared" si="1"/>
        <v>0</v>
      </c>
      <c r="P64" s="1">
        <f t="shared" si="1"/>
        <v>0</v>
      </c>
      <c r="Q64" s="1">
        <f t="shared" si="1"/>
        <v>0</v>
      </c>
      <c r="R64" s="1">
        <f t="shared" si="1"/>
        <v>-2187194</v>
      </c>
      <c r="S64" s="1">
        <f t="shared" si="1"/>
        <v>0</v>
      </c>
      <c r="T64" s="1">
        <f t="shared" si="1"/>
        <v>0</v>
      </c>
      <c r="U64" s="1">
        <f t="shared" si="1"/>
        <v>0</v>
      </c>
      <c r="V64" s="1">
        <f t="shared" si="1"/>
        <v>0</v>
      </c>
      <c r="W64" s="1">
        <f t="shared" si="1"/>
        <v>781455</v>
      </c>
      <c r="X64" s="1">
        <f t="shared" si="1"/>
        <v>0</v>
      </c>
      <c r="Y64" s="1">
        <f t="shared" si="1"/>
        <v>0</v>
      </c>
      <c r="Z64" s="1">
        <f t="shared" si="1"/>
        <v>0</v>
      </c>
      <c r="AA64" s="1">
        <f t="shared" si="1"/>
        <v>0</v>
      </c>
      <c r="AB64" s="1">
        <f t="shared" si="1"/>
        <v>-34063984</v>
      </c>
      <c r="AC64" s="1">
        <f t="shared" si="4"/>
        <v>0</v>
      </c>
      <c r="AD64" s="1">
        <f t="shared" si="4"/>
        <v>0</v>
      </c>
      <c r="AE64" s="1">
        <f t="shared" si="4"/>
        <v>0</v>
      </c>
      <c r="AF64" s="1">
        <f t="shared" si="4"/>
        <v>0</v>
      </c>
      <c r="AG64" s="1">
        <f t="shared" si="4"/>
        <v>35089336</v>
      </c>
      <c r="AH64" s="1">
        <f t="shared" si="4"/>
        <v>0</v>
      </c>
      <c r="AI64" s="1">
        <f t="shared" si="4"/>
        <v>0</v>
      </c>
      <c r="AJ64" s="1">
        <f t="shared" si="4"/>
        <v>0</v>
      </c>
      <c r="AK64" s="1">
        <f t="shared" si="4"/>
        <v>0</v>
      </c>
      <c r="AL64" s="1">
        <f t="shared" si="4"/>
        <v>-27389665</v>
      </c>
      <c r="AM64" s="1">
        <f t="shared" si="4"/>
        <v>0</v>
      </c>
      <c r="AN64" s="1">
        <f t="shared" si="4"/>
        <v>0</v>
      </c>
      <c r="AO64" s="1">
        <f t="shared" si="4"/>
        <v>0</v>
      </c>
      <c r="AP64" s="1">
        <f t="shared" si="4"/>
        <v>0</v>
      </c>
      <c r="AQ64" s="1">
        <f t="shared" si="4"/>
        <v>15349073</v>
      </c>
      <c r="AR64" s="1">
        <f t="shared" si="4"/>
        <v>0</v>
      </c>
      <c r="AS64" s="1">
        <f t="shared" si="4"/>
        <v>0</v>
      </c>
      <c r="AT64" s="1">
        <f t="shared" si="4"/>
        <v>0</v>
      </c>
      <c r="AU64" s="1">
        <f t="shared" si="4"/>
        <v>0</v>
      </c>
      <c r="AV64" s="1">
        <f t="shared" si="4"/>
        <v>-5738310</v>
      </c>
      <c r="AW64" s="1">
        <f t="shared" si="4"/>
        <v>0</v>
      </c>
      <c r="AX64" s="1">
        <f t="shared" si="4"/>
        <v>0</v>
      </c>
      <c r="AY64" s="1">
        <f t="shared" si="4"/>
        <v>0</v>
      </c>
      <c r="AZ64" s="1">
        <f t="shared" si="4"/>
        <v>0</v>
      </c>
      <c r="BA64" s="1">
        <f t="shared" si="4"/>
        <v>-9545140</v>
      </c>
      <c r="BB64" s="1">
        <f t="shared" si="4"/>
        <v>0</v>
      </c>
      <c r="BC64" s="1">
        <f t="shared" si="4"/>
        <v>0</v>
      </c>
      <c r="BD64" s="1">
        <f t="shared" si="4"/>
        <v>0</v>
      </c>
      <c r="BE64" s="1">
        <f t="shared" si="4"/>
        <v>0</v>
      </c>
      <c r="BF64" s="1">
        <f t="shared" si="4"/>
        <v>59473428</v>
      </c>
      <c r="BG64" s="1">
        <f t="shared" si="3"/>
        <v>0</v>
      </c>
      <c r="BH64" s="1">
        <f t="shared" si="3"/>
        <v>0</v>
      </c>
      <c r="BI64" s="1">
        <f t="shared" si="3"/>
        <v>0</v>
      </c>
      <c r="BJ64" s="1">
        <f t="shared" si="3"/>
        <v>0</v>
      </c>
      <c r="BK64" s="1">
        <f t="shared" si="3"/>
        <v>-4553332</v>
      </c>
      <c r="BL64" s="1">
        <f t="shared" si="3"/>
        <v>0</v>
      </c>
      <c r="BM64" s="1">
        <f t="shared" si="3"/>
        <v>0</v>
      </c>
      <c r="BN64" s="1">
        <f t="shared" si="3"/>
        <v>0</v>
      </c>
      <c r="BO64" s="1">
        <f t="shared" si="3"/>
        <v>0</v>
      </c>
      <c r="BP64" s="1">
        <f t="shared" si="3"/>
        <v>34627077</v>
      </c>
      <c r="BQ64" s="1">
        <f t="shared" si="3"/>
        <v>0</v>
      </c>
      <c r="BR64" s="1">
        <f t="shared" si="3"/>
        <v>0</v>
      </c>
      <c r="BS64" s="1">
        <f t="shared" si="3"/>
        <v>0</v>
      </c>
      <c r="BT64" s="1">
        <f t="shared" si="3"/>
        <v>0</v>
      </c>
      <c r="BU64" s="1">
        <f t="shared" si="3"/>
        <v>83808063</v>
      </c>
    </row>
    <row r="65" spans="13:73" hidden="1" x14ac:dyDescent="0.2">
      <c r="M65" s="1">
        <f t="shared" si="1"/>
        <v>0</v>
      </c>
      <c r="N65" s="1">
        <f t="shared" si="1"/>
        <v>0</v>
      </c>
      <c r="O65" s="1">
        <f t="shared" si="1"/>
        <v>0</v>
      </c>
      <c r="P65" s="1">
        <f t="shared" si="1"/>
        <v>0</v>
      </c>
      <c r="Q65" s="1">
        <f t="shared" si="1"/>
        <v>0</v>
      </c>
      <c r="R65" s="1">
        <f t="shared" si="1"/>
        <v>0</v>
      </c>
      <c r="S65" s="1">
        <f t="shared" si="1"/>
        <v>0</v>
      </c>
      <c r="T65" s="1">
        <f t="shared" si="1"/>
        <v>0</v>
      </c>
      <c r="U65" s="1">
        <f t="shared" si="1"/>
        <v>0</v>
      </c>
      <c r="V65" s="1">
        <f t="shared" si="1"/>
        <v>0</v>
      </c>
      <c r="W65" s="1">
        <f t="shared" si="1"/>
        <v>0</v>
      </c>
      <c r="X65" s="1">
        <f t="shared" si="1"/>
        <v>0</v>
      </c>
      <c r="Y65" s="1">
        <f t="shared" si="1"/>
        <v>0</v>
      </c>
      <c r="Z65" s="1">
        <f t="shared" si="1"/>
        <v>0</v>
      </c>
      <c r="AA65" s="1">
        <f t="shared" si="1"/>
        <v>0</v>
      </c>
      <c r="AB65" s="1">
        <f t="shared" si="1"/>
        <v>0</v>
      </c>
      <c r="AC65" s="1">
        <f t="shared" si="4"/>
        <v>0</v>
      </c>
      <c r="AD65" s="1">
        <f t="shared" si="4"/>
        <v>0</v>
      </c>
      <c r="AE65" s="1">
        <f t="shared" si="4"/>
        <v>0</v>
      </c>
      <c r="AF65" s="1">
        <f t="shared" si="4"/>
        <v>0</v>
      </c>
      <c r="AG65" s="1">
        <f t="shared" si="4"/>
        <v>0</v>
      </c>
      <c r="AH65" s="1">
        <f t="shared" si="4"/>
        <v>0</v>
      </c>
      <c r="AI65" s="1">
        <f t="shared" si="4"/>
        <v>0</v>
      </c>
      <c r="AJ65" s="1">
        <f t="shared" si="4"/>
        <v>0</v>
      </c>
      <c r="AK65" s="1">
        <f t="shared" si="4"/>
        <v>0</v>
      </c>
      <c r="AL65" s="1">
        <f t="shared" si="4"/>
        <v>0</v>
      </c>
      <c r="AM65" s="1">
        <f t="shared" si="4"/>
        <v>0</v>
      </c>
      <c r="AN65" s="1">
        <f t="shared" si="4"/>
        <v>0</v>
      </c>
      <c r="AO65" s="1">
        <f t="shared" si="4"/>
        <v>0</v>
      </c>
      <c r="AP65" s="1">
        <f t="shared" si="4"/>
        <v>0</v>
      </c>
      <c r="AQ65" s="1">
        <f t="shared" si="4"/>
        <v>0</v>
      </c>
      <c r="AR65" s="1">
        <f t="shared" si="4"/>
        <v>0</v>
      </c>
      <c r="AS65" s="1">
        <f t="shared" si="4"/>
        <v>0</v>
      </c>
      <c r="AT65" s="1">
        <f t="shared" si="4"/>
        <v>0</v>
      </c>
      <c r="AU65" s="1">
        <f t="shared" si="4"/>
        <v>0</v>
      </c>
      <c r="AV65" s="1">
        <f t="shared" si="4"/>
        <v>0</v>
      </c>
      <c r="AW65" s="1">
        <f t="shared" si="4"/>
        <v>0</v>
      </c>
      <c r="AX65" s="1">
        <f t="shared" si="4"/>
        <v>0</v>
      </c>
      <c r="AY65" s="1">
        <f t="shared" si="4"/>
        <v>0</v>
      </c>
      <c r="AZ65" s="1">
        <f t="shared" si="4"/>
        <v>0</v>
      </c>
      <c r="BA65" s="1">
        <f t="shared" si="4"/>
        <v>0</v>
      </c>
      <c r="BB65" s="1">
        <f t="shared" si="4"/>
        <v>0</v>
      </c>
      <c r="BC65" s="1">
        <f t="shared" si="4"/>
        <v>0</v>
      </c>
      <c r="BD65" s="1">
        <f t="shared" si="4"/>
        <v>0</v>
      </c>
      <c r="BE65" s="1">
        <f t="shared" si="4"/>
        <v>0</v>
      </c>
      <c r="BF65" s="1">
        <f t="shared" si="4"/>
        <v>0</v>
      </c>
      <c r="BG65" s="1">
        <f t="shared" si="3"/>
        <v>0</v>
      </c>
      <c r="BH65" s="1">
        <f t="shared" si="3"/>
        <v>0</v>
      </c>
      <c r="BI65" s="1">
        <f t="shared" si="3"/>
        <v>0</v>
      </c>
      <c r="BJ65" s="1">
        <f t="shared" si="3"/>
        <v>0</v>
      </c>
      <c r="BK65" s="1">
        <f t="shared" si="3"/>
        <v>0</v>
      </c>
      <c r="BL65" s="1">
        <f t="shared" si="3"/>
        <v>0</v>
      </c>
      <c r="BM65" s="1">
        <f t="shared" si="3"/>
        <v>0</v>
      </c>
      <c r="BN65" s="1">
        <f t="shared" si="3"/>
        <v>0</v>
      </c>
      <c r="BO65" s="1">
        <f t="shared" si="3"/>
        <v>0</v>
      </c>
      <c r="BP65" s="1">
        <f t="shared" si="3"/>
        <v>0</v>
      </c>
      <c r="BQ65" s="1">
        <f t="shared" si="3"/>
        <v>0</v>
      </c>
      <c r="BR65" s="1">
        <f t="shared" si="3"/>
        <v>0</v>
      </c>
      <c r="BS65" s="1">
        <f t="shared" si="3"/>
        <v>0</v>
      </c>
      <c r="BT65" s="1">
        <f t="shared" si="3"/>
        <v>0</v>
      </c>
      <c r="BU65" s="1">
        <f t="shared" si="3"/>
        <v>0</v>
      </c>
    </row>
    <row r="66" spans="13:73" hidden="1" x14ac:dyDescent="0.2">
      <c r="M66" s="1">
        <f t="shared" si="1"/>
        <v>0</v>
      </c>
      <c r="N66" s="1">
        <f t="shared" si="1"/>
        <v>0</v>
      </c>
      <c r="O66" s="1">
        <f t="shared" si="1"/>
        <v>0</v>
      </c>
      <c r="P66" s="1">
        <f t="shared" si="1"/>
        <v>0</v>
      </c>
      <c r="Q66" s="1">
        <f t="shared" si="1"/>
        <v>0</v>
      </c>
      <c r="R66" s="1">
        <f t="shared" si="1"/>
        <v>0</v>
      </c>
      <c r="S66" s="1">
        <f t="shared" si="1"/>
        <v>0</v>
      </c>
      <c r="T66" s="1">
        <f t="shared" si="1"/>
        <v>0</v>
      </c>
      <c r="U66" s="1">
        <f t="shared" si="1"/>
        <v>0</v>
      </c>
      <c r="V66" s="1">
        <f t="shared" si="1"/>
        <v>0</v>
      </c>
      <c r="W66" s="1">
        <f t="shared" si="1"/>
        <v>0</v>
      </c>
      <c r="X66" s="1">
        <f t="shared" si="1"/>
        <v>0</v>
      </c>
      <c r="Y66" s="1">
        <f t="shared" si="1"/>
        <v>0</v>
      </c>
      <c r="Z66" s="1">
        <f t="shared" si="1"/>
        <v>0</v>
      </c>
      <c r="AA66" s="1">
        <f t="shared" si="1"/>
        <v>0</v>
      </c>
      <c r="AB66" s="1">
        <f t="shared" si="1"/>
        <v>0</v>
      </c>
      <c r="AC66" s="1">
        <f t="shared" si="4"/>
        <v>0</v>
      </c>
      <c r="AD66" s="1">
        <f t="shared" si="4"/>
        <v>0</v>
      </c>
      <c r="AE66" s="1">
        <f t="shared" si="4"/>
        <v>0</v>
      </c>
      <c r="AF66" s="1">
        <f t="shared" si="4"/>
        <v>0</v>
      </c>
      <c r="AG66" s="1">
        <f t="shared" si="4"/>
        <v>0</v>
      </c>
      <c r="AH66" s="1">
        <f t="shared" si="4"/>
        <v>0</v>
      </c>
      <c r="AI66" s="1">
        <f t="shared" si="4"/>
        <v>0</v>
      </c>
      <c r="AJ66" s="1">
        <f t="shared" si="4"/>
        <v>0</v>
      </c>
      <c r="AK66" s="1">
        <f t="shared" si="4"/>
        <v>0</v>
      </c>
      <c r="AL66" s="1">
        <f t="shared" si="4"/>
        <v>0</v>
      </c>
      <c r="AM66" s="1">
        <f t="shared" si="4"/>
        <v>0</v>
      </c>
      <c r="AN66" s="1">
        <f t="shared" si="4"/>
        <v>0</v>
      </c>
      <c r="AO66" s="1">
        <f t="shared" si="4"/>
        <v>0</v>
      </c>
      <c r="AP66" s="1">
        <f t="shared" si="4"/>
        <v>0</v>
      </c>
      <c r="AQ66" s="1">
        <f t="shared" si="4"/>
        <v>0</v>
      </c>
      <c r="AR66" s="1">
        <f t="shared" si="4"/>
        <v>0</v>
      </c>
      <c r="AS66" s="1">
        <f t="shared" si="4"/>
        <v>0</v>
      </c>
      <c r="AT66" s="1">
        <f t="shared" si="4"/>
        <v>0</v>
      </c>
      <c r="AU66" s="1">
        <f t="shared" si="4"/>
        <v>0</v>
      </c>
      <c r="AV66" s="1">
        <f t="shared" si="4"/>
        <v>0</v>
      </c>
      <c r="AW66" s="1">
        <f t="shared" si="4"/>
        <v>0</v>
      </c>
      <c r="AX66" s="1">
        <f t="shared" si="4"/>
        <v>0</v>
      </c>
      <c r="AY66" s="1">
        <f t="shared" si="4"/>
        <v>0</v>
      </c>
      <c r="AZ66" s="1">
        <f t="shared" si="4"/>
        <v>0</v>
      </c>
      <c r="BA66" s="1">
        <f t="shared" si="4"/>
        <v>0</v>
      </c>
      <c r="BB66" s="1">
        <f t="shared" si="4"/>
        <v>0</v>
      </c>
      <c r="BC66" s="1">
        <f t="shared" si="4"/>
        <v>0</v>
      </c>
      <c r="BD66" s="1">
        <f t="shared" si="4"/>
        <v>0</v>
      </c>
      <c r="BE66" s="1">
        <f t="shared" si="4"/>
        <v>0</v>
      </c>
      <c r="BF66" s="1">
        <f t="shared" si="4"/>
        <v>0</v>
      </c>
      <c r="BG66" s="1">
        <f t="shared" si="3"/>
        <v>0</v>
      </c>
      <c r="BH66" s="1">
        <f t="shared" si="3"/>
        <v>0</v>
      </c>
      <c r="BI66" s="1">
        <f t="shared" si="3"/>
        <v>0</v>
      </c>
      <c r="BJ66" s="1">
        <f t="shared" si="3"/>
        <v>0</v>
      </c>
      <c r="BK66" s="1">
        <f t="shared" si="3"/>
        <v>0</v>
      </c>
      <c r="BL66" s="1">
        <f t="shared" si="3"/>
        <v>0</v>
      </c>
      <c r="BM66" s="1">
        <f t="shared" si="3"/>
        <v>0</v>
      </c>
      <c r="BN66" s="1">
        <f t="shared" si="3"/>
        <v>0</v>
      </c>
      <c r="BO66" s="1">
        <f t="shared" si="3"/>
        <v>0</v>
      </c>
      <c r="BP66" s="1">
        <f t="shared" si="3"/>
        <v>-2087353.7651195501</v>
      </c>
      <c r="BQ66" s="1">
        <f t="shared" si="3"/>
        <v>0</v>
      </c>
      <c r="BR66" s="1">
        <f t="shared" si="3"/>
        <v>0</v>
      </c>
      <c r="BS66" s="1">
        <f t="shared" si="3"/>
        <v>0</v>
      </c>
      <c r="BT66" s="1">
        <f t="shared" si="3"/>
        <v>0</v>
      </c>
      <c r="BU66" s="1">
        <f t="shared" si="3"/>
        <v>0</v>
      </c>
    </row>
    <row r="67" spans="13:73" hidden="1" x14ac:dyDescent="0.2">
      <c r="M67" s="1">
        <f t="shared" si="1"/>
        <v>0</v>
      </c>
      <c r="N67" s="1">
        <f t="shared" si="1"/>
        <v>0</v>
      </c>
      <c r="O67" s="1">
        <f t="shared" si="1"/>
        <v>0</v>
      </c>
      <c r="P67" s="1">
        <f t="shared" si="1"/>
        <v>0</v>
      </c>
      <c r="Q67" s="1">
        <f t="shared" si="1"/>
        <v>0</v>
      </c>
      <c r="R67" s="1">
        <f t="shared" si="1"/>
        <v>0</v>
      </c>
      <c r="S67" s="1">
        <f t="shared" si="1"/>
        <v>0</v>
      </c>
      <c r="T67" s="1">
        <f t="shared" si="1"/>
        <v>0</v>
      </c>
      <c r="U67" s="1">
        <f t="shared" si="1"/>
        <v>0</v>
      </c>
      <c r="V67" s="1">
        <f t="shared" si="1"/>
        <v>0</v>
      </c>
      <c r="W67" s="1">
        <f t="shared" si="1"/>
        <v>0</v>
      </c>
      <c r="X67" s="1">
        <f t="shared" si="1"/>
        <v>0</v>
      </c>
      <c r="Y67" s="1">
        <f t="shared" si="1"/>
        <v>0</v>
      </c>
      <c r="Z67" s="1">
        <f t="shared" si="1"/>
        <v>0</v>
      </c>
      <c r="AA67" s="1">
        <f t="shared" si="1"/>
        <v>0</v>
      </c>
      <c r="AB67" s="1">
        <f t="shared" si="1"/>
        <v>0</v>
      </c>
      <c r="AC67" s="1">
        <f t="shared" si="4"/>
        <v>0</v>
      </c>
      <c r="AD67" s="1">
        <f t="shared" si="4"/>
        <v>0</v>
      </c>
      <c r="AE67" s="1">
        <f t="shared" si="4"/>
        <v>0</v>
      </c>
      <c r="AF67" s="1">
        <f t="shared" si="4"/>
        <v>0</v>
      </c>
      <c r="AG67" s="1">
        <f t="shared" si="4"/>
        <v>0</v>
      </c>
      <c r="AH67" s="1">
        <f t="shared" si="4"/>
        <v>0</v>
      </c>
      <c r="AI67" s="1">
        <f t="shared" si="4"/>
        <v>0</v>
      </c>
      <c r="AJ67" s="1">
        <f t="shared" si="4"/>
        <v>0</v>
      </c>
      <c r="AK67" s="1">
        <f t="shared" si="4"/>
        <v>0</v>
      </c>
      <c r="AL67" s="1">
        <f t="shared" si="4"/>
        <v>0</v>
      </c>
      <c r="AM67" s="1">
        <f t="shared" si="4"/>
        <v>0</v>
      </c>
      <c r="AN67" s="1">
        <f t="shared" si="4"/>
        <v>0</v>
      </c>
      <c r="AO67" s="1">
        <f t="shared" si="4"/>
        <v>0</v>
      </c>
      <c r="AP67" s="1">
        <f t="shared" si="4"/>
        <v>0</v>
      </c>
      <c r="AQ67" s="1">
        <f t="shared" si="4"/>
        <v>0</v>
      </c>
      <c r="AR67" s="1">
        <f t="shared" si="4"/>
        <v>0</v>
      </c>
      <c r="AS67" s="1">
        <f t="shared" si="4"/>
        <v>0</v>
      </c>
      <c r="AT67" s="1">
        <f t="shared" si="4"/>
        <v>0</v>
      </c>
      <c r="AU67" s="1">
        <f t="shared" si="4"/>
        <v>0</v>
      </c>
      <c r="AV67" s="1">
        <f t="shared" si="4"/>
        <v>0</v>
      </c>
      <c r="AW67" s="1">
        <f t="shared" si="4"/>
        <v>0</v>
      </c>
      <c r="AX67" s="1">
        <f t="shared" si="4"/>
        <v>0</v>
      </c>
      <c r="AY67" s="1">
        <f t="shared" si="4"/>
        <v>0</v>
      </c>
      <c r="AZ67" s="1">
        <f t="shared" si="4"/>
        <v>0</v>
      </c>
      <c r="BA67" s="1">
        <f t="shared" si="4"/>
        <v>0</v>
      </c>
      <c r="BB67" s="1">
        <f t="shared" si="4"/>
        <v>0</v>
      </c>
      <c r="BC67" s="1">
        <f t="shared" si="4"/>
        <v>0</v>
      </c>
      <c r="BD67" s="1">
        <f t="shared" si="4"/>
        <v>0</v>
      </c>
      <c r="BE67" s="1">
        <f t="shared" si="4"/>
        <v>0</v>
      </c>
      <c r="BF67" s="1">
        <f t="shared" si="4"/>
        <v>0</v>
      </c>
      <c r="BG67" s="1">
        <f t="shared" si="3"/>
        <v>0</v>
      </c>
      <c r="BH67" s="1">
        <f t="shared" si="3"/>
        <v>0</v>
      </c>
      <c r="BI67" s="1">
        <f t="shared" si="3"/>
        <v>0</v>
      </c>
      <c r="BJ67" s="1">
        <f t="shared" si="3"/>
        <v>0</v>
      </c>
      <c r="BK67" s="1">
        <f t="shared" si="3"/>
        <v>0</v>
      </c>
      <c r="BL67" s="1">
        <f t="shared" si="3"/>
        <v>0</v>
      </c>
      <c r="BM67" s="1">
        <f t="shared" si="3"/>
        <v>0</v>
      </c>
      <c r="BN67" s="1">
        <f t="shared" si="3"/>
        <v>0</v>
      </c>
      <c r="BO67" s="1">
        <f t="shared" si="3"/>
        <v>0</v>
      </c>
      <c r="BP67" s="1">
        <f t="shared" si="3"/>
        <v>0</v>
      </c>
      <c r="BQ67" s="1">
        <f t="shared" si="3"/>
        <v>0</v>
      </c>
      <c r="BR67" s="1">
        <f t="shared" si="3"/>
        <v>0</v>
      </c>
      <c r="BS67" s="1">
        <f t="shared" si="3"/>
        <v>0</v>
      </c>
      <c r="BT67" s="1">
        <f t="shared" si="3"/>
        <v>0</v>
      </c>
      <c r="BU67" s="1">
        <f t="shared" si="3"/>
        <v>0</v>
      </c>
    </row>
    <row r="68" spans="13:73" hidden="1" x14ac:dyDescent="0.2">
      <c r="M68" s="1">
        <f t="shared" si="1"/>
        <v>-1285536</v>
      </c>
      <c r="N68" s="1">
        <f t="shared" si="1"/>
        <v>0</v>
      </c>
      <c r="O68" s="1">
        <f t="shared" si="1"/>
        <v>0</v>
      </c>
      <c r="P68" s="1">
        <f t="shared" si="1"/>
        <v>0</v>
      </c>
      <c r="Q68" s="1">
        <f t="shared" si="1"/>
        <v>0</v>
      </c>
      <c r="R68" s="1">
        <f t="shared" si="1"/>
        <v>871744.25600000005</v>
      </c>
      <c r="S68" s="1">
        <f t="shared" si="1"/>
        <v>0</v>
      </c>
      <c r="T68" s="1">
        <f t="shared" si="1"/>
        <v>0</v>
      </c>
      <c r="U68" s="1">
        <f t="shared" si="1"/>
        <v>0</v>
      </c>
      <c r="V68" s="1">
        <f t="shared" si="1"/>
        <v>0</v>
      </c>
      <c r="W68" s="1">
        <f t="shared" si="1"/>
        <v>-12272</v>
      </c>
      <c r="X68" s="1">
        <f t="shared" si="1"/>
        <v>0</v>
      </c>
      <c r="Y68" s="1">
        <f t="shared" si="1"/>
        <v>0</v>
      </c>
      <c r="Z68" s="1">
        <f t="shared" si="1"/>
        <v>0</v>
      </c>
      <c r="AA68" s="1">
        <f t="shared" si="1"/>
        <v>0</v>
      </c>
      <c r="AB68" s="1">
        <f t="shared" si="1"/>
        <v>126224</v>
      </c>
      <c r="AC68" s="1">
        <f t="shared" si="4"/>
        <v>0</v>
      </c>
      <c r="AD68" s="1">
        <f t="shared" si="4"/>
        <v>0</v>
      </c>
      <c r="AE68" s="1">
        <f t="shared" si="4"/>
        <v>0</v>
      </c>
      <c r="AF68" s="1">
        <f t="shared" si="4"/>
        <v>0</v>
      </c>
      <c r="AG68" s="1">
        <f t="shared" si="4"/>
        <v>-1736919</v>
      </c>
      <c r="AH68" s="1">
        <f t="shared" si="4"/>
        <v>0</v>
      </c>
      <c r="AI68" s="1">
        <f t="shared" si="4"/>
        <v>0</v>
      </c>
      <c r="AJ68" s="1">
        <f t="shared" si="4"/>
        <v>0</v>
      </c>
      <c r="AK68" s="1">
        <f t="shared" si="4"/>
        <v>0</v>
      </c>
      <c r="AL68" s="1">
        <f t="shared" si="4"/>
        <v>-242093</v>
      </c>
      <c r="AM68" s="1">
        <f t="shared" si="4"/>
        <v>0</v>
      </c>
      <c r="AN68" s="1">
        <f t="shared" si="4"/>
        <v>0</v>
      </c>
      <c r="AO68" s="1">
        <f t="shared" si="4"/>
        <v>0</v>
      </c>
      <c r="AP68" s="1">
        <f t="shared" si="4"/>
        <v>0</v>
      </c>
      <c r="AQ68" s="1">
        <f t="shared" si="4"/>
        <v>-430704</v>
      </c>
      <c r="AR68" s="1">
        <f t="shared" si="4"/>
        <v>0</v>
      </c>
      <c r="AS68" s="1">
        <f t="shared" si="4"/>
        <v>0</v>
      </c>
      <c r="AT68" s="1">
        <f t="shared" si="4"/>
        <v>0</v>
      </c>
      <c r="AU68" s="1">
        <f t="shared" si="4"/>
        <v>0</v>
      </c>
      <c r="AV68" s="1">
        <f t="shared" si="4"/>
        <v>1090093</v>
      </c>
      <c r="AW68" s="1">
        <f t="shared" si="4"/>
        <v>0</v>
      </c>
      <c r="AX68" s="1">
        <f t="shared" si="4"/>
        <v>0</v>
      </c>
      <c r="AY68" s="1">
        <f t="shared" si="4"/>
        <v>0</v>
      </c>
      <c r="AZ68" s="1">
        <f t="shared" si="4"/>
        <v>0</v>
      </c>
      <c r="BA68" s="1">
        <f t="shared" si="4"/>
        <v>615637</v>
      </c>
      <c r="BB68" s="1">
        <f t="shared" si="4"/>
        <v>0</v>
      </c>
      <c r="BC68" s="1">
        <f t="shared" si="4"/>
        <v>0</v>
      </c>
      <c r="BD68" s="1">
        <f t="shared" si="4"/>
        <v>0</v>
      </c>
      <c r="BE68" s="1">
        <f t="shared" si="4"/>
        <v>0</v>
      </c>
      <c r="BF68" s="1">
        <f t="shared" si="4"/>
        <v>47880</v>
      </c>
      <c r="BG68" s="1">
        <f t="shared" si="3"/>
        <v>0</v>
      </c>
      <c r="BH68" s="1">
        <f t="shared" si="3"/>
        <v>0</v>
      </c>
      <c r="BI68" s="1">
        <f t="shared" si="3"/>
        <v>0</v>
      </c>
      <c r="BJ68" s="1">
        <f t="shared" si="3"/>
        <v>0</v>
      </c>
      <c r="BK68" s="1">
        <f t="shared" si="3"/>
        <v>-360442</v>
      </c>
      <c r="BL68" s="1">
        <f t="shared" si="3"/>
        <v>0</v>
      </c>
      <c r="BM68" s="1">
        <f t="shared" si="3"/>
        <v>0</v>
      </c>
      <c r="BN68" s="1">
        <f t="shared" si="3"/>
        <v>0</v>
      </c>
      <c r="BO68" s="1">
        <f t="shared" si="3"/>
        <v>0</v>
      </c>
      <c r="BP68" s="1">
        <f t="shared" si="3"/>
        <v>-3730402</v>
      </c>
      <c r="BQ68" s="1">
        <f t="shared" si="3"/>
        <v>0</v>
      </c>
      <c r="BR68" s="1">
        <f t="shared" si="3"/>
        <v>0</v>
      </c>
      <c r="BS68" s="1">
        <f t="shared" si="3"/>
        <v>0</v>
      </c>
      <c r="BT68" s="1">
        <f t="shared" si="3"/>
        <v>0</v>
      </c>
      <c r="BU68" s="1">
        <f t="shared" si="3"/>
        <v>-955945.74399999995</v>
      </c>
    </row>
    <row r="69" spans="13:73" hidden="1" x14ac:dyDescent="0.2">
      <c r="M69" s="1">
        <f t="shared" si="1"/>
        <v>-1285536</v>
      </c>
      <c r="N69" s="1">
        <f t="shared" si="1"/>
        <v>0</v>
      </c>
      <c r="O69" s="1">
        <f t="shared" si="1"/>
        <v>0</v>
      </c>
      <c r="P69" s="1">
        <f t="shared" si="1"/>
        <v>0</v>
      </c>
      <c r="Q69" s="1">
        <f t="shared" si="1"/>
        <v>0</v>
      </c>
      <c r="R69" s="1">
        <f t="shared" si="1"/>
        <v>871744.25600000005</v>
      </c>
      <c r="S69" s="1">
        <f t="shared" si="1"/>
        <v>0</v>
      </c>
      <c r="T69" s="1">
        <f t="shared" si="1"/>
        <v>0</v>
      </c>
      <c r="U69" s="1">
        <f t="shared" si="1"/>
        <v>0</v>
      </c>
      <c r="V69" s="1">
        <f t="shared" si="1"/>
        <v>0</v>
      </c>
      <c r="W69" s="1">
        <f t="shared" si="1"/>
        <v>-12272</v>
      </c>
      <c r="X69" s="1">
        <f t="shared" si="1"/>
        <v>0</v>
      </c>
      <c r="Y69" s="1">
        <f t="shared" si="1"/>
        <v>0</v>
      </c>
      <c r="Z69" s="1">
        <f t="shared" si="1"/>
        <v>0</v>
      </c>
      <c r="AA69" s="1">
        <f t="shared" si="1"/>
        <v>0</v>
      </c>
      <c r="AB69" s="1">
        <f t="shared" si="1"/>
        <v>126224</v>
      </c>
      <c r="AC69" s="1">
        <f t="shared" si="4"/>
        <v>0</v>
      </c>
      <c r="AD69" s="1">
        <f t="shared" si="4"/>
        <v>0</v>
      </c>
      <c r="AE69" s="1">
        <f t="shared" si="4"/>
        <v>0</v>
      </c>
      <c r="AF69" s="1">
        <f t="shared" si="4"/>
        <v>0</v>
      </c>
      <c r="AG69" s="1">
        <f t="shared" si="4"/>
        <v>-1736919</v>
      </c>
      <c r="AH69" s="1">
        <f t="shared" si="4"/>
        <v>0</v>
      </c>
      <c r="AI69" s="1">
        <f t="shared" si="4"/>
        <v>0</v>
      </c>
      <c r="AJ69" s="1">
        <f t="shared" si="4"/>
        <v>0</v>
      </c>
      <c r="AK69" s="1">
        <f t="shared" si="4"/>
        <v>0</v>
      </c>
      <c r="AL69" s="1">
        <f t="shared" si="4"/>
        <v>-242093</v>
      </c>
      <c r="AM69" s="1">
        <f t="shared" si="4"/>
        <v>0</v>
      </c>
      <c r="AN69" s="1">
        <f t="shared" si="4"/>
        <v>0</v>
      </c>
      <c r="AO69" s="1">
        <f t="shared" si="4"/>
        <v>0</v>
      </c>
      <c r="AP69" s="1">
        <f t="shared" si="4"/>
        <v>0</v>
      </c>
      <c r="AQ69" s="1">
        <f t="shared" si="4"/>
        <v>-430704</v>
      </c>
      <c r="AR69" s="1">
        <f t="shared" si="4"/>
        <v>0</v>
      </c>
      <c r="AS69" s="1">
        <f t="shared" si="4"/>
        <v>0</v>
      </c>
      <c r="AT69" s="1">
        <f t="shared" si="4"/>
        <v>0</v>
      </c>
      <c r="AU69" s="1">
        <f t="shared" si="4"/>
        <v>0</v>
      </c>
      <c r="AV69" s="1">
        <f t="shared" si="4"/>
        <v>1090093</v>
      </c>
      <c r="AW69" s="1">
        <f t="shared" si="4"/>
        <v>0</v>
      </c>
      <c r="AX69" s="1">
        <f t="shared" si="4"/>
        <v>0</v>
      </c>
      <c r="AY69" s="1">
        <f t="shared" si="4"/>
        <v>0</v>
      </c>
      <c r="AZ69" s="1">
        <f t="shared" si="4"/>
        <v>0</v>
      </c>
      <c r="BA69" s="1">
        <f t="shared" si="4"/>
        <v>615637</v>
      </c>
      <c r="BB69" s="1">
        <f t="shared" si="4"/>
        <v>0</v>
      </c>
      <c r="BC69" s="1">
        <f t="shared" si="4"/>
        <v>0</v>
      </c>
      <c r="BD69" s="1">
        <f t="shared" si="4"/>
        <v>0</v>
      </c>
      <c r="BE69" s="1">
        <f t="shared" si="4"/>
        <v>0</v>
      </c>
      <c r="BF69" s="1">
        <f t="shared" si="4"/>
        <v>47880</v>
      </c>
      <c r="BG69" s="1">
        <f t="shared" si="3"/>
        <v>0</v>
      </c>
      <c r="BH69" s="1">
        <f t="shared" si="3"/>
        <v>0</v>
      </c>
      <c r="BI69" s="1">
        <f t="shared" si="3"/>
        <v>0</v>
      </c>
      <c r="BJ69" s="1">
        <f t="shared" si="3"/>
        <v>0</v>
      </c>
      <c r="BK69" s="1">
        <f t="shared" si="3"/>
        <v>-360442</v>
      </c>
      <c r="BL69" s="1">
        <f t="shared" si="3"/>
        <v>0</v>
      </c>
      <c r="BM69" s="1">
        <f t="shared" si="3"/>
        <v>0</v>
      </c>
      <c r="BN69" s="1">
        <f t="shared" si="3"/>
        <v>0</v>
      </c>
      <c r="BO69" s="1">
        <f t="shared" si="3"/>
        <v>0</v>
      </c>
      <c r="BP69" s="1">
        <f t="shared" si="3"/>
        <v>-3730402</v>
      </c>
      <c r="BQ69" s="1">
        <f t="shared" si="3"/>
        <v>0</v>
      </c>
      <c r="BR69" s="1">
        <f t="shared" si="3"/>
        <v>0</v>
      </c>
      <c r="BS69" s="1">
        <f t="shared" si="3"/>
        <v>0</v>
      </c>
      <c r="BT69" s="1">
        <f t="shared" si="3"/>
        <v>0</v>
      </c>
      <c r="BU69" s="1">
        <f t="shared" si="3"/>
        <v>-955945.74399999995</v>
      </c>
    </row>
    <row r="70" spans="13:73" hidden="1" x14ac:dyDescent="0.2">
      <c r="M70" s="1">
        <f t="shared" ref="M70:AB81" si="5">M29-CE29</f>
        <v>0</v>
      </c>
      <c r="N70" s="1">
        <f t="shared" si="5"/>
        <v>0</v>
      </c>
      <c r="O70" s="1">
        <f t="shared" si="5"/>
        <v>0</v>
      </c>
      <c r="P70" s="1">
        <f t="shared" si="5"/>
        <v>0</v>
      </c>
      <c r="Q70" s="1">
        <f t="shared" si="5"/>
        <v>0</v>
      </c>
      <c r="R70" s="1">
        <f t="shared" si="5"/>
        <v>0</v>
      </c>
      <c r="S70" s="1">
        <f t="shared" si="5"/>
        <v>0</v>
      </c>
      <c r="T70" s="1">
        <f t="shared" si="5"/>
        <v>0</v>
      </c>
      <c r="U70" s="1">
        <f t="shared" si="5"/>
        <v>0</v>
      </c>
      <c r="V70" s="1">
        <f t="shared" si="5"/>
        <v>0</v>
      </c>
      <c r="W70" s="1">
        <f t="shared" si="5"/>
        <v>0</v>
      </c>
      <c r="X70" s="1">
        <f t="shared" si="5"/>
        <v>0</v>
      </c>
      <c r="Y70" s="1">
        <f t="shared" si="5"/>
        <v>0</v>
      </c>
      <c r="Z70" s="1">
        <f t="shared" si="5"/>
        <v>0</v>
      </c>
      <c r="AA70" s="1">
        <f t="shared" si="5"/>
        <v>0</v>
      </c>
      <c r="AB70" s="1">
        <f t="shared" si="5"/>
        <v>0</v>
      </c>
      <c r="AC70" s="1">
        <f t="shared" si="4"/>
        <v>0</v>
      </c>
      <c r="AD70" s="1">
        <f t="shared" si="4"/>
        <v>0</v>
      </c>
      <c r="AE70" s="1">
        <f t="shared" si="4"/>
        <v>0</v>
      </c>
      <c r="AF70" s="1">
        <f t="shared" si="4"/>
        <v>0</v>
      </c>
      <c r="AG70" s="1">
        <f t="shared" si="4"/>
        <v>0</v>
      </c>
      <c r="AH70" s="1">
        <f t="shared" si="4"/>
        <v>0</v>
      </c>
      <c r="AI70" s="1">
        <f t="shared" si="4"/>
        <v>0</v>
      </c>
      <c r="AJ70" s="1">
        <f t="shared" si="4"/>
        <v>0</v>
      </c>
      <c r="AK70" s="1">
        <f t="shared" si="4"/>
        <v>0</v>
      </c>
      <c r="AL70" s="1">
        <f t="shared" si="4"/>
        <v>0</v>
      </c>
      <c r="AM70" s="1">
        <f t="shared" si="4"/>
        <v>0</v>
      </c>
      <c r="AN70" s="1">
        <f t="shared" si="4"/>
        <v>0</v>
      </c>
      <c r="AO70" s="1">
        <f t="shared" si="4"/>
        <v>0</v>
      </c>
      <c r="AP70" s="1">
        <f t="shared" si="4"/>
        <v>0</v>
      </c>
      <c r="AQ70" s="1">
        <f t="shared" si="4"/>
        <v>0</v>
      </c>
      <c r="AR70" s="1">
        <f t="shared" si="4"/>
        <v>0</v>
      </c>
      <c r="AS70" s="1">
        <f t="shared" si="4"/>
        <v>0</v>
      </c>
      <c r="AT70" s="1">
        <f t="shared" si="4"/>
        <v>0</v>
      </c>
      <c r="AU70" s="1">
        <f t="shared" si="4"/>
        <v>0</v>
      </c>
      <c r="AV70" s="1">
        <f t="shared" si="4"/>
        <v>0</v>
      </c>
      <c r="AW70" s="1">
        <f t="shared" si="4"/>
        <v>0</v>
      </c>
      <c r="AX70" s="1">
        <f t="shared" si="4"/>
        <v>0</v>
      </c>
      <c r="AY70" s="1">
        <f t="shared" si="4"/>
        <v>0</v>
      </c>
      <c r="AZ70" s="1">
        <f t="shared" si="4"/>
        <v>0</v>
      </c>
      <c r="BA70" s="1">
        <f t="shared" si="4"/>
        <v>0</v>
      </c>
      <c r="BB70" s="1">
        <f t="shared" si="4"/>
        <v>0</v>
      </c>
      <c r="BC70" s="1">
        <f t="shared" si="4"/>
        <v>0</v>
      </c>
      <c r="BD70" s="1">
        <f t="shared" si="4"/>
        <v>0</v>
      </c>
      <c r="BE70" s="1">
        <f t="shared" si="4"/>
        <v>0</v>
      </c>
      <c r="BF70" s="1">
        <f t="shared" si="4"/>
        <v>0</v>
      </c>
      <c r="BG70" s="1">
        <f t="shared" si="3"/>
        <v>0</v>
      </c>
      <c r="BH70" s="1">
        <f t="shared" si="3"/>
        <v>0</v>
      </c>
      <c r="BI70" s="1">
        <f t="shared" si="3"/>
        <v>0</v>
      </c>
      <c r="BJ70" s="1">
        <f t="shared" si="3"/>
        <v>0</v>
      </c>
      <c r="BK70" s="1">
        <f t="shared" si="3"/>
        <v>0</v>
      </c>
      <c r="BL70" s="1">
        <f t="shared" si="3"/>
        <v>0</v>
      </c>
      <c r="BM70" s="1">
        <f t="shared" si="3"/>
        <v>0</v>
      </c>
      <c r="BN70" s="1">
        <f t="shared" si="3"/>
        <v>0</v>
      </c>
      <c r="BO70" s="1">
        <f t="shared" si="3"/>
        <v>0</v>
      </c>
      <c r="BP70" s="1">
        <f t="shared" si="3"/>
        <v>0</v>
      </c>
      <c r="BQ70" s="1">
        <f t="shared" si="3"/>
        <v>0</v>
      </c>
      <c r="BR70" s="1">
        <f t="shared" si="3"/>
        <v>0</v>
      </c>
      <c r="BS70" s="1">
        <f t="shared" si="3"/>
        <v>0</v>
      </c>
      <c r="BT70" s="1">
        <f t="shared" si="3"/>
        <v>0</v>
      </c>
      <c r="BU70" s="1">
        <f t="shared" si="3"/>
        <v>0</v>
      </c>
    </row>
    <row r="71" spans="13:73" hidden="1" x14ac:dyDescent="0.2">
      <c r="M71" s="1">
        <f t="shared" si="5"/>
        <v>0</v>
      </c>
      <c r="N71" s="1">
        <f t="shared" si="5"/>
        <v>0</v>
      </c>
      <c r="O71" s="1">
        <f t="shared" si="5"/>
        <v>0</v>
      </c>
      <c r="P71" s="1">
        <f t="shared" si="5"/>
        <v>0</v>
      </c>
      <c r="Q71" s="1">
        <f t="shared" si="5"/>
        <v>0</v>
      </c>
      <c r="R71" s="1">
        <f t="shared" si="5"/>
        <v>0</v>
      </c>
      <c r="S71" s="1">
        <f t="shared" si="5"/>
        <v>0</v>
      </c>
      <c r="T71" s="1">
        <f t="shared" si="5"/>
        <v>0</v>
      </c>
      <c r="U71" s="1">
        <f t="shared" si="5"/>
        <v>0</v>
      </c>
      <c r="V71" s="1">
        <f t="shared" si="5"/>
        <v>0</v>
      </c>
      <c r="W71" s="1">
        <f t="shared" si="5"/>
        <v>0</v>
      </c>
      <c r="X71" s="1">
        <f t="shared" si="5"/>
        <v>0</v>
      </c>
      <c r="Y71" s="1">
        <f t="shared" si="5"/>
        <v>0</v>
      </c>
      <c r="Z71" s="1">
        <f t="shared" si="5"/>
        <v>0</v>
      </c>
      <c r="AA71" s="1">
        <f t="shared" si="5"/>
        <v>0</v>
      </c>
      <c r="AB71" s="1">
        <f t="shared" si="5"/>
        <v>0</v>
      </c>
      <c r="AC71" s="1">
        <f t="shared" si="4"/>
        <v>0</v>
      </c>
      <c r="AD71" s="1">
        <f t="shared" si="4"/>
        <v>0</v>
      </c>
      <c r="AE71" s="1">
        <f t="shared" si="4"/>
        <v>0</v>
      </c>
      <c r="AF71" s="1">
        <f t="shared" si="4"/>
        <v>0</v>
      </c>
      <c r="AG71" s="1">
        <f t="shared" si="4"/>
        <v>0</v>
      </c>
      <c r="AH71" s="1">
        <f t="shared" si="4"/>
        <v>0</v>
      </c>
      <c r="AI71" s="1">
        <f t="shared" si="4"/>
        <v>0</v>
      </c>
      <c r="AJ71" s="1">
        <f t="shared" si="4"/>
        <v>0</v>
      </c>
      <c r="AK71" s="1">
        <f t="shared" si="4"/>
        <v>0</v>
      </c>
      <c r="AL71" s="1">
        <f t="shared" si="4"/>
        <v>0</v>
      </c>
      <c r="AM71" s="1">
        <f t="shared" si="4"/>
        <v>0</v>
      </c>
      <c r="AN71" s="1">
        <f t="shared" si="4"/>
        <v>0</v>
      </c>
      <c r="AO71" s="1">
        <f t="shared" si="4"/>
        <v>0</v>
      </c>
      <c r="AP71" s="1">
        <f t="shared" si="4"/>
        <v>0</v>
      </c>
      <c r="AQ71" s="1">
        <f t="shared" si="4"/>
        <v>0</v>
      </c>
      <c r="AR71" s="1">
        <f t="shared" ref="AR71:BG81" si="6">AR30-DJ30</f>
        <v>0</v>
      </c>
      <c r="AS71" s="1">
        <f t="shared" si="6"/>
        <v>0</v>
      </c>
      <c r="AT71" s="1">
        <f t="shared" si="6"/>
        <v>0</v>
      </c>
      <c r="AU71" s="1">
        <f t="shared" si="6"/>
        <v>0</v>
      </c>
      <c r="AV71" s="1">
        <f t="shared" si="6"/>
        <v>0</v>
      </c>
      <c r="AW71" s="1">
        <f t="shared" si="6"/>
        <v>0</v>
      </c>
      <c r="AX71" s="1">
        <f t="shared" si="6"/>
        <v>0</v>
      </c>
      <c r="AY71" s="1">
        <f t="shared" si="6"/>
        <v>0</v>
      </c>
      <c r="AZ71" s="1">
        <f t="shared" si="6"/>
        <v>0</v>
      </c>
      <c r="BA71" s="1">
        <f t="shared" si="6"/>
        <v>0</v>
      </c>
      <c r="BB71" s="1">
        <f t="shared" si="6"/>
        <v>0</v>
      </c>
      <c r="BC71" s="1">
        <f t="shared" si="6"/>
        <v>0</v>
      </c>
      <c r="BD71" s="1">
        <f t="shared" si="6"/>
        <v>0</v>
      </c>
      <c r="BE71" s="1">
        <f t="shared" si="6"/>
        <v>0</v>
      </c>
      <c r="BF71" s="1">
        <f t="shared" si="6"/>
        <v>0</v>
      </c>
      <c r="BG71" s="1">
        <f t="shared" si="3"/>
        <v>0</v>
      </c>
      <c r="BH71" s="1">
        <f t="shared" si="3"/>
        <v>0</v>
      </c>
      <c r="BI71" s="1">
        <f t="shared" si="3"/>
        <v>0</v>
      </c>
      <c r="BJ71" s="1">
        <f t="shared" si="3"/>
        <v>0</v>
      </c>
      <c r="BK71" s="1">
        <f t="shared" si="3"/>
        <v>0</v>
      </c>
      <c r="BL71" s="1">
        <f t="shared" si="3"/>
        <v>0</v>
      </c>
      <c r="BM71" s="1">
        <f t="shared" si="3"/>
        <v>0</v>
      </c>
      <c r="BN71" s="1">
        <f t="shared" si="3"/>
        <v>0</v>
      </c>
      <c r="BO71" s="1">
        <f t="shared" si="3"/>
        <v>0</v>
      </c>
      <c r="BP71" s="1">
        <f t="shared" si="3"/>
        <v>0</v>
      </c>
      <c r="BQ71" s="1">
        <f t="shared" si="3"/>
        <v>0</v>
      </c>
      <c r="BR71" s="1">
        <f t="shared" si="3"/>
        <v>0</v>
      </c>
      <c r="BS71" s="1">
        <f t="shared" si="3"/>
        <v>0</v>
      </c>
      <c r="BT71" s="1">
        <f t="shared" si="3"/>
        <v>0</v>
      </c>
      <c r="BU71" s="1">
        <f t="shared" si="3"/>
        <v>0</v>
      </c>
    </row>
    <row r="72" spans="13:73" hidden="1" x14ac:dyDescent="0.2">
      <c r="M72" s="1">
        <f t="shared" si="5"/>
        <v>0</v>
      </c>
      <c r="N72" s="1">
        <f t="shared" si="5"/>
        <v>0</v>
      </c>
      <c r="O72" s="1">
        <f t="shared" si="5"/>
        <v>0</v>
      </c>
      <c r="P72" s="1">
        <f t="shared" si="5"/>
        <v>0</v>
      </c>
      <c r="Q72" s="1">
        <f t="shared" si="5"/>
        <v>0</v>
      </c>
      <c r="R72" s="1">
        <f t="shared" si="5"/>
        <v>0</v>
      </c>
      <c r="S72" s="1">
        <f t="shared" si="5"/>
        <v>0</v>
      </c>
      <c r="T72" s="1">
        <f t="shared" si="5"/>
        <v>0</v>
      </c>
      <c r="U72" s="1">
        <f t="shared" si="5"/>
        <v>0</v>
      </c>
      <c r="V72" s="1">
        <f t="shared" si="5"/>
        <v>0</v>
      </c>
      <c r="W72" s="1">
        <f t="shared" si="5"/>
        <v>0</v>
      </c>
      <c r="X72" s="1">
        <f t="shared" si="5"/>
        <v>0</v>
      </c>
      <c r="Y72" s="1">
        <f t="shared" si="5"/>
        <v>0</v>
      </c>
      <c r="Z72" s="1">
        <f t="shared" si="5"/>
        <v>0</v>
      </c>
      <c r="AA72" s="1">
        <f t="shared" si="5"/>
        <v>0</v>
      </c>
      <c r="AB72" s="1">
        <f t="shared" si="5"/>
        <v>0</v>
      </c>
      <c r="AC72" s="1">
        <f t="shared" ref="AC72:AQ81" si="7">AC31-CU31</f>
        <v>0</v>
      </c>
      <c r="AD72" s="1">
        <f t="shared" si="7"/>
        <v>0</v>
      </c>
      <c r="AE72" s="1">
        <f t="shared" si="7"/>
        <v>0</v>
      </c>
      <c r="AF72" s="1">
        <f t="shared" si="7"/>
        <v>0</v>
      </c>
      <c r="AG72" s="1">
        <f t="shared" si="7"/>
        <v>0</v>
      </c>
      <c r="AH72" s="1">
        <f t="shared" si="7"/>
        <v>0</v>
      </c>
      <c r="AI72" s="1">
        <f t="shared" si="7"/>
        <v>0</v>
      </c>
      <c r="AJ72" s="1">
        <f t="shared" si="7"/>
        <v>0</v>
      </c>
      <c r="AK72" s="1">
        <f t="shared" si="7"/>
        <v>0</v>
      </c>
      <c r="AL72" s="1">
        <f t="shared" si="7"/>
        <v>0</v>
      </c>
      <c r="AM72" s="1">
        <f t="shared" si="7"/>
        <v>0</v>
      </c>
      <c r="AN72" s="1">
        <f t="shared" si="7"/>
        <v>0</v>
      </c>
      <c r="AO72" s="1">
        <f t="shared" si="7"/>
        <v>0</v>
      </c>
      <c r="AP72" s="1">
        <f t="shared" si="7"/>
        <v>0</v>
      </c>
      <c r="AQ72" s="1">
        <f t="shared" si="7"/>
        <v>0</v>
      </c>
      <c r="AR72" s="1">
        <f t="shared" si="6"/>
        <v>0</v>
      </c>
      <c r="AS72" s="1">
        <f t="shared" si="6"/>
        <v>0</v>
      </c>
      <c r="AT72" s="1">
        <f t="shared" si="6"/>
        <v>0</v>
      </c>
      <c r="AU72" s="1">
        <f t="shared" si="6"/>
        <v>0</v>
      </c>
      <c r="AV72" s="1">
        <f t="shared" si="6"/>
        <v>0</v>
      </c>
      <c r="AW72" s="1">
        <f t="shared" si="6"/>
        <v>0</v>
      </c>
      <c r="AX72" s="1">
        <f t="shared" si="6"/>
        <v>0</v>
      </c>
      <c r="AY72" s="1">
        <f t="shared" si="6"/>
        <v>0</v>
      </c>
      <c r="AZ72" s="1">
        <f t="shared" si="6"/>
        <v>0</v>
      </c>
      <c r="BA72" s="1">
        <f t="shared" si="6"/>
        <v>0</v>
      </c>
      <c r="BB72" s="1">
        <f t="shared" si="6"/>
        <v>0</v>
      </c>
      <c r="BC72" s="1">
        <f t="shared" si="6"/>
        <v>0</v>
      </c>
      <c r="BD72" s="1">
        <f t="shared" si="6"/>
        <v>0</v>
      </c>
      <c r="BE72" s="1">
        <f t="shared" si="6"/>
        <v>0</v>
      </c>
      <c r="BF72" s="1">
        <f t="shared" si="6"/>
        <v>0</v>
      </c>
      <c r="BG72" s="1">
        <f t="shared" si="3"/>
        <v>0</v>
      </c>
      <c r="BH72" s="1">
        <f t="shared" si="3"/>
        <v>0</v>
      </c>
      <c r="BI72" s="1">
        <f t="shared" si="3"/>
        <v>0</v>
      </c>
      <c r="BJ72" s="1">
        <f t="shared" si="3"/>
        <v>0</v>
      </c>
      <c r="BK72" s="1">
        <f t="shared" si="3"/>
        <v>0</v>
      </c>
      <c r="BL72" s="1">
        <f t="shared" si="3"/>
        <v>0</v>
      </c>
      <c r="BM72" s="1">
        <f t="shared" si="3"/>
        <v>0</v>
      </c>
      <c r="BN72" s="1">
        <f t="shared" si="3"/>
        <v>0</v>
      </c>
      <c r="BO72" s="1">
        <f t="shared" si="3"/>
        <v>0</v>
      </c>
      <c r="BP72" s="1">
        <f t="shared" si="3"/>
        <v>0</v>
      </c>
      <c r="BQ72" s="1">
        <f t="shared" si="3"/>
        <v>0</v>
      </c>
      <c r="BR72" s="1">
        <f t="shared" si="3"/>
        <v>0</v>
      </c>
      <c r="BS72" s="1">
        <f t="shared" si="3"/>
        <v>0</v>
      </c>
      <c r="BT72" s="1">
        <f t="shared" si="3"/>
        <v>0</v>
      </c>
      <c r="BU72" s="1">
        <f t="shared" si="3"/>
        <v>0</v>
      </c>
    </row>
    <row r="73" spans="13:73" hidden="1" x14ac:dyDescent="0.2">
      <c r="M73" s="1">
        <f t="shared" si="5"/>
        <v>0</v>
      </c>
      <c r="N73" s="1">
        <f t="shared" si="5"/>
        <v>0</v>
      </c>
      <c r="O73" s="1">
        <f t="shared" si="5"/>
        <v>0</v>
      </c>
      <c r="P73" s="1">
        <f t="shared" si="5"/>
        <v>0</v>
      </c>
      <c r="Q73" s="1">
        <f t="shared" si="5"/>
        <v>0</v>
      </c>
      <c r="R73" s="1">
        <f t="shared" si="5"/>
        <v>0</v>
      </c>
      <c r="S73" s="1">
        <f t="shared" si="5"/>
        <v>0</v>
      </c>
      <c r="T73" s="1">
        <f t="shared" si="5"/>
        <v>0</v>
      </c>
      <c r="U73" s="1">
        <f t="shared" si="5"/>
        <v>0</v>
      </c>
      <c r="V73" s="1">
        <f t="shared" si="5"/>
        <v>0</v>
      </c>
      <c r="W73" s="1">
        <f t="shared" si="5"/>
        <v>0</v>
      </c>
      <c r="X73" s="1">
        <f t="shared" si="5"/>
        <v>0</v>
      </c>
      <c r="Y73" s="1">
        <f t="shared" si="5"/>
        <v>0</v>
      </c>
      <c r="Z73" s="1">
        <f t="shared" si="5"/>
        <v>0</v>
      </c>
      <c r="AA73" s="1">
        <f t="shared" si="5"/>
        <v>0</v>
      </c>
      <c r="AB73" s="1">
        <f t="shared" si="5"/>
        <v>-22185</v>
      </c>
      <c r="AC73" s="1">
        <f t="shared" si="7"/>
        <v>0</v>
      </c>
      <c r="AD73" s="1">
        <f t="shared" si="7"/>
        <v>0</v>
      </c>
      <c r="AE73" s="1">
        <f t="shared" si="7"/>
        <v>0</v>
      </c>
      <c r="AF73" s="1">
        <f t="shared" si="7"/>
        <v>0</v>
      </c>
      <c r="AG73" s="1">
        <f t="shared" si="7"/>
        <v>98</v>
      </c>
      <c r="AH73" s="1">
        <f t="shared" si="7"/>
        <v>0</v>
      </c>
      <c r="AI73" s="1">
        <f t="shared" si="7"/>
        <v>0</v>
      </c>
      <c r="AJ73" s="1">
        <f t="shared" si="7"/>
        <v>0</v>
      </c>
      <c r="AK73" s="1">
        <f t="shared" si="7"/>
        <v>0</v>
      </c>
      <c r="AL73" s="1">
        <f t="shared" si="7"/>
        <v>0</v>
      </c>
      <c r="AM73" s="1">
        <f t="shared" si="7"/>
        <v>0</v>
      </c>
      <c r="AN73" s="1">
        <f t="shared" si="7"/>
        <v>0</v>
      </c>
      <c r="AO73" s="1">
        <f t="shared" si="7"/>
        <v>0</v>
      </c>
      <c r="AP73" s="1">
        <f t="shared" si="7"/>
        <v>0</v>
      </c>
      <c r="AQ73" s="1">
        <f t="shared" si="7"/>
        <v>372528</v>
      </c>
      <c r="AR73" s="1">
        <f t="shared" si="6"/>
        <v>0</v>
      </c>
      <c r="AS73" s="1">
        <f t="shared" si="6"/>
        <v>0</v>
      </c>
      <c r="AT73" s="1">
        <f t="shared" si="6"/>
        <v>0</v>
      </c>
      <c r="AU73" s="1">
        <f t="shared" si="6"/>
        <v>0</v>
      </c>
      <c r="AV73" s="1">
        <f t="shared" si="6"/>
        <v>0</v>
      </c>
      <c r="AW73" s="1">
        <f t="shared" si="6"/>
        <v>0</v>
      </c>
      <c r="AX73" s="1">
        <f t="shared" si="6"/>
        <v>0</v>
      </c>
      <c r="AY73" s="1">
        <f t="shared" si="6"/>
        <v>0</v>
      </c>
      <c r="AZ73" s="1">
        <f t="shared" si="6"/>
        <v>0</v>
      </c>
      <c r="BA73" s="1">
        <f t="shared" si="6"/>
        <v>0</v>
      </c>
      <c r="BB73" s="1">
        <f t="shared" si="6"/>
        <v>0</v>
      </c>
      <c r="BC73" s="1">
        <f t="shared" si="6"/>
        <v>0</v>
      </c>
      <c r="BD73" s="1">
        <f t="shared" si="6"/>
        <v>0</v>
      </c>
      <c r="BE73" s="1">
        <f t="shared" si="6"/>
        <v>0</v>
      </c>
      <c r="BF73" s="1">
        <f t="shared" si="6"/>
        <v>0</v>
      </c>
      <c r="BG73" s="1">
        <f t="shared" si="3"/>
        <v>0</v>
      </c>
      <c r="BH73" s="1">
        <f t="shared" si="3"/>
        <v>0</v>
      </c>
      <c r="BI73" s="1">
        <f t="shared" si="3"/>
        <v>0</v>
      </c>
      <c r="BJ73" s="1">
        <f t="shared" si="3"/>
        <v>0</v>
      </c>
      <c r="BK73" s="1">
        <f t="shared" si="3"/>
        <v>0</v>
      </c>
      <c r="BL73" s="1">
        <f t="shared" si="3"/>
        <v>0</v>
      </c>
      <c r="BM73" s="1">
        <f t="shared" si="3"/>
        <v>0</v>
      </c>
      <c r="BN73" s="1">
        <f t="shared" si="3"/>
        <v>0</v>
      </c>
      <c r="BO73" s="1">
        <f t="shared" si="3"/>
        <v>0</v>
      </c>
      <c r="BP73" s="1">
        <f t="shared" si="3"/>
        <v>77</v>
      </c>
      <c r="BQ73" s="1">
        <f t="shared" si="3"/>
        <v>0</v>
      </c>
      <c r="BR73" s="1">
        <f t="shared" si="3"/>
        <v>0</v>
      </c>
      <c r="BS73" s="1">
        <f t="shared" si="3"/>
        <v>0</v>
      </c>
      <c r="BT73" s="1">
        <f t="shared" si="3"/>
        <v>0</v>
      </c>
      <c r="BU73" s="1">
        <f t="shared" si="3"/>
        <v>350441</v>
      </c>
    </row>
    <row r="74" spans="13:73" hidden="1" x14ac:dyDescent="0.2">
      <c r="M74" s="1">
        <f t="shared" si="5"/>
        <v>0</v>
      </c>
      <c r="N74" s="1">
        <f t="shared" si="5"/>
        <v>0</v>
      </c>
      <c r="O74" s="1">
        <f t="shared" si="5"/>
        <v>0</v>
      </c>
      <c r="P74" s="1">
        <f t="shared" si="5"/>
        <v>0</v>
      </c>
      <c r="Q74" s="1">
        <f t="shared" si="5"/>
        <v>0</v>
      </c>
      <c r="R74" s="1">
        <f t="shared" si="5"/>
        <v>0</v>
      </c>
      <c r="S74" s="1">
        <f t="shared" si="5"/>
        <v>0</v>
      </c>
      <c r="T74" s="1">
        <f t="shared" si="5"/>
        <v>0</v>
      </c>
      <c r="U74" s="1">
        <f t="shared" si="5"/>
        <v>0</v>
      </c>
      <c r="V74" s="1">
        <f t="shared" si="5"/>
        <v>0</v>
      </c>
      <c r="W74" s="1">
        <f t="shared" si="5"/>
        <v>0</v>
      </c>
      <c r="X74" s="1">
        <f t="shared" si="5"/>
        <v>0</v>
      </c>
      <c r="Y74" s="1">
        <f t="shared" si="5"/>
        <v>0</v>
      </c>
      <c r="Z74" s="1">
        <f t="shared" si="5"/>
        <v>0</v>
      </c>
      <c r="AA74" s="1">
        <f t="shared" si="5"/>
        <v>0</v>
      </c>
      <c r="AB74" s="1">
        <f t="shared" si="5"/>
        <v>-22185</v>
      </c>
      <c r="AC74" s="1">
        <f t="shared" si="7"/>
        <v>0</v>
      </c>
      <c r="AD74" s="1">
        <f t="shared" si="7"/>
        <v>0</v>
      </c>
      <c r="AE74" s="1">
        <f t="shared" si="7"/>
        <v>0</v>
      </c>
      <c r="AF74" s="1">
        <f t="shared" si="7"/>
        <v>0</v>
      </c>
      <c r="AG74" s="1">
        <f t="shared" si="7"/>
        <v>98</v>
      </c>
      <c r="AH74" s="1">
        <f t="shared" si="7"/>
        <v>0</v>
      </c>
      <c r="AI74" s="1">
        <f t="shared" si="7"/>
        <v>0</v>
      </c>
      <c r="AJ74" s="1">
        <f t="shared" si="7"/>
        <v>0</v>
      </c>
      <c r="AK74" s="1">
        <f t="shared" si="7"/>
        <v>0</v>
      </c>
      <c r="AL74" s="1">
        <f t="shared" si="7"/>
        <v>0</v>
      </c>
      <c r="AM74" s="1">
        <f t="shared" si="7"/>
        <v>0</v>
      </c>
      <c r="AN74" s="1">
        <f t="shared" si="7"/>
        <v>0</v>
      </c>
      <c r="AO74" s="1">
        <f t="shared" si="7"/>
        <v>0</v>
      </c>
      <c r="AP74" s="1">
        <f t="shared" si="7"/>
        <v>0</v>
      </c>
      <c r="AQ74" s="1">
        <f t="shared" si="7"/>
        <v>372528</v>
      </c>
      <c r="AR74" s="1">
        <f t="shared" si="6"/>
        <v>0</v>
      </c>
      <c r="AS74" s="1">
        <f t="shared" si="6"/>
        <v>0</v>
      </c>
      <c r="AT74" s="1">
        <f t="shared" si="6"/>
        <v>0</v>
      </c>
      <c r="AU74" s="1">
        <f t="shared" si="6"/>
        <v>0</v>
      </c>
      <c r="AV74" s="1">
        <f t="shared" si="6"/>
        <v>0</v>
      </c>
      <c r="AW74" s="1">
        <f t="shared" si="6"/>
        <v>0</v>
      </c>
      <c r="AX74" s="1">
        <f t="shared" si="6"/>
        <v>0</v>
      </c>
      <c r="AY74" s="1">
        <f t="shared" si="6"/>
        <v>0</v>
      </c>
      <c r="AZ74" s="1">
        <f t="shared" si="6"/>
        <v>0</v>
      </c>
      <c r="BA74" s="1">
        <f t="shared" si="6"/>
        <v>0</v>
      </c>
      <c r="BB74" s="1">
        <f t="shared" si="6"/>
        <v>0</v>
      </c>
      <c r="BC74" s="1">
        <f t="shared" si="6"/>
        <v>0</v>
      </c>
      <c r="BD74" s="1">
        <f t="shared" si="6"/>
        <v>0</v>
      </c>
      <c r="BE74" s="1">
        <f t="shared" si="6"/>
        <v>0</v>
      </c>
      <c r="BF74" s="1">
        <f t="shared" si="6"/>
        <v>0</v>
      </c>
      <c r="BG74" s="1">
        <f t="shared" si="3"/>
        <v>0</v>
      </c>
      <c r="BH74" s="1">
        <f t="shared" si="3"/>
        <v>0</v>
      </c>
      <c r="BI74" s="1">
        <f t="shared" si="3"/>
        <v>0</v>
      </c>
      <c r="BJ74" s="1">
        <f t="shared" si="3"/>
        <v>0</v>
      </c>
      <c r="BK74" s="1">
        <f t="shared" si="3"/>
        <v>0</v>
      </c>
      <c r="BL74" s="1">
        <f t="shared" si="3"/>
        <v>0</v>
      </c>
      <c r="BM74" s="1">
        <f t="shared" si="3"/>
        <v>0</v>
      </c>
      <c r="BN74" s="1">
        <f t="shared" si="3"/>
        <v>0</v>
      </c>
      <c r="BO74" s="1">
        <f t="shared" si="3"/>
        <v>0</v>
      </c>
      <c r="BP74" s="1">
        <f t="shared" si="3"/>
        <v>77</v>
      </c>
      <c r="BQ74" s="1">
        <f t="shared" si="3"/>
        <v>0</v>
      </c>
      <c r="BR74" s="1">
        <f t="shared" si="3"/>
        <v>0</v>
      </c>
      <c r="BS74" s="1">
        <f t="shared" si="3"/>
        <v>0</v>
      </c>
      <c r="BT74" s="1">
        <f t="shared" si="3"/>
        <v>0</v>
      </c>
      <c r="BU74" s="1">
        <f t="shared" si="3"/>
        <v>350441</v>
      </c>
    </row>
    <row r="75" spans="13:73" hidden="1" x14ac:dyDescent="0.2">
      <c r="M75" s="1">
        <f t="shared" si="5"/>
        <v>0</v>
      </c>
      <c r="N75" s="1">
        <f t="shared" si="5"/>
        <v>0</v>
      </c>
      <c r="O75" s="1">
        <f t="shared" si="5"/>
        <v>0</v>
      </c>
      <c r="P75" s="1">
        <f t="shared" si="5"/>
        <v>0</v>
      </c>
      <c r="Q75" s="1">
        <f t="shared" si="5"/>
        <v>0</v>
      </c>
      <c r="R75" s="1">
        <f t="shared" si="5"/>
        <v>0</v>
      </c>
      <c r="S75" s="1">
        <f t="shared" si="5"/>
        <v>0</v>
      </c>
      <c r="T75" s="1">
        <f t="shared" si="5"/>
        <v>0</v>
      </c>
      <c r="U75" s="1">
        <f t="shared" si="5"/>
        <v>0</v>
      </c>
      <c r="V75" s="1">
        <f t="shared" si="5"/>
        <v>0</v>
      </c>
      <c r="W75" s="1">
        <f t="shared" si="5"/>
        <v>0</v>
      </c>
      <c r="X75" s="1">
        <f t="shared" si="5"/>
        <v>0</v>
      </c>
      <c r="Y75" s="1">
        <f t="shared" si="5"/>
        <v>0</v>
      </c>
      <c r="Z75" s="1">
        <f t="shared" si="5"/>
        <v>0</v>
      </c>
      <c r="AA75" s="1">
        <f t="shared" si="5"/>
        <v>0</v>
      </c>
      <c r="AB75" s="1">
        <f t="shared" si="5"/>
        <v>0</v>
      </c>
      <c r="AC75" s="1">
        <f t="shared" si="7"/>
        <v>0</v>
      </c>
      <c r="AD75" s="1">
        <f t="shared" si="7"/>
        <v>0</v>
      </c>
      <c r="AE75" s="1">
        <f t="shared" si="7"/>
        <v>0</v>
      </c>
      <c r="AF75" s="1">
        <f t="shared" si="7"/>
        <v>0</v>
      </c>
      <c r="AG75" s="1">
        <f t="shared" si="7"/>
        <v>0</v>
      </c>
      <c r="AH75" s="1">
        <f t="shared" si="7"/>
        <v>0</v>
      </c>
      <c r="AI75" s="1">
        <f t="shared" si="7"/>
        <v>0</v>
      </c>
      <c r="AJ75" s="1">
        <f t="shared" si="7"/>
        <v>0</v>
      </c>
      <c r="AK75" s="1">
        <f t="shared" si="7"/>
        <v>0</v>
      </c>
      <c r="AL75" s="1">
        <f t="shared" si="7"/>
        <v>0</v>
      </c>
      <c r="AM75" s="1">
        <f t="shared" si="7"/>
        <v>0</v>
      </c>
      <c r="AN75" s="1">
        <f t="shared" si="7"/>
        <v>0</v>
      </c>
      <c r="AO75" s="1">
        <f t="shared" si="7"/>
        <v>0</v>
      </c>
      <c r="AP75" s="1">
        <f t="shared" si="7"/>
        <v>0</v>
      </c>
      <c r="AQ75" s="1">
        <f t="shared" si="7"/>
        <v>0</v>
      </c>
      <c r="AR75" s="1">
        <f t="shared" si="6"/>
        <v>0</v>
      </c>
      <c r="AS75" s="1">
        <f t="shared" si="6"/>
        <v>0</v>
      </c>
      <c r="AT75" s="1">
        <f t="shared" si="6"/>
        <v>0</v>
      </c>
      <c r="AU75" s="1">
        <f t="shared" si="6"/>
        <v>0</v>
      </c>
      <c r="AV75" s="1">
        <f t="shared" si="6"/>
        <v>0</v>
      </c>
      <c r="AW75" s="1">
        <f t="shared" si="6"/>
        <v>0</v>
      </c>
      <c r="AX75" s="1">
        <f t="shared" si="6"/>
        <v>0</v>
      </c>
      <c r="AY75" s="1">
        <f t="shared" si="6"/>
        <v>0</v>
      </c>
      <c r="AZ75" s="1">
        <f t="shared" si="6"/>
        <v>0</v>
      </c>
      <c r="BA75" s="1">
        <f t="shared" si="6"/>
        <v>0</v>
      </c>
      <c r="BB75" s="1">
        <f t="shared" si="6"/>
        <v>0</v>
      </c>
      <c r="BC75" s="1">
        <f t="shared" si="6"/>
        <v>0</v>
      </c>
      <c r="BD75" s="1">
        <f t="shared" si="6"/>
        <v>0</v>
      </c>
      <c r="BE75" s="1">
        <f t="shared" si="6"/>
        <v>0</v>
      </c>
      <c r="BF75" s="1">
        <f t="shared" si="6"/>
        <v>0</v>
      </c>
      <c r="BG75" s="1">
        <f t="shared" si="3"/>
        <v>0</v>
      </c>
      <c r="BH75" s="1">
        <f t="shared" si="3"/>
        <v>0</v>
      </c>
      <c r="BI75" s="1">
        <f t="shared" si="3"/>
        <v>0</v>
      </c>
      <c r="BJ75" s="1">
        <f t="shared" si="3"/>
        <v>0</v>
      </c>
      <c r="BK75" s="1">
        <f t="shared" si="3"/>
        <v>0</v>
      </c>
      <c r="BL75" s="1">
        <f t="shared" si="3"/>
        <v>0</v>
      </c>
      <c r="BM75" s="1">
        <f t="shared" si="3"/>
        <v>0</v>
      </c>
      <c r="BN75" s="1">
        <f t="shared" si="3"/>
        <v>0</v>
      </c>
      <c r="BO75" s="1">
        <f t="shared" si="3"/>
        <v>0</v>
      </c>
      <c r="BP75" s="1">
        <f t="shared" si="3"/>
        <v>0</v>
      </c>
      <c r="BQ75" s="1">
        <f t="shared" si="3"/>
        <v>0</v>
      </c>
      <c r="BR75" s="1">
        <f t="shared" si="3"/>
        <v>0</v>
      </c>
      <c r="BS75" s="1">
        <f t="shared" si="3"/>
        <v>0</v>
      </c>
      <c r="BT75" s="1">
        <f t="shared" si="3"/>
        <v>0</v>
      </c>
      <c r="BU75" s="1">
        <f t="shared" si="3"/>
        <v>0</v>
      </c>
    </row>
    <row r="76" spans="13:73" hidden="1" x14ac:dyDescent="0.2">
      <c r="M76" s="1">
        <f t="shared" si="5"/>
        <v>0</v>
      </c>
      <c r="N76" s="1">
        <f t="shared" si="5"/>
        <v>0</v>
      </c>
      <c r="O76" s="1">
        <f t="shared" si="5"/>
        <v>0</v>
      </c>
      <c r="P76" s="1">
        <f t="shared" si="5"/>
        <v>0</v>
      </c>
      <c r="Q76" s="1">
        <f t="shared" si="5"/>
        <v>0</v>
      </c>
      <c r="R76" s="1">
        <f t="shared" si="5"/>
        <v>0</v>
      </c>
      <c r="S76" s="1">
        <f t="shared" si="5"/>
        <v>0</v>
      </c>
      <c r="T76" s="1">
        <f t="shared" si="5"/>
        <v>0</v>
      </c>
      <c r="U76" s="1">
        <f t="shared" si="5"/>
        <v>0</v>
      </c>
      <c r="V76" s="1">
        <f t="shared" si="5"/>
        <v>0</v>
      </c>
      <c r="W76" s="1">
        <f t="shared" si="5"/>
        <v>0</v>
      </c>
      <c r="X76" s="1">
        <f t="shared" si="5"/>
        <v>0</v>
      </c>
      <c r="Y76" s="1">
        <f t="shared" si="5"/>
        <v>0</v>
      </c>
      <c r="Z76" s="1">
        <f t="shared" si="5"/>
        <v>0</v>
      </c>
      <c r="AA76" s="1">
        <f t="shared" si="5"/>
        <v>0</v>
      </c>
      <c r="AB76" s="1">
        <f t="shared" si="5"/>
        <v>0</v>
      </c>
      <c r="AC76" s="1">
        <f t="shared" si="7"/>
        <v>0</v>
      </c>
      <c r="AD76" s="1">
        <f t="shared" si="7"/>
        <v>0</v>
      </c>
      <c r="AE76" s="1">
        <f t="shared" si="7"/>
        <v>0</v>
      </c>
      <c r="AF76" s="1">
        <f t="shared" si="7"/>
        <v>0</v>
      </c>
      <c r="AG76" s="1">
        <f t="shared" si="7"/>
        <v>0</v>
      </c>
      <c r="AH76" s="1">
        <f t="shared" si="7"/>
        <v>0</v>
      </c>
      <c r="AI76" s="1">
        <f t="shared" si="7"/>
        <v>0</v>
      </c>
      <c r="AJ76" s="1">
        <f t="shared" si="7"/>
        <v>0</v>
      </c>
      <c r="AK76" s="1">
        <f t="shared" si="7"/>
        <v>0</v>
      </c>
      <c r="AL76" s="1">
        <f t="shared" si="7"/>
        <v>0</v>
      </c>
      <c r="AM76" s="1">
        <f t="shared" si="7"/>
        <v>0</v>
      </c>
      <c r="AN76" s="1">
        <f t="shared" si="7"/>
        <v>0</v>
      </c>
      <c r="AO76" s="1">
        <f t="shared" si="7"/>
        <v>0</v>
      </c>
      <c r="AP76" s="1">
        <f t="shared" si="7"/>
        <v>0</v>
      </c>
      <c r="AQ76" s="1">
        <f t="shared" si="7"/>
        <v>0</v>
      </c>
      <c r="AR76" s="1">
        <f t="shared" si="6"/>
        <v>0</v>
      </c>
      <c r="AS76" s="1">
        <f t="shared" si="6"/>
        <v>0</v>
      </c>
      <c r="AT76" s="1">
        <f t="shared" si="6"/>
        <v>0</v>
      </c>
      <c r="AU76" s="1">
        <f t="shared" si="6"/>
        <v>0</v>
      </c>
      <c r="AV76" s="1">
        <f t="shared" si="6"/>
        <v>0</v>
      </c>
      <c r="AW76" s="1">
        <f t="shared" si="6"/>
        <v>0</v>
      </c>
      <c r="AX76" s="1">
        <f t="shared" si="6"/>
        <v>0</v>
      </c>
      <c r="AY76" s="1">
        <f t="shared" si="6"/>
        <v>0</v>
      </c>
      <c r="AZ76" s="1">
        <f t="shared" si="6"/>
        <v>0</v>
      </c>
      <c r="BA76" s="1">
        <f t="shared" si="6"/>
        <v>0</v>
      </c>
      <c r="BB76" s="1">
        <f t="shared" si="6"/>
        <v>0</v>
      </c>
      <c r="BC76" s="1">
        <f t="shared" si="6"/>
        <v>0</v>
      </c>
      <c r="BD76" s="1">
        <f t="shared" si="6"/>
        <v>0</v>
      </c>
      <c r="BE76" s="1">
        <f t="shared" si="6"/>
        <v>0</v>
      </c>
      <c r="BF76" s="1">
        <f t="shared" si="6"/>
        <v>0</v>
      </c>
      <c r="BG76" s="1">
        <f t="shared" si="3"/>
        <v>0</v>
      </c>
      <c r="BH76" s="1">
        <f t="shared" si="3"/>
        <v>0</v>
      </c>
      <c r="BI76" s="1">
        <f t="shared" si="3"/>
        <v>0</v>
      </c>
      <c r="BJ76" s="1">
        <f t="shared" si="3"/>
        <v>0</v>
      </c>
      <c r="BK76" s="1">
        <f t="shared" si="3"/>
        <v>0</v>
      </c>
      <c r="BL76" s="1">
        <f t="shared" si="3"/>
        <v>0</v>
      </c>
      <c r="BM76" s="1">
        <f t="shared" si="3"/>
        <v>0</v>
      </c>
      <c r="BN76" s="1">
        <f t="shared" si="3"/>
        <v>0</v>
      </c>
      <c r="BO76" s="1">
        <f t="shared" si="3"/>
        <v>0</v>
      </c>
      <c r="BP76" s="1">
        <f t="shared" si="3"/>
        <v>0</v>
      </c>
      <c r="BQ76" s="1">
        <f t="shared" si="3"/>
        <v>0</v>
      </c>
      <c r="BR76" s="1">
        <f t="shared" si="3"/>
        <v>0</v>
      </c>
      <c r="BS76" s="1">
        <f t="shared" si="3"/>
        <v>0</v>
      </c>
      <c r="BT76" s="1">
        <f t="shared" si="3"/>
        <v>0</v>
      </c>
      <c r="BU76" s="1">
        <f t="shared" si="3"/>
        <v>0</v>
      </c>
    </row>
    <row r="77" spans="13:73" hidden="1" x14ac:dyDescent="0.2">
      <c r="M77" s="1">
        <f t="shared" si="5"/>
        <v>0</v>
      </c>
      <c r="N77" s="1">
        <f t="shared" si="5"/>
        <v>0</v>
      </c>
      <c r="O77" s="1">
        <f t="shared" si="5"/>
        <v>0</v>
      </c>
      <c r="P77" s="1">
        <f t="shared" si="5"/>
        <v>0</v>
      </c>
      <c r="Q77" s="1">
        <f t="shared" si="5"/>
        <v>0</v>
      </c>
      <c r="R77" s="1">
        <f t="shared" si="5"/>
        <v>0</v>
      </c>
      <c r="S77" s="1">
        <f t="shared" si="5"/>
        <v>0</v>
      </c>
      <c r="T77" s="1">
        <f t="shared" si="5"/>
        <v>0</v>
      </c>
      <c r="U77" s="1">
        <f t="shared" si="5"/>
        <v>0</v>
      </c>
      <c r="V77" s="1">
        <f t="shared" si="5"/>
        <v>0</v>
      </c>
      <c r="W77" s="1">
        <f t="shared" si="5"/>
        <v>0</v>
      </c>
      <c r="X77" s="1">
        <f t="shared" si="5"/>
        <v>0</v>
      </c>
      <c r="Y77" s="1">
        <f t="shared" si="5"/>
        <v>0</v>
      </c>
      <c r="Z77" s="1">
        <f t="shared" si="5"/>
        <v>0</v>
      </c>
      <c r="AA77" s="1">
        <f t="shared" si="5"/>
        <v>0</v>
      </c>
      <c r="AB77" s="1">
        <f t="shared" si="5"/>
        <v>0</v>
      </c>
      <c r="AC77" s="1">
        <f t="shared" si="7"/>
        <v>0</v>
      </c>
      <c r="AD77" s="1">
        <f t="shared" si="7"/>
        <v>0</v>
      </c>
      <c r="AE77" s="1">
        <f t="shared" si="7"/>
        <v>0</v>
      </c>
      <c r="AF77" s="1">
        <f t="shared" si="7"/>
        <v>0</v>
      </c>
      <c r="AG77" s="1">
        <f t="shared" si="7"/>
        <v>0</v>
      </c>
      <c r="AH77" s="1">
        <f t="shared" si="7"/>
        <v>0</v>
      </c>
      <c r="AI77" s="1">
        <f t="shared" si="7"/>
        <v>0</v>
      </c>
      <c r="AJ77" s="1">
        <f t="shared" si="7"/>
        <v>0</v>
      </c>
      <c r="AK77" s="1">
        <f t="shared" si="7"/>
        <v>0</v>
      </c>
      <c r="AL77" s="1">
        <f t="shared" si="7"/>
        <v>0</v>
      </c>
      <c r="AM77" s="1">
        <f t="shared" si="7"/>
        <v>0</v>
      </c>
      <c r="AN77" s="1">
        <f t="shared" si="7"/>
        <v>0</v>
      </c>
      <c r="AO77" s="1">
        <f t="shared" si="7"/>
        <v>0</v>
      </c>
      <c r="AP77" s="1">
        <f t="shared" si="7"/>
        <v>0</v>
      </c>
      <c r="AQ77" s="1">
        <f t="shared" si="7"/>
        <v>0</v>
      </c>
      <c r="AR77" s="1">
        <f t="shared" si="6"/>
        <v>0</v>
      </c>
      <c r="AS77" s="1">
        <f t="shared" si="6"/>
        <v>0</v>
      </c>
      <c r="AT77" s="1">
        <f t="shared" si="6"/>
        <v>0</v>
      </c>
      <c r="AU77" s="1">
        <f t="shared" si="6"/>
        <v>0</v>
      </c>
      <c r="AV77" s="1">
        <f t="shared" si="6"/>
        <v>0</v>
      </c>
      <c r="AW77" s="1">
        <f t="shared" si="6"/>
        <v>0</v>
      </c>
      <c r="AX77" s="1">
        <f t="shared" si="6"/>
        <v>0</v>
      </c>
      <c r="AY77" s="1">
        <f t="shared" si="6"/>
        <v>0</v>
      </c>
      <c r="AZ77" s="1">
        <f t="shared" si="6"/>
        <v>0</v>
      </c>
      <c r="BA77" s="1">
        <f t="shared" si="6"/>
        <v>0</v>
      </c>
      <c r="BB77" s="1">
        <f t="shared" si="6"/>
        <v>0</v>
      </c>
      <c r="BC77" s="1">
        <f t="shared" si="6"/>
        <v>0</v>
      </c>
      <c r="BD77" s="1">
        <f t="shared" si="6"/>
        <v>0</v>
      </c>
      <c r="BE77" s="1">
        <f t="shared" si="6"/>
        <v>0</v>
      </c>
      <c r="BF77" s="1">
        <f t="shared" si="6"/>
        <v>0</v>
      </c>
      <c r="BG77" s="1">
        <f t="shared" si="3"/>
        <v>0</v>
      </c>
      <c r="BH77" s="1">
        <f t="shared" si="3"/>
        <v>0</v>
      </c>
      <c r="BI77" s="1">
        <f t="shared" si="3"/>
        <v>0</v>
      </c>
      <c r="BJ77" s="1">
        <f t="shared" si="3"/>
        <v>0</v>
      </c>
      <c r="BK77" s="1">
        <f t="shared" si="3"/>
        <v>0</v>
      </c>
      <c r="BL77" s="1">
        <f t="shared" si="3"/>
        <v>0</v>
      </c>
      <c r="BM77" s="1">
        <f t="shared" si="3"/>
        <v>0</v>
      </c>
      <c r="BN77" s="1">
        <f t="shared" si="3"/>
        <v>0</v>
      </c>
      <c r="BO77" s="1">
        <f t="shared" si="3"/>
        <v>0</v>
      </c>
      <c r="BP77" s="1">
        <f t="shared" si="3"/>
        <v>0</v>
      </c>
      <c r="BQ77" s="1">
        <f t="shared" si="3"/>
        <v>0</v>
      </c>
      <c r="BR77" s="1">
        <f t="shared" si="3"/>
        <v>0</v>
      </c>
      <c r="BS77" s="1">
        <f t="shared" si="3"/>
        <v>0</v>
      </c>
      <c r="BT77" s="1">
        <f t="shared" si="3"/>
        <v>0</v>
      </c>
      <c r="BU77" s="1">
        <f t="shared" si="3"/>
        <v>0</v>
      </c>
    </row>
    <row r="78" spans="13:73" hidden="1" x14ac:dyDescent="0.2">
      <c r="M78" s="1">
        <f t="shared" si="5"/>
        <v>0</v>
      </c>
      <c r="N78" s="1">
        <f t="shared" si="5"/>
        <v>0</v>
      </c>
      <c r="O78" s="1">
        <f t="shared" si="5"/>
        <v>0</v>
      </c>
      <c r="P78" s="1">
        <f t="shared" si="5"/>
        <v>0</v>
      </c>
      <c r="Q78" s="1">
        <f t="shared" si="5"/>
        <v>0</v>
      </c>
      <c r="R78" s="1">
        <f t="shared" si="5"/>
        <v>0</v>
      </c>
      <c r="S78" s="1">
        <f t="shared" si="5"/>
        <v>0</v>
      </c>
      <c r="T78" s="1">
        <f t="shared" si="5"/>
        <v>0</v>
      </c>
      <c r="U78" s="1">
        <f t="shared" si="5"/>
        <v>0</v>
      </c>
      <c r="V78" s="1">
        <f t="shared" si="5"/>
        <v>0</v>
      </c>
      <c r="W78" s="1">
        <f t="shared" si="5"/>
        <v>0</v>
      </c>
      <c r="X78" s="1">
        <f t="shared" si="5"/>
        <v>0</v>
      </c>
      <c r="Y78" s="1">
        <f t="shared" si="5"/>
        <v>0</v>
      </c>
      <c r="Z78" s="1">
        <f t="shared" si="5"/>
        <v>0</v>
      </c>
      <c r="AA78" s="1">
        <f t="shared" si="5"/>
        <v>0</v>
      </c>
      <c r="AB78" s="1">
        <f t="shared" si="5"/>
        <v>0</v>
      </c>
      <c r="AC78" s="1">
        <f t="shared" si="7"/>
        <v>0</v>
      </c>
      <c r="AD78" s="1">
        <f t="shared" si="7"/>
        <v>0</v>
      </c>
      <c r="AE78" s="1">
        <f t="shared" si="7"/>
        <v>0</v>
      </c>
      <c r="AF78" s="1">
        <f t="shared" si="7"/>
        <v>0</v>
      </c>
      <c r="AG78" s="1">
        <f t="shared" si="7"/>
        <v>0</v>
      </c>
      <c r="AH78" s="1">
        <f t="shared" si="7"/>
        <v>0</v>
      </c>
      <c r="AI78" s="1">
        <f t="shared" si="7"/>
        <v>0</v>
      </c>
      <c r="AJ78" s="1">
        <f t="shared" si="7"/>
        <v>0</v>
      </c>
      <c r="AK78" s="1">
        <f t="shared" si="7"/>
        <v>0</v>
      </c>
      <c r="AL78" s="1">
        <f t="shared" si="7"/>
        <v>0</v>
      </c>
      <c r="AM78" s="1">
        <f t="shared" si="7"/>
        <v>0</v>
      </c>
      <c r="AN78" s="1">
        <f t="shared" si="7"/>
        <v>0</v>
      </c>
      <c r="AO78" s="1">
        <f t="shared" si="7"/>
        <v>0</v>
      </c>
      <c r="AP78" s="1">
        <f t="shared" si="7"/>
        <v>0</v>
      </c>
      <c r="AQ78" s="1">
        <f t="shared" si="7"/>
        <v>0</v>
      </c>
      <c r="AR78" s="1">
        <f t="shared" si="6"/>
        <v>0</v>
      </c>
      <c r="AS78" s="1">
        <f t="shared" si="6"/>
        <v>0</v>
      </c>
      <c r="AT78" s="1">
        <f t="shared" si="6"/>
        <v>0</v>
      </c>
      <c r="AU78" s="1">
        <f t="shared" si="6"/>
        <v>0</v>
      </c>
      <c r="AV78" s="1">
        <f t="shared" si="6"/>
        <v>0</v>
      </c>
      <c r="AW78" s="1">
        <f t="shared" si="6"/>
        <v>0</v>
      </c>
      <c r="AX78" s="1">
        <f t="shared" si="6"/>
        <v>0</v>
      </c>
      <c r="AY78" s="1">
        <f t="shared" si="6"/>
        <v>0</v>
      </c>
      <c r="AZ78" s="1">
        <f t="shared" si="6"/>
        <v>0</v>
      </c>
      <c r="BA78" s="1">
        <f t="shared" si="6"/>
        <v>0</v>
      </c>
      <c r="BB78" s="1">
        <f t="shared" si="6"/>
        <v>0</v>
      </c>
      <c r="BC78" s="1">
        <f t="shared" si="6"/>
        <v>0</v>
      </c>
      <c r="BD78" s="1">
        <f t="shared" si="6"/>
        <v>0</v>
      </c>
      <c r="BE78" s="1">
        <f t="shared" si="6"/>
        <v>0</v>
      </c>
      <c r="BF78" s="1">
        <f t="shared" si="6"/>
        <v>0</v>
      </c>
      <c r="BG78" s="1">
        <f t="shared" si="6"/>
        <v>0</v>
      </c>
      <c r="BH78" s="1">
        <f t="shared" ref="BH78:BU81" si="8">BH37-DZ37</f>
        <v>0</v>
      </c>
      <c r="BI78" s="1">
        <f t="shared" si="8"/>
        <v>0</v>
      </c>
      <c r="BJ78" s="1">
        <f t="shared" si="8"/>
        <v>0</v>
      </c>
      <c r="BK78" s="1">
        <f t="shared" si="8"/>
        <v>0</v>
      </c>
      <c r="BL78" s="1">
        <f t="shared" si="8"/>
        <v>0</v>
      </c>
      <c r="BM78" s="1">
        <f t="shared" si="8"/>
        <v>0</v>
      </c>
      <c r="BN78" s="1">
        <f t="shared" si="8"/>
        <v>0</v>
      </c>
      <c r="BO78" s="1">
        <f t="shared" si="8"/>
        <v>0</v>
      </c>
      <c r="BP78" s="1">
        <f t="shared" si="8"/>
        <v>0</v>
      </c>
      <c r="BQ78" s="1">
        <f t="shared" si="8"/>
        <v>0</v>
      </c>
      <c r="BR78" s="1">
        <f t="shared" si="8"/>
        <v>0</v>
      </c>
      <c r="BS78" s="1">
        <f t="shared" si="8"/>
        <v>0</v>
      </c>
      <c r="BT78" s="1">
        <f t="shared" si="8"/>
        <v>0</v>
      </c>
      <c r="BU78" s="1">
        <f t="shared" si="8"/>
        <v>0</v>
      </c>
    </row>
    <row r="79" spans="13:73" hidden="1" x14ac:dyDescent="0.2">
      <c r="M79" s="1">
        <f t="shared" si="5"/>
        <v>-24541720.868039966</v>
      </c>
      <c r="N79" s="1">
        <f t="shared" si="5"/>
        <v>0</v>
      </c>
      <c r="O79" s="1">
        <f t="shared" si="5"/>
        <v>0</v>
      </c>
      <c r="P79" s="1">
        <f t="shared" si="5"/>
        <v>0</v>
      </c>
      <c r="Q79" s="1">
        <f t="shared" si="5"/>
        <v>0</v>
      </c>
      <c r="R79" s="1">
        <f t="shared" si="5"/>
        <v>-992232.82340999972</v>
      </c>
      <c r="S79" s="1">
        <f t="shared" si="5"/>
        <v>0</v>
      </c>
      <c r="T79" s="1">
        <f t="shared" si="5"/>
        <v>0</v>
      </c>
      <c r="U79" s="1">
        <f t="shared" si="5"/>
        <v>0</v>
      </c>
      <c r="V79" s="1">
        <f t="shared" si="5"/>
        <v>0</v>
      </c>
      <c r="W79" s="1">
        <f t="shared" si="5"/>
        <v>-17509612.37936002</v>
      </c>
      <c r="X79" s="1">
        <f t="shared" si="5"/>
        <v>0</v>
      </c>
      <c r="Y79" s="1">
        <f t="shared" si="5"/>
        <v>0</v>
      </c>
      <c r="Z79" s="1">
        <f t="shared" si="5"/>
        <v>0</v>
      </c>
      <c r="AA79" s="1">
        <f t="shared" si="5"/>
        <v>0</v>
      </c>
      <c r="AB79" s="1">
        <f t="shared" si="5"/>
        <v>47906877.569129989</v>
      </c>
      <c r="AC79" s="1">
        <f t="shared" si="7"/>
        <v>0</v>
      </c>
      <c r="AD79" s="1">
        <f t="shared" si="7"/>
        <v>0</v>
      </c>
      <c r="AE79" s="1">
        <f t="shared" si="7"/>
        <v>0</v>
      </c>
      <c r="AF79" s="1">
        <f t="shared" si="7"/>
        <v>0</v>
      </c>
      <c r="AG79" s="1">
        <f t="shared" si="7"/>
        <v>-26441476.898249999</v>
      </c>
      <c r="AH79" s="1">
        <f t="shared" si="7"/>
        <v>0</v>
      </c>
      <c r="AI79" s="1">
        <f t="shared" si="7"/>
        <v>0</v>
      </c>
      <c r="AJ79" s="1">
        <f t="shared" si="7"/>
        <v>0</v>
      </c>
      <c r="AK79" s="1">
        <f t="shared" si="7"/>
        <v>0</v>
      </c>
      <c r="AL79" s="1">
        <f t="shared" si="7"/>
        <v>14666106.245150045</v>
      </c>
      <c r="AM79" s="1">
        <f t="shared" si="7"/>
        <v>0</v>
      </c>
      <c r="AN79" s="1">
        <f t="shared" si="7"/>
        <v>0</v>
      </c>
      <c r="AO79" s="1">
        <f t="shared" si="7"/>
        <v>0</v>
      </c>
      <c r="AP79" s="1">
        <f t="shared" si="7"/>
        <v>0</v>
      </c>
      <c r="AQ79" s="1">
        <f t="shared" si="7"/>
        <v>-12838833.417930022</v>
      </c>
      <c r="AR79" s="1">
        <f t="shared" si="6"/>
        <v>0</v>
      </c>
      <c r="AS79" s="1">
        <f t="shared" si="6"/>
        <v>0</v>
      </c>
      <c r="AT79" s="1">
        <f t="shared" si="6"/>
        <v>0</v>
      </c>
      <c r="AU79" s="1">
        <f t="shared" si="6"/>
        <v>0</v>
      </c>
      <c r="AV79" s="1">
        <f t="shared" si="6"/>
        <v>18390143.260510013</v>
      </c>
      <c r="AW79" s="1">
        <f t="shared" si="6"/>
        <v>0</v>
      </c>
      <c r="AX79" s="1">
        <f t="shared" si="6"/>
        <v>0</v>
      </c>
      <c r="AY79" s="1">
        <f t="shared" si="6"/>
        <v>0</v>
      </c>
      <c r="AZ79" s="1">
        <f t="shared" si="6"/>
        <v>0</v>
      </c>
      <c r="BA79" s="1">
        <f t="shared" si="6"/>
        <v>7224805.6555600166</v>
      </c>
      <c r="BB79" s="1">
        <f t="shared" si="6"/>
        <v>0</v>
      </c>
      <c r="BC79" s="1">
        <f t="shared" si="6"/>
        <v>0</v>
      </c>
      <c r="BD79" s="1">
        <f t="shared" si="6"/>
        <v>0</v>
      </c>
      <c r="BE79" s="1">
        <f t="shared" si="6"/>
        <v>0</v>
      </c>
      <c r="BF79" s="1">
        <f t="shared" si="6"/>
        <v>-31020330.557449967</v>
      </c>
      <c r="BG79" s="1">
        <f t="shared" si="6"/>
        <v>0</v>
      </c>
      <c r="BH79" s="1">
        <f t="shared" si="8"/>
        <v>0</v>
      </c>
      <c r="BI79" s="1">
        <f t="shared" si="8"/>
        <v>0</v>
      </c>
      <c r="BJ79" s="1">
        <f t="shared" si="8"/>
        <v>0</v>
      </c>
      <c r="BK79" s="1">
        <f t="shared" si="8"/>
        <v>5785998.0916399956</v>
      </c>
      <c r="BL79" s="1">
        <f t="shared" si="8"/>
        <v>0</v>
      </c>
      <c r="BM79" s="1">
        <f t="shared" si="8"/>
        <v>0</v>
      </c>
      <c r="BN79" s="1">
        <f t="shared" si="8"/>
        <v>0</v>
      </c>
      <c r="BO79" s="1">
        <f t="shared" si="8"/>
        <v>0</v>
      </c>
      <c r="BP79" s="1">
        <f t="shared" si="8"/>
        <v>-48587728.50752002</v>
      </c>
      <c r="BQ79" s="1">
        <f t="shared" si="8"/>
        <v>0</v>
      </c>
      <c r="BR79" s="1">
        <f t="shared" si="8"/>
        <v>0</v>
      </c>
      <c r="BS79" s="1">
        <f t="shared" si="8"/>
        <v>0</v>
      </c>
      <c r="BT79" s="1">
        <f t="shared" si="8"/>
        <v>0</v>
      </c>
      <c r="BU79" s="1">
        <f t="shared" si="8"/>
        <v>-25156274.214089915</v>
      </c>
    </row>
    <row r="80" spans="13:73" hidden="1" x14ac:dyDescent="0.2">
      <c r="M80" s="1">
        <f t="shared" si="5"/>
        <v>0</v>
      </c>
      <c r="N80" s="1">
        <f t="shared" si="5"/>
        <v>0</v>
      </c>
      <c r="O80" s="1">
        <f t="shared" si="5"/>
        <v>0</v>
      </c>
      <c r="P80" s="1">
        <f t="shared" si="5"/>
        <v>0</v>
      </c>
      <c r="Q80" s="1">
        <f t="shared" si="5"/>
        <v>0</v>
      </c>
      <c r="R80" s="1">
        <f t="shared" si="5"/>
        <v>0</v>
      </c>
      <c r="S80" s="1">
        <f t="shared" si="5"/>
        <v>0</v>
      </c>
      <c r="T80" s="1">
        <f t="shared" si="5"/>
        <v>0</v>
      </c>
      <c r="U80" s="1">
        <f t="shared" si="5"/>
        <v>0</v>
      </c>
      <c r="V80" s="1">
        <f t="shared" si="5"/>
        <v>0</v>
      </c>
      <c r="W80" s="1">
        <f t="shared" si="5"/>
        <v>0</v>
      </c>
      <c r="X80" s="1">
        <f t="shared" si="5"/>
        <v>0</v>
      </c>
      <c r="Y80" s="1">
        <f t="shared" si="5"/>
        <v>0</v>
      </c>
      <c r="Z80" s="1">
        <f t="shared" si="5"/>
        <v>0</v>
      </c>
      <c r="AA80" s="1">
        <f t="shared" si="5"/>
        <v>0</v>
      </c>
      <c r="AB80" s="1">
        <f t="shared" si="5"/>
        <v>0</v>
      </c>
      <c r="AC80" s="1">
        <f t="shared" si="7"/>
        <v>0</v>
      </c>
      <c r="AD80" s="1">
        <f t="shared" si="7"/>
        <v>0</v>
      </c>
      <c r="AE80" s="1">
        <f t="shared" si="7"/>
        <v>0</v>
      </c>
      <c r="AF80" s="1">
        <f t="shared" si="7"/>
        <v>0</v>
      </c>
      <c r="AG80" s="1">
        <f t="shared" si="7"/>
        <v>0</v>
      </c>
      <c r="AH80" s="1">
        <f t="shared" si="7"/>
        <v>0</v>
      </c>
      <c r="AI80" s="1">
        <f t="shared" si="7"/>
        <v>0</v>
      </c>
      <c r="AJ80" s="1">
        <f t="shared" si="7"/>
        <v>0</v>
      </c>
      <c r="AK80" s="1">
        <f t="shared" si="7"/>
        <v>0</v>
      </c>
      <c r="AL80" s="1">
        <f t="shared" si="7"/>
        <v>0</v>
      </c>
      <c r="AM80" s="1">
        <f t="shared" si="7"/>
        <v>0</v>
      </c>
      <c r="AN80" s="1">
        <f t="shared" si="7"/>
        <v>0</v>
      </c>
      <c r="AO80" s="1">
        <f t="shared" si="7"/>
        <v>0</v>
      </c>
      <c r="AP80" s="1">
        <f t="shared" si="7"/>
        <v>0</v>
      </c>
      <c r="AQ80" s="1">
        <f t="shared" si="7"/>
        <v>0</v>
      </c>
      <c r="AR80" s="1">
        <f t="shared" si="6"/>
        <v>0</v>
      </c>
      <c r="AS80" s="1">
        <f t="shared" si="6"/>
        <v>0</v>
      </c>
      <c r="AT80" s="1">
        <f t="shared" si="6"/>
        <v>0</v>
      </c>
      <c r="AU80" s="1">
        <f t="shared" si="6"/>
        <v>0</v>
      </c>
      <c r="AV80" s="1">
        <f t="shared" si="6"/>
        <v>0</v>
      </c>
      <c r="AW80" s="1">
        <f t="shared" si="6"/>
        <v>0</v>
      </c>
      <c r="AX80" s="1">
        <f t="shared" si="6"/>
        <v>0</v>
      </c>
      <c r="AY80" s="1">
        <f t="shared" si="6"/>
        <v>0</v>
      </c>
      <c r="AZ80" s="1">
        <f t="shared" si="6"/>
        <v>0</v>
      </c>
      <c r="BA80" s="1">
        <f t="shared" si="6"/>
        <v>0</v>
      </c>
      <c r="BB80" s="1">
        <f t="shared" si="6"/>
        <v>0</v>
      </c>
      <c r="BC80" s="1">
        <f t="shared" si="6"/>
        <v>0</v>
      </c>
      <c r="BD80" s="1">
        <f t="shared" si="6"/>
        <v>0</v>
      </c>
      <c r="BE80" s="1">
        <f t="shared" si="6"/>
        <v>0</v>
      </c>
      <c r="BF80" s="1">
        <f t="shared" si="6"/>
        <v>0</v>
      </c>
      <c r="BG80" s="1">
        <f t="shared" si="6"/>
        <v>0</v>
      </c>
      <c r="BH80" s="1">
        <f t="shared" si="8"/>
        <v>0</v>
      </c>
      <c r="BI80" s="1">
        <f t="shared" si="8"/>
        <v>0</v>
      </c>
      <c r="BJ80" s="1">
        <f t="shared" si="8"/>
        <v>0</v>
      </c>
      <c r="BK80" s="1">
        <f t="shared" si="8"/>
        <v>0</v>
      </c>
      <c r="BL80" s="1">
        <f t="shared" si="8"/>
        <v>0</v>
      </c>
      <c r="BM80" s="1">
        <f t="shared" si="8"/>
        <v>0</v>
      </c>
      <c r="BN80" s="1">
        <f t="shared" si="8"/>
        <v>0</v>
      </c>
      <c r="BO80" s="1">
        <f t="shared" si="8"/>
        <v>0</v>
      </c>
      <c r="BP80" s="1">
        <f t="shared" si="8"/>
        <v>0</v>
      </c>
      <c r="BQ80" s="1">
        <f t="shared" si="8"/>
        <v>0</v>
      </c>
      <c r="BR80" s="1">
        <f t="shared" si="8"/>
        <v>0</v>
      </c>
      <c r="BS80" s="1">
        <f t="shared" si="8"/>
        <v>0</v>
      </c>
      <c r="BT80" s="1">
        <f t="shared" si="8"/>
        <v>0</v>
      </c>
      <c r="BU80" s="1">
        <f t="shared" si="8"/>
        <v>0</v>
      </c>
    </row>
    <row r="81" spans="13:73" hidden="1" x14ac:dyDescent="0.2">
      <c r="M81" s="1">
        <f t="shared" si="5"/>
        <v>-31434347.868039966</v>
      </c>
      <c r="N81" s="1">
        <f t="shared" si="5"/>
        <v>0</v>
      </c>
      <c r="O81" s="1">
        <f t="shared" si="5"/>
        <v>0</v>
      </c>
      <c r="P81" s="1">
        <f t="shared" si="5"/>
        <v>0</v>
      </c>
      <c r="Q81" s="1">
        <f t="shared" si="5"/>
        <v>0</v>
      </c>
      <c r="R81" s="1">
        <f t="shared" si="5"/>
        <v>-5491404.5674099997</v>
      </c>
      <c r="S81" s="1">
        <f t="shared" si="5"/>
        <v>0</v>
      </c>
      <c r="T81" s="1">
        <f t="shared" si="5"/>
        <v>0</v>
      </c>
      <c r="U81" s="1">
        <f t="shared" si="5"/>
        <v>0</v>
      </c>
      <c r="V81" s="1">
        <f t="shared" si="5"/>
        <v>0</v>
      </c>
      <c r="W81" s="1">
        <f t="shared" si="5"/>
        <v>40481407.62063998</v>
      </c>
      <c r="X81" s="1">
        <f t="shared" si="5"/>
        <v>0</v>
      </c>
      <c r="Y81" s="1">
        <f t="shared" si="5"/>
        <v>0</v>
      </c>
      <c r="Z81" s="1">
        <f t="shared" si="5"/>
        <v>0</v>
      </c>
      <c r="AA81" s="1">
        <f t="shared" si="5"/>
        <v>0</v>
      </c>
      <c r="AB81" s="1">
        <f t="shared" si="5"/>
        <v>-111188636.43087001</v>
      </c>
      <c r="AC81" s="1">
        <f t="shared" si="7"/>
        <v>0</v>
      </c>
      <c r="AD81" s="1">
        <f t="shared" si="7"/>
        <v>0</v>
      </c>
      <c r="AE81" s="1">
        <f t="shared" si="7"/>
        <v>0</v>
      </c>
      <c r="AF81" s="1">
        <f t="shared" si="7"/>
        <v>0</v>
      </c>
      <c r="AG81" s="1">
        <f t="shared" si="7"/>
        <v>38357236.101750001</v>
      </c>
      <c r="AH81" s="1">
        <f t="shared" si="7"/>
        <v>0</v>
      </c>
      <c r="AI81" s="1">
        <f t="shared" si="7"/>
        <v>0</v>
      </c>
      <c r="AJ81" s="1">
        <f t="shared" si="7"/>
        <v>0</v>
      </c>
      <c r="AK81" s="1">
        <f t="shared" si="7"/>
        <v>0</v>
      </c>
      <c r="AL81" s="1">
        <f t="shared" si="7"/>
        <v>78310129.245150045</v>
      </c>
      <c r="AM81" s="1">
        <f t="shared" si="7"/>
        <v>0</v>
      </c>
      <c r="AN81" s="1">
        <f t="shared" si="7"/>
        <v>0</v>
      </c>
      <c r="AO81" s="1">
        <f t="shared" si="7"/>
        <v>0</v>
      </c>
      <c r="AP81" s="1">
        <f t="shared" si="7"/>
        <v>0</v>
      </c>
      <c r="AQ81" s="1">
        <f t="shared" si="7"/>
        <v>-41241794.417930022</v>
      </c>
      <c r="AR81" s="1">
        <f t="shared" si="6"/>
        <v>0</v>
      </c>
      <c r="AS81" s="1">
        <f t="shared" si="6"/>
        <v>0</v>
      </c>
      <c r="AT81" s="1">
        <f t="shared" si="6"/>
        <v>0</v>
      </c>
      <c r="AU81" s="1">
        <f t="shared" si="6"/>
        <v>0</v>
      </c>
      <c r="AV81" s="1">
        <f t="shared" si="6"/>
        <v>3601473.2605100125</v>
      </c>
      <c r="AW81" s="1">
        <f t="shared" si="6"/>
        <v>0</v>
      </c>
      <c r="AX81" s="1">
        <f t="shared" si="6"/>
        <v>0</v>
      </c>
      <c r="AY81" s="1">
        <f t="shared" si="6"/>
        <v>0</v>
      </c>
      <c r="AZ81" s="1">
        <f t="shared" si="6"/>
        <v>0</v>
      </c>
      <c r="BA81" s="1">
        <f t="shared" si="6"/>
        <v>-12571077.344439983</v>
      </c>
      <c r="BB81" s="1">
        <f t="shared" si="6"/>
        <v>0</v>
      </c>
      <c r="BC81" s="1">
        <f t="shared" si="6"/>
        <v>0</v>
      </c>
      <c r="BD81" s="1">
        <f t="shared" si="6"/>
        <v>0</v>
      </c>
      <c r="BE81" s="1">
        <f t="shared" si="6"/>
        <v>0</v>
      </c>
      <c r="BF81" s="1">
        <f t="shared" si="6"/>
        <v>-5284009.5574499667</v>
      </c>
      <c r="BG81" s="1">
        <f t="shared" si="6"/>
        <v>0</v>
      </c>
      <c r="BH81" s="1">
        <f t="shared" si="8"/>
        <v>0</v>
      </c>
      <c r="BI81" s="1">
        <f t="shared" si="8"/>
        <v>0</v>
      </c>
      <c r="BJ81" s="1">
        <f t="shared" si="8"/>
        <v>0</v>
      </c>
      <c r="BK81" s="1">
        <f t="shared" si="8"/>
        <v>407177234.09164</v>
      </c>
      <c r="BL81" s="1">
        <f t="shared" si="8"/>
        <v>0</v>
      </c>
      <c r="BM81" s="1">
        <f t="shared" si="8"/>
        <v>0</v>
      </c>
      <c r="BN81" s="1">
        <f t="shared" si="8"/>
        <v>0</v>
      </c>
      <c r="BO81" s="1">
        <f t="shared" si="8"/>
        <v>0</v>
      </c>
      <c r="BP81" s="1">
        <f t="shared" si="8"/>
        <v>-86300995.50752002</v>
      </c>
      <c r="BQ81" s="1">
        <f t="shared" si="8"/>
        <v>0</v>
      </c>
      <c r="BR81" s="1">
        <f t="shared" si="8"/>
        <v>0</v>
      </c>
      <c r="BS81" s="1">
        <f t="shared" si="8"/>
        <v>0</v>
      </c>
      <c r="BT81" s="1">
        <f t="shared" si="8"/>
        <v>0</v>
      </c>
      <c r="BU81" s="1">
        <f t="shared" si="8"/>
        <v>-46461023.958089918</v>
      </c>
    </row>
    <row r="82" spans="13:73" hidden="1" x14ac:dyDescent="0.2"/>
    <row r="83" spans="13:73" hidden="1" x14ac:dyDescent="0.2"/>
    <row r="84" spans="13:73" hidden="1" x14ac:dyDescent="0.2"/>
    <row r="85" spans="13:73" hidden="1" x14ac:dyDescent="0.2"/>
    <row r="86" spans="13:73" hidden="1" x14ac:dyDescent="0.2"/>
    <row r="87" spans="13:73" hidden="1" x14ac:dyDescent="0.2"/>
    <row r="88" spans="13:73" hidden="1" x14ac:dyDescent="0.2"/>
    <row r="89" spans="13:73" hidden="1" x14ac:dyDescent="0.2"/>
    <row r="90" spans="13:73" hidden="1" x14ac:dyDescent="0.2"/>
    <row r="91" spans="13:73" hidden="1" x14ac:dyDescent="0.2"/>
    <row r="92" spans="13:73" hidden="1" x14ac:dyDescent="0.2"/>
    <row r="93" spans="13:73" hidden="1" x14ac:dyDescent="0.2"/>
    <row r="94" spans="13:73" hidden="1" x14ac:dyDescent="0.2"/>
    <row r="95" spans="13:73" hidden="1" x14ac:dyDescent="0.2"/>
    <row r="96" spans="13:73" hidden="1" x14ac:dyDescent="0.2"/>
    <row r="97" spans="13:116" hidden="1" x14ac:dyDescent="0.2"/>
    <row r="98" spans="13:116" hidden="1" x14ac:dyDescent="0.2"/>
    <row r="99" spans="13:116" hidden="1" x14ac:dyDescent="0.2"/>
    <row r="100" spans="13:116" hidden="1" x14ac:dyDescent="0.2"/>
    <row r="101" spans="13:116" hidden="1" x14ac:dyDescent="0.2"/>
    <row r="102" spans="13:116" hidden="1" x14ac:dyDescent="0.2"/>
    <row r="103" spans="13:116" hidden="1" x14ac:dyDescent="0.2"/>
    <row r="104" spans="13:116" hidden="1" x14ac:dyDescent="0.2"/>
    <row r="106" spans="13:116" x14ac:dyDescent="0.2">
      <c r="M106" s="454"/>
    </row>
    <row r="107" spans="13:116" x14ac:dyDescent="0.2">
      <c r="DL107" s="1">
        <v>2087353.7651195501</v>
      </c>
    </row>
  </sheetData>
  <mergeCells count="3">
    <mergeCell ref="H8:BU8"/>
    <mergeCell ref="BZ8:EM8"/>
    <mergeCell ref="D41:BU41"/>
  </mergeCells>
  <pageMargins left="0.7" right="0.7" top="0.75" bottom="0.75" header="0.3" footer="0.3"/>
  <pageSetup paperSize="9" scale="4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Summary</vt:lpstr>
      <vt:lpstr>Table1</vt:lpstr>
      <vt:lpstr>Table2 Pg1</vt:lpstr>
      <vt:lpstr>Table2 Pg2</vt:lpstr>
      <vt:lpstr>Table3 Summary</vt:lpstr>
      <vt:lpstr>Table3,1</vt:lpstr>
      <vt:lpstr>Table3,2</vt:lpstr>
      <vt:lpstr>Table3,3</vt:lpstr>
      <vt:lpstr>Table3,4</vt:lpstr>
      <vt:lpstr>Table4</vt:lpstr>
      <vt:lpstr>Table5</vt:lpstr>
      <vt:lpstr>Summary!Print_Area</vt:lpstr>
      <vt:lpstr>Table1!Print_Area</vt:lpstr>
      <vt:lpstr>'Table2 Pg1'!Print_Area</vt:lpstr>
      <vt:lpstr>'Table3,1'!Print_Area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Phindile Dhlame</dc:creator>
  <cp:lastModifiedBy>Phindile Dhlame</cp:lastModifiedBy>
  <cp:lastPrinted>2021-02-25T18:50:28Z</cp:lastPrinted>
  <dcterms:created xsi:type="dcterms:W3CDTF">2021-02-25T06:19:43Z</dcterms:created>
  <dcterms:modified xsi:type="dcterms:W3CDTF">2021-02-25T18:50:40Z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2021-02-25T06:19:43Z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bce0bb64-156d-4958-b10b-6bd13b7c8c5b</vt:lpwstr>
  </property>
  <property fmtid="{D5CDD505-2E9C-101B-9397-08002B2CF9AE}" pid="8" name="MSIP_Label_93c4247e-447d-4732-af29-2e529a4288f1_ContentBits">
    <vt:lpwstr>0</vt:lpwstr>
  </property>
</Properties>
</file>